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kh_kv/"/>
    </mc:Choice>
  </mc:AlternateContent>
  <xr:revisionPtr revIDLastSave="0" documentId="8_{BC34BF3D-F462-4AFF-A959-B96001C01E41}" xr6:coauthVersionLast="47" xr6:coauthVersionMax="47" xr10:uidLastSave="{00000000-0000-0000-0000-000000000000}"/>
  <bookViews>
    <workbookView xWindow="-26220" yWindow="2580" windowWidth="15375" windowHeight="7875" xr2:uid="{66FEEFA3-1BBD-4420-B3ED-705CDD6F3DB9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19" i="1" l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<sst xmlns="http://schemas.openxmlformats.org/spreadsheetml/2006/main" count="15" uniqueCount="15">
  <si>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MODEL\SCENARIOS\2022\Parameterstudy_kh_kv\kh100_kv10.sr3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</si>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</sst>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E4ED4-DF7A-45D5-AB01-662F90D9541F}" name="Table1" displayName="Table1" ref="A3:N2619" totalsRowShown="0">
  <autoFilter ref="A3:N2619" xr:uid="{D5BE4ED4-DF7A-45D5-AB01-662F90D9541F}"/>
  <tableColumns count="14">
    <tableColumn id="1" xr3:uid="{20D6DB64-4CE9-4DE7-8FAE-851477B637A3}" name="Time (day)"/>
    <tableColumn id="2" xr3:uid="{39AC76DF-7048-48D0-8E37-8A5B86C54D0C}" name="Date" dataDxfId="0"/>
    <tableColumn id="3" xr3:uid="{E900CEED-0BD1-49C7-B735-B4A689FC68A9}" name="Hot well INJ-Well bottom hole temperature (C)"/>
    <tableColumn id="4" xr3:uid="{0EC19E94-E53B-4402-9D43-D141495BEB7F}" name="Hot well PROD-Well bottom hole temperature (C)"/>
    <tableColumn id="5" xr3:uid="{59A6E09A-7BAE-4217-8BD5-9CEADF5A6214}" name="Warm well INJ-Well bottom hole temperature (C)"/>
    <tableColumn id="6" xr3:uid="{FDA4957E-0DD5-4C5B-A23B-4EE32A48AE0F}" name="Warm well PROD-Well bottom hole temperature (C)"/>
    <tableColumn id="7" xr3:uid="{C2C543F0-3FDB-42E1-8D87-1018A172C07D}" name="Hot well INJ-Well Bottom-hole Pressure (kPa)"/>
    <tableColumn id="8" xr3:uid="{B52D9B05-C17C-4C49-836C-48CD95435B3D}" name="Hot well PROD-Well Bottom-hole Pressure (kPa)"/>
    <tableColumn id="9" xr3:uid="{D47A2517-6F0D-4BDE-88F8-36092B68A00C}" name="Warm well INJ-Well Bottom-hole Pressure (kPa)"/>
    <tableColumn id="10" xr3:uid="{EDBDC4BE-2763-4AFD-9C0E-ABC647DD5C79}" name="Warm well PROD-Well Bottom-hole Pressure (kPa)"/>
    <tableColumn id="11" xr3:uid="{2CB8B6B6-C128-4F9F-8388-D7BDE7E42BC3}" name="Hot well INJ-Fluid Rate SC (m³/day)"/>
    <tableColumn id="12" xr3:uid="{D6A8B1D1-6D40-4B82-9649-1AC2A8B0DBA6}" name="Hot well PROD-Fluid Rate SC (m³/day)"/>
    <tableColumn id="13" xr3:uid="{CAE78E39-FD1C-4020-83B8-07CBF1EE5BFA}" name="Warm well INJ-Fluid Rate SC (m³/day)"/>
    <tableColumn id="14" xr3:uid="{115216A2-9109-406A-8E3B-32241E18EB1D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5DB6-78BD-4A79-8334-7E5C772708B6}">
  <dimension ref="A1:N2619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15.000079155</v>
      </c>
      <c r="E4">
        <v>50</v>
      </c>
      <c r="F4">
        <v>14.999998093</v>
      </c>
      <c r="G4">
        <v>1333.3571777</v>
      </c>
      <c r="H4">
        <v>1329.4145507999999</v>
      </c>
      <c r="I4">
        <v>1329.4047852000001</v>
      </c>
      <c r="J4">
        <v>1325.4614257999999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15.000314713</v>
      </c>
      <c r="E5">
        <v>50</v>
      </c>
      <c r="F5">
        <v>14.999993324</v>
      </c>
      <c r="G5">
        <v>1333.3717041</v>
      </c>
      <c r="H5">
        <v>1329.4290771000001</v>
      </c>
      <c r="I5">
        <v>1329.3903809000001</v>
      </c>
      <c r="J5">
        <v>1325.4470214999999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15.001023292999999</v>
      </c>
      <c r="E6">
        <v>50</v>
      </c>
      <c r="F6">
        <v>14.999978065000001</v>
      </c>
      <c r="G6">
        <v>1333.4141846</v>
      </c>
      <c r="H6">
        <v>1329.4716797000001</v>
      </c>
      <c r="I6">
        <v>1329.3479004000001</v>
      </c>
      <c r="J6">
        <v>1325.4045410000001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15.003145218</v>
      </c>
      <c r="E7">
        <v>50</v>
      </c>
      <c r="F7">
        <v>14.999934196</v>
      </c>
      <c r="G7">
        <v>1333.5347899999999</v>
      </c>
      <c r="H7">
        <v>1329.5922852000001</v>
      </c>
      <c r="I7">
        <v>1329.2276611</v>
      </c>
      <c r="J7">
        <v>1325.2844238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15.009492873999999</v>
      </c>
      <c r="E8">
        <v>50</v>
      </c>
      <c r="F8">
        <v>14.999822617</v>
      </c>
      <c r="G8">
        <v>1333.8438721</v>
      </c>
      <c r="H8">
        <v>1329.9019774999999</v>
      </c>
      <c r="I8">
        <v>1328.9193115</v>
      </c>
      <c r="J8">
        <v>1324.9759521000001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15.028429985000001</v>
      </c>
      <c r="E9">
        <v>50</v>
      </c>
      <c r="F9">
        <v>14.999590874000001</v>
      </c>
      <c r="G9">
        <v>1334.4859618999999</v>
      </c>
      <c r="H9">
        <v>1330.5456543</v>
      </c>
      <c r="I9">
        <v>1328.2781981999999</v>
      </c>
      <c r="J9">
        <v>1324.3349608999999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15.08486557</v>
      </c>
      <c r="E10">
        <v>50</v>
      </c>
      <c r="F10">
        <v>14.999240875</v>
      </c>
      <c r="G10">
        <v>1335.4552002</v>
      </c>
      <c r="H10">
        <v>1331.5200195</v>
      </c>
      <c r="I10">
        <v>1327.3067627</v>
      </c>
      <c r="J10">
        <v>1323.3636475000001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15.253092766</v>
      </c>
      <c r="E11">
        <v>50</v>
      </c>
      <c r="F11">
        <v>14.998842239</v>
      </c>
      <c r="G11">
        <v>1336.5465088000001</v>
      </c>
      <c r="H11">
        <v>1332.6270752</v>
      </c>
      <c r="I11">
        <v>1326.1975098</v>
      </c>
      <c r="J11">
        <v>1322.2543945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15.753822327</v>
      </c>
      <c r="E12">
        <v>50</v>
      </c>
      <c r="F12">
        <v>14.998444556999999</v>
      </c>
      <c r="G12">
        <v>1337.6070557</v>
      </c>
      <c r="H12">
        <v>1333.734375</v>
      </c>
      <c r="I12">
        <v>1325.0734863</v>
      </c>
      <c r="J12">
        <v>1321.1303711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2.2943999999999999E-2</v>
      </c>
      <c r="B13" s="1">
        <f>DATE(2010,5,1) + TIME(0,33,2)</f>
        <v>40299.022939814815</v>
      </c>
      <c r="C13">
        <v>80</v>
      </c>
      <c r="D13">
        <v>16.741920471</v>
      </c>
      <c r="E13">
        <v>50</v>
      </c>
      <c r="F13">
        <v>14.998136519999999</v>
      </c>
      <c r="G13">
        <v>1338.3829346</v>
      </c>
      <c r="H13">
        <v>1334.5976562000001</v>
      </c>
      <c r="I13">
        <v>1324.1757812000001</v>
      </c>
      <c r="J13">
        <v>1320.2326660000001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3.6205000000000001E-2</v>
      </c>
      <c r="B14" s="1">
        <f>DATE(2010,5,1) + TIME(0,52,8)</f>
        <v>40299.036203703705</v>
      </c>
      <c r="C14">
        <v>80</v>
      </c>
      <c r="D14">
        <v>17.732906342</v>
      </c>
      <c r="E14">
        <v>50</v>
      </c>
      <c r="F14">
        <v>14.997964859</v>
      </c>
      <c r="G14">
        <v>1338.7980957</v>
      </c>
      <c r="H14">
        <v>1335.0882568</v>
      </c>
      <c r="I14">
        <v>1323.6606445</v>
      </c>
      <c r="J14">
        <v>1319.7175293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4.9585999999999998E-2</v>
      </c>
      <c r="B15" s="1">
        <f>DATE(2010,5,1) + TIME(1,11,24)</f>
        <v>40299.049583333333</v>
      </c>
      <c r="C15">
        <v>80</v>
      </c>
      <c r="D15">
        <v>18.723901748999999</v>
      </c>
      <c r="E15">
        <v>50</v>
      </c>
      <c r="F15">
        <v>14.997852325</v>
      </c>
      <c r="G15">
        <v>1339.0556641000001</v>
      </c>
      <c r="H15">
        <v>1335.4178466999999</v>
      </c>
      <c r="I15">
        <v>1323.3101807</v>
      </c>
      <c r="J15">
        <v>1319.3671875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6.3089000000000006E-2</v>
      </c>
      <c r="B16" s="1">
        <f>DATE(2010,5,1) + TIME(1,30,50)</f>
        <v>40299.063078703701</v>
      </c>
      <c r="C16">
        <v>80</v>
      </c>
      <c r="D16">
        <v>19.714921951000001</v>
      </c>
      <c r="E16">
        <v>50</v>
      </c>
      <c r="F16">
        <v>14.997770309</v>
      </c>
      <c r="G16">
        <v>1339.2313231999999</v>
      </c>
      <c r="H16">
        <v>1335.6617432</v>
      </c>
      <c r="I16">
        <v>1323.0488281</v>
      </c>
      <c r="J16">
        <v>1319.1057129000001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7.6714000000000004E-2</v>
      </c>
      <c r="B17" s="1">
        <f>DATE(2010,5,1) + TIME(1,50,28)</f>
        <v>40299.07671296296</v>
      </c>
      <c r="C17">
        <v>80</v>
      </c>
      <c r="D17">
        <v>20.706552505000001</v>
      </c>
      <c r="E17">
        <v>50</v>
      </c>
      <c r="F17">
        <v>14.997708320999999</v>
      </c>
      <c r="G17">
        <v>1339.3581543</v>
      </c>
      <c r="H17">
        <v>1335.8532714999999</v>
      </c>
      <c r="I17">
        <v>1322.8428954999999</v>
      </c>
      <c r="J17">
        <v>1318.8999022999999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9.0454000000000007E-2</v>
      </c>
      <c r="B18" s="1">
        <f>DATE(2010,5,1) + TIME(2,10,15)</f>
        <v>40299.090451388889</v>
      </c>
      <c r="C18">
        <v>80</v>
      </c>
      <c r="D18">
        <v>21.697864532000001</v>
      </c>
      <c r="E18">
        <v>50</v>
      </c>
      <c r="F18">
        <v>14.997660636999999</v>
      </c>
      <c r="G18">
        <v>1339.4534911999999</v>
      </c>
      <c r="H18">
        <v>1336.0096435999999</v>
      </c>
      <c r="I18">
        <v>1322.675293</v>
      </c>
      <c r="J18">
        <v>1318.7322998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0.104315</v>
      </c>
      <c r="B19" s="1">
        <f>DATE(2010,5,1) + TIME(2,30,12)</f>
        <v>40299.104305555556</v>
      </c>
      <c r="C19">
        <v>80</v>
      </c>
      <c r="D19">
        <v>22.688940047999999</v>
      </c>
      <c r="E19">
        <v>50</v>
      </c>
      <c r="F19">
        <v>14.997622489999999</v>
      </c>
      <c r="G19">
        <v>1339.5272216999999</v>
      </c>
      <c r="H19">
        <v>1336.1411132999999</v>
      </c>
      <c r="I19">
        <v>1322.5355225000001</v>
      </c>
      <c r="J19">
        <v>1318.5924072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0.118301</v>
      </c>
      <c r="B20" s="1">
        <f>DATE(2010,5,1) + TIME(2,50,21)</f>
        <v>40299.118298611109</v>
      </c>
      <c r="C20">
        <v>80</v>
      </c>
      <c r="D20">
        <v>23.679992676000001</v>
      </c>
      <c r="E20">
        <v>50</v>
      </c>
      <c r="F20">
        <v>14.997591019</v>
      </c>
      <c r="G20">
        <v>1339.5858154</v>
      </c>
      <c r="H20">
        <v>1336.2542725000001</v>
      </c>
      <c r="I20">
        <v>1322.4169922000001</v>
      </c>
      <c r="J20">
        <v>1318.4738769999999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0.132412</v>
      </c>
      <c r="B21" s="1">
        <f>DATE(2010,5,1) + TIME(3,10,40)</f>
        <v>40299.132407407407</v>
      </c>
      <c r="C21">
        <v>80</v>
      </c>
      <c r="D21">
        <v>24.671010971000001</v>
      </c>
      <c r="E21">
        <v>50</v>
      </c>
      <c r="F21">
        <v>14.997566223</v>
      </c>
      <c r="G21">
        <v>1339.6336670000001</v>
      </c>
      <c r="H21">
        <v>1336.3536377</v>
      </c>
      <c r="I21">
        <v>1322.3149414</v>
      </c>
      <c r="J21">
        <v>1318.3718262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0.146652</v>
      </c>
      <c r="B22" s="1">
        <f>DATE(2010,5,1) + TIME(3,31,10)</f>
        <v>40299.146643518521</v>
      </c>
      <c r="C22">
        <v>80</v>
      </c>
      <c r="D22">
        <v>25.662395477</v>
      </c>
      <c r="E22">
        <v>50</v>
      </c>
      <c r="F22">
        <v>14.997546196</v>
      </c>
      <c r="G22">
        <v>1339.6735839999999</v>
      </c>
      <c r="H22">
        <v>1336.4422606999999</v>
      </c>
      <c r="I22">
        <v>1322.2263184000001</v>
      </c>
      <c r="J22">
        <v>1318.2832031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0.16101499999999999</v>
      </c>
      <c r="B23" s="1">
        <f>DATE(2010,5,1) + TIME(3,51,51)</f>
        <v>40299.161006944443</v>
      </c>
      <c r="C23">
        <v>80</v>
      </c>
      <c r="D23">
        <v>26.653518677000001</v>
      </c>
      <c r="E23">
        <v>50</v>
      </c>
      <c r="F23">
        <v>14.997529030000001</v>
      </c>
      <c r="G23">
        <v>1339.7078856999999</v>
      </c>
      <c r="H23">
        <v>1336.5225829999999</v>
      </c>
      <c r="I23">
        <v>1322.1485596</v>
      </c>
      <c r="J23">
        <v>1318.2054443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0.175507</v>
      </c>
      <c r="B24" s="1">
        <f>DATE(2010,5,1) + TIME(4,12,43)</f>
        <v>40299.175497685188</v>
      </c>
      <c r="C24">
        <v>80</v>
      </c>
      <c r="D24">
        <v>27.644348144999999</v>
      </c>
      <c r="E24">
        <v>50</v>
      </c>
      <c r="F24">
        <v>14.997515677999999</v>
      </c>
      <c r="G24">
        <v>1339.7382812000001</v>
      </c>
      <c r="H24">
        <v>1336.5963135</v>
      </c>
      <c r="I24">
        <v>1322.0799560999999</v>
      </c>
      <c r="J24">
        <v>1318.1367187999999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0.190134</v>
      </c>
      <c r="B25" s="1">
        <f>DATE(2010,5,1) + TIME(4,33,47)</f>
        <v>40299.190127314818</v>
      </c>
      <c r="C25">
        <v>80</v>
      </c>
      <c r="D25">
        <v>28.635063170999999</v>
      </c>
      <c r="E25">
        <v>50</v>
      </c>
      <c r="F25">
        <v>14.997505188</v>
      </c>
      <c r="G25">
        <v>1339.7657471</v>
      </c>
      <c r="H25">
        <v>1336.6647949000001</v>
      </c>
      <c r="I25">
        <v>1322.0187988</v>
      </c>
      <c r="J25">
        <v>1318.0755615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0.204897</v>
      </c>
      <c r="B26" s="1">
        <f>DATE(2010,5,1) + TIME(4,55,3)</f>
        <v>40299.204895833333</v>
      </c>
      <c r="C26">
        <v>80</v>
      </c>
      <c r="D26">
        <v>29.625642775999999</v>
      </c>
      <c r="E26">
        <v>50</v>
      </c>
      <c r="F26">
        <v>14.997496605</v>
      </c>
      <c r="G26">
        <v>1339.7915039</v>
      </c>
      <c r="H26">
        <v>1336.729126</v>
      </c>
      <c r="I26">
        <v>1321.9642334</v>
      </c>
      <c r="J26">
        <v>1318.020874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0.2198</v>
      </c>
      <c r="B27" s="1">
        <f>DATE(2010,5,1) + TIME(5,16,30)</f>
        <v>40299.21979166667</v>
      </c>
      <c r="C27">
        <v>80</v>
      </c>
      <c r="D27">
        <v>30.616199493</v>
      </c>
      <c r="E27">
        <v>50</v>
      </c>
      <c r="F27">
        <v>14.997489929</v>
      </c>
      <c r="G27">
        <v>1339.8160399999999</v>
      </c>
      <c r="H27">
        <v>1336.7901611</v>
      </c>
      <c r="I27">
        <v>1321.9150391000001</v>
      </c>
      <c r="J27">
        <v>1317.9715576000001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0.234846</v>
      </c>
      <c r="B28" s="1">
        <f>DATE(2010,5,1) + TIME(5,38,10)</f>
        <v>40299.234837962962</v>
      </c>
      <c r="C28">
        <v>80</v>
      </c>
      <c r="D28">
        <v>31.606529236</v>
      </c>
      <c r="E28">
        <v>50</v>
      </c>
      <c r="F28">
        <v>14.997485161</v>
      </c>
      <c r="G28">
        <v>1339.8399658000001</v>
      </c>
      <c r="H28">
        <v>1336.8486327999999</v>
      </c>
      <c r="I28">
        <v>1321.8706055</v>
      </c>
      <c r="J28">
        <v>1317.927124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0.25003900000000001</v>
      </c>
      <c r="B29" s="1">
        <f>DATE(2010,5,1) + TIME(6,0,3)</f>
        <v>40299.250034722223</v>
      </c>
      <c r="C29">
        <v>80</v>
      </c>
      <c r="D29">
        <v>32.596572876000003</v>
      </c>
      <c r="E29">
        <v>50</v>
      </c>
      <c r="F29">
        <v>14.997481346000001</v>
      </c>
      <c r="G29">
        <v>1339.8638916</v>
      </c>
      <c r="H29">
        <v>1336.9050293</v>
      </c>
      <c r="I29">
        <v>1321.8303223</v>
      </c>
      <c r="J29">
        <v>1317.8868408000001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0.26538400000000001</v>
      </c>
      <c r="B30" s="1">
        <f>DATE(2010,5,1) + TIME(6,22,9)</f>
        <v>40299.265381944446</v>
      </c>
      <c r="C30">
        <v>80</v>
      </c>
      <c r="D30">
        <v>33.586387633999998</v>
      </c>
      <c r="E30">
        <v>50</v>
      </c>
      <c r="F30">
        <v>14.997479438999999</v>
      </c>
      <c r="G30">
        <v>1339.8879394999999</v>
      </c>
      <c r="H30">
        <v>1336.9598389</v>
      </c>
      <c r="I30">
        <v>1321.7935791</v>
      </c>
      <c r="J30">
        <v>1317.8500977000001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0.28088800000000003</v>
      </c>
      <c r="B31" s="1">
        <f>DATE(2010,5,1) + TIME(6,44,28)</f>
        <v>40299.28087962963</v>
      </c>
      <c r="C31">
        <v>80</v>
      </c>
      <c r="D31">
        <v>34.575942992999998</v>
      </c>
      <c r="E31">
        <v>50</v>
      </c>
      <c r="F31">
        <v>14.997477530999999</v>
      </c>
      <c r="G31">
        <v>1339.9125977000001</v>
      </c>
      <c r="H31">
        <v>1337.0133057</v>
      </c>
      <c r="I31">
        <v>1321.7601318</v>
      </c>
      <c r="J31">
        <v>1317.8165283000001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0.29655500000000001</v>
      </c>
      <c r="B32" s="1">
        <f>DATE(2010,5,1) + TIME(7,7,2)</f>
        <v>40299.296550925923</v>
      </c>
      <c r="C32">
        <v>80</v>
      </c>
      <c r="D32">
        <v>35.565208435000002</v>
      </c>
      <c r="E32">
        <v>50</v>
      </c>
      <c r="F32">
        <v>14.997477530999999</v>
      </c>
      <c r="G32">
        <v>1339.9377440999999</v>
      </c>
      <c r="H32">
        <v>1337.0657959</v>
      </c>
      <c r="I32">
        <v>1321.7294922000001</v>
      </c>
      <c r="J32">
        <v>1317.7857666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0.312392</v>
      </c>
      <c r="B33" s="1">
        <f>DATE(2010,5,1) + TIME(7,29,50)</f>
        <v>40299.312384259261</v>
      </c>
      <c r="C33">
        <v>80</v>
      </c>
      <c r="D33">
        <v>36.554161071999999</v>
      </c>
      <c r="E33">
        <v>50</v>
      </c>
      <c r="F33">
        <v>14.997478485</v>
      </c>
      <c r="G33">
        <v>1339.9638672000001</v>
      </c>
      <c r="H33">
        <v>1337.1175536999999</v>
      </c>
      <c r="I33">
        <v>1321.7012939000001</v>
      </c>
      <c r="J33">
        <v>1317.7575684000001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0.32840599999999998</v>
      </c>
      <c r="B34" s="1">
        <f>DATE(2010,5,1) + TIME(7,52,54)</f>
        <v>40299.328402777777</v>
      </c>
      <c r="C34">
        <v>80</v>
      </c>
      <c r="D34">
        <v>37.542766571000001</v>
      </c>
      <c r="E34">
        <v>50</v>
      </c>
      <c r="F34">
        <v>14.997479438999999</v>
      </c>
      <c r="G34">
        <v>1339.9908447</v>
      </c>
      <c r="H34">
        <v>1337.1688231999999</v>
      </c>
      <c r="I34">
        <v>1321.6754149999999</v>
      </c>
      <c r="J34">
        <v>1317.7315673999999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0.34460400000000002</v>
      </c>
      <c r="B35" s="1">
        <f>DATE(2010,5,1) + TIME(8,16,13)</f>
        <v>40299.344594907408</v>
      </c>
      <c r="C35">
        <v>80</v>
      </c>
      <c r="D35">
        <v>38.530994415000002</v>
      </c>
      <c r="E35">
        <v>50</v>
      </c>
      <c r="F35">
        <v>14.997481346000001</v>
      </c>
      <c r="G35">
        <v>1340.0187988</v>
      </c>
      <c r="H35">
        <v>1337.2196045000001</v>
      </c>
      <c r="I35">
        <v>1321.6516113</v>
      </c>
      <c r="J35">
        <v>1317.7076416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0.36099500000000001</v>
      </c>
      <c r="B36" s="1">
        <f>DATE(2010,5,1) + TIME(8,39,50)</f>
        <v>40299.360995370371</v>
      </c>
      <c r="C36">
        <v>80</v>
      </c>
      <c r="D36">
        <v>39.518814087000003</v>
      </c>
      <c r="E36">
        <v>50</v>
      </c>
      <c r="F36">
        <v>14.997484206999999</v>
      </c>
      <c r="G36">
        <v>1340.0478516000001</v>
      </c>
      <c r="H36">
        <v>1337.2701416</v>
      </c>
      <c r="I36">
        <v>1321.6295166</v>
      </c>
      <c r="J36">
        <v>1317.6855469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0.37758900000000001</v>
      </c>
      <c r="B37" s="1">
        <f>DATE(2010,5,1) + TIME(9,3,43)</f>
        <v>40299.377581018518</v>
      </c>
      <c r="C37">
        <v>80</v>
      </c>
      <c r="D37">
        <v>40.506301880000002</v>
      </c>
      <c r="E37">
        <v>50</v>
      </c>
      <c r="F37">
        <v>14.997487068</v>
      </c>
      <c r="G37">
        <v>1340.078125</v>
      </c>
      <c r="H37">
        <v>1337.3205565999999</v>
      </c>
      <c r="I37">
        <v>1321.6092529</v>
      </c>
      <c r="J37">
        <v>1317.6651611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0.39439299999999999</v>
      </c>
      <c r="B38" s="1">
        <f>DATE(2010,5,1) + TIME(9,27,55)</f>
        <v>40299.394386574073</v>
      </c>
      <c r="C38">
        <v>80</v>
      </c>
      <c r="D38">
        <v>41.493309021000002</v>
      </c>
      <c r="E38">
        <v>50</v>
      </c>
      <c r="F38">
        <v>14.997490882999999</v>
      </c>
      <c r="G38">
        <v>1340.1094971</v>
      </c>
      <c r="H38">
        <v>1337.3708495999999</v>
      </c>
      <c r="I38">
        <v>1321.5904541</v>
      </c>
      <c r="J38">
        <v>1317.6463623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0.41141800000000001</v>
      </c>
      <c r="B39" s="1">
        <f>DATE(2010,5,1) + TIME(9,52,26)</f>
        <v>40299.411412037036</v>
      </c>
      <c r="C39">
        <v>80</v>
      </c>
      <c r="D39">
        <v>42.479705811000002</v>
      </c>
      <c r="E39">
        <v>50</v>
      </c>
      <c r="F39">
        <v>14.997494698000001</v>
      </c>
      <c r="G39">
        <v>1340.1420897999999</v>
      </c>
      <c r="H39">
        <v>1337.4211425999999</v>
      </c>
      <c r="I39">
        <v>1321.5729980000001</v>
      </c>
      <c r="J39">
        <v>1317.6289062000001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0.428678</v>
      </c>
      <c r="B40" s="1">
        <f>DATE(2010,5,1) + TIME(10,17,17)</f>
        <v>40299.428668981483</v>
      </c>
      <c r="C40">
        <v>80</v>
      </c>
      <c r="D40">
        <v>43.465545654000003</v>
      </c>
      <c r="E40">
        <v>50</v>
      </c>
      <c r="F40">
        <v>14.997499466000001</v>
      </c>
      <c r="G40">
        <v>1340.1757812000001</v>
      </c>
      <c r="H40">
        <v>1337.4715576000001</v>
      </c>
      <c r="I40">
        <v>1321.5570068</v>
      </c>
      <c r="J40">
        <v>1317.6126709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0.446185</v>
      </c>
      <c r="B41" s="1">
        <f>DATE(2010,5,1) + TIME(10,42,30)</f>
        <v>40299.446180555555</v>
      </c>
      <c r="C41">
        <v>80</v>
      </c>
      <c r="D41">
        <v>44.450786591000004</v>
      </c>
      <c r="E41">
        <v>50</v>
      </c>
      <c r="F41">
        <v>14.997504234000001</v>
      </c>
      <c r="G41">
        <v>1340.2106934000001</v>
      </c>
      <c r="H41">
        <v>1337.5220947</v>
      </c>
      <c r="I41">
        <v>1321.5421143000001</v>
      </c>
      <c r="J41">
        <v>1317.5976562000001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0.46395500000000001</v>
      </c>
      <c r="B42" s="1">
        <f>DATE(2010,5,1) + TIME(11,8,5)</f>
        <v>40299.463946759257</v>
      </c>
      <c r="C42">
        <v>80</v>
      </c>
      <c r="D42">
        <v>45.435394287000001</v>
      </c>
      <c r="E42">
        <v>50</v>
      </c>
      <c r="F42">
        <v>14.997509956</v>
      </c>
      <c r="G42">
        <v>1340.2467041</v>
      </c>
      <c r="H42">
        <v>1337.5727539</v>
      </c>
      <c r="I42">
        <v>1321.5283202999999</v>
      </c>
      <c r="J42">
        <v>1317.5837402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0.48200300000000001</v>
      </c>
      <c r="B43" s="1">
        <f>DATE(2010,5,1) + TIME(11,34,5)</f>
        <v>40299.482002314813</v>
      </c>
      <c r="C43">
        <v>80</v>
      </c>
      <c r="D43">
        <v>46.419311522999998</v>
      </c>
      <c r="E43">
        <v>50</v>
      </c>
      <c r="F43">
        <v>14.997515677999999</v>
      </c>
      <c r="G43">
        <v>1340.2839355000001</v>
      </c>
      <c r="H43">
        <v>1337.6235352000001</v>
      </c>
      <c r="I43">
        <v>1321.5155029</v>
      </c>
      <c r="J43">
        <v>1317.5709228999999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0.50034599999999996</v>
      </c>
      <c r="B44" s="1">
        <f>DATE(2010,5,1) + TIME(12,0,29)</f>
        <v>40299.500335648147</v>
      </c>
      <c r="C44">
        <v>80</v>
      </c>
      <c r="D44">
        <v>47.402500152999998</v>
      </c>
      <c r="E44">
        <v>50</v>
      </c>
      <c r="F44">
        <v>14.9975214</v>
      </c>
      <c r="G44">
        <v>1340.3222656</v>
      </c>
      <c r="H44">
        <v>1337.6745605000001</v>
      </c>
      <c r="I44">
        <v>1321.5036620999999</v>
      </c>
      <c r="J44">
        <v>1317.5589600000001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0.51900199999999996</v>
      </c>
      <c r="B45" s="1">
        <f>DATE(2010,5,1) + TIME(12,27,21)</f>
        <v>40299.518993055557</v>
      </c>
      <c r="C45">
        <v>80</v>
      </c>
      <c r="D45">
        <v>48.384899138999998</v>
      </c>
      <c r="E45">
        <v>50</v>
      </c>
      <c r="F45">
        <v>14.997528076</v>
      </c>
      <c r="G45">
        <v>1340.3618164</v>
      </c>
      <c r="H45">
        <v>1337.7258300999999</v>
      </c>
      <c r="I45">
        <v>1321.4927978999999</v>
      </c>
      <c r="J45">
        <v>1317.5479736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0.53799300000000005</v>
      </c>
      <c r="B46" s="1">
        <f>DATE(2010,5,1) + TIME(12,54,42)</f>
        <v>40299.537986111114</v>
      </c>
      <c r="C46">
        <v>80</v>
      </c>
      <c r="D46">
        <v>49.366455078000001</v>
      </c>
      <c r="E46">
        <v>50</v>
      </c>
      <c r="F46">
        <v>14.997534752</v>
      </c>
      <c r="G46">
        <v>1340.4024658000001</v>
      </c>
      <c r="H46">
        <v>1337.7774658000001</v>
      </c>
      <c r="I46">
        <v>1321.4826660000001</v>
      </c>
      <c r="J46">
        <v>1317.5378418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0.55733999999999995</v>
      </c>
      <c r="B47" s="1">
        <f>DATE(2010,5,1) + TIME(13,22,34)</f>
        <v>40299.557337962964</v>
      </c>
      <c r="C47">
        <v>80</v>
      </c>
      <c r="D47">
        <v>50.346954345999997</v>
      </c>
      <c r="E47">
        <v>50</v>
      </c>
      <c r="F47">
        <v>14.997541428</v>
      </c>
      <c r="G47">
        <v>1340.4440918</v>
      </c>
      <c r="H47">
        <v>1337.8292236</v>
      </c>
      <c r="I47">
        <v>1321.4732666</v>
      </c>
      <c r="J47">
        <v>1317.5283202999999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0.57707299999999995</v>
      </c>
      <c r="B48" s="1">
        <f>DATE(2010,5,1) + TIME(13,50,59)</f>
        <v>40299.57707175926</v>
      </c>
      <c r="C48">
        <v>80</v>
      </c>
      <c r="D48">
        <v>51.326343536000003</v>
      </c>
      <c r="E48">
        <v>50</v>
      </c>
      <c r="F48">
        <v>14.997549057000001</v>
      </c>
      <c r="G48">
        <v>1340.4868164</v>
      </c>
      <c r="H48">
        <v>1337.8812256000001</v>
      </c>
      <c r="I48">
        <v>1321.4647216999999</v>
      </c>
      <c r="J48">
        <v>1317.5196533000001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0.59721999999999997</v>
      </c>
      <c r="B49" s="1">
        <f>DATE(2010,5,1) + TIME(14,19,59)</f>
        <v>40299.597210648149</v>
      </c>
      <c r="C49">
        <v>80</v>
      </c>
      <c r="D49">
        <v>52.304954529</v>
      </c>
      <c r="E49">
        <v>50</v>
      </c>
      <c r="F49">
        <v>14.997556685999999</v>
      </c>
      <c r="G49">
        <v>1340.5306396000001</v>
      </c>
      <c r="H49">
        <v>1337.9334716999999</v>
      </c>
      <c r="I49">
        <v>1321.4567870999999</v>
      </c>
      <c r="J49">
        <v>1317.5117187999999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0.61780800000000002</v>
      </c>
      <c r="B50" s="1">
        <f>DATE(2010,5,1) + TIME(14,49,38)</f>
        <v>40299.617800925924</v>
      </c>
      <c r="C50">
        <v>80</v>
      </c>
      <c r="D50">
        <v>53.282447814999998</v>
      </c>
      <c r="E50">
        <v>50</v>
      </c>
      <c r="F50">
        <v>14.997564316</v>
      </c>
      <c r="G50">
        <v>1340.5755615</v>
      </c>
      <c r="H50">
        <v>1337.9860839999999</v>
      </c>
      <c r="I50">
        <v>1321.4495850000001</v>
      </c>
      <c r="J50">
        <v>1317.5042725000001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0.63887000000000005</v>
      </c>
      <c r="B51" s="1">
        <f>DATE(2010,5,1) + TIME(15,19,58)</f>
        <v>40299.638865740744</v>
      </c>
      <c r="C51">
        <v>80</v>
      </c>
      <c r="D51">
        <v>54.258743285999998</v>
      </c>
      <c r="E51">
        <v>50</v>
      </c>
      <c r="F51">
        <v>14.997571945000001</v>
      </c>
      <c r="G51">
        <v>1340.6214600000001</v>
      </c>
      <c r="H51">
        <v>1338.0388184000001</v>
      </c>
      <c r="I51">
        <v>1321.4429932</v>
      </c>
      <c r="J51">
        <v>1317.4975586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0.660443</v>
      </c>
      <c r="B52" s="1">
        <f>DATE(2010,5,1) + TIME(15,51,2)</f>
        <v>40299.660439814812</v>
      </c>
      <c r="C52">
        <v>80</v>
      </c>
      <c r="D52">
        <v>55.233737945999998</v>
      </c>
      <c r="E52">
        <v>50</v>
      </c>
      <c r="F52">
        <v>14.997580528</v>
      </c>
      <c r="G52">
        <v>1340.6683350000001</v>
      </c>
      <c r="H52">
        <v>1338.0920410000001</v>
      </c>
      <c r="I52">
        <v>1321.4368896000001</v>
      </c>
      <c r="J52">
        <v>1317.4913329999999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0.68257000000000001</v>
      </c>
      <c r="B53" s="1">
        <f>DATE(2010,5,1) + TIME(16,22,54)</f>
        <v>40299.682569444441</v>
      </c>
      <c r="C53">
        <v>80</v>
      </c>
      <c r="D53">
        <v>56.207332610999998</v>
      </c>
      <c r="E53">
        <v>50</v>
      </c>
      <c r="F53">
        <v>14.997589111</v>
      </c>
      <c r="G53">
        <v>1340.7161865</v>
      </c>
      <c r="H53">
        <v>1338.1453856999999</v>
      </c>
      <c r="I53">
        <v>1321.4313964999999</v>
      </c>
      <c r="J53">
        <v>1317.4857178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0.70529699999999995</v>
      </c>
      <c r="B54" s="1">
        <f>DATE(2010,5,1) + TIME(16,55,37)</f>
        <v>40299.705289351848</v>
      </c>
      <c r="C54">
        <v>80</v>
      </c>
      <c r="D54">
        <v>57.179416656000001</v>
      </c>
      <c r="E54">
        <v>50</v>
      </c>
      <c r="F54">
        <v>14.997597694</v>
      </c>
      <c r="G54">
        <v>1340.7648925999999</v>
      </c>
      <c r="H54">
        <v>1338.1989745999999</v>
      </c>
      <c r="I54">
        <v>1321.4263916</v>
      </c>
      <c r="J54">
        <v>1317.4805908000001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0.72867599999999999</v>
      </c>
      <c r="B55" s="1">
        <f>DATE(2010,5,1) + TIME(17,29,17)</f>
        <v>40299.728668981479</v>
      </c>
      <c r="C55">
        <v>80</v>
      </c>
      <c r="D55">
        <v>58.149856567</v>
      </c>
      <c r="E55">
        <v>50</v>
      </c>
      <c r="F55">
        <v>14.997606276999999</v>
      </c>
      <c r="G55">
        <v>1340.8146973</v>
      </c>
      <c r="H55">
        <v>1338.2529297000001</v>
      </c>
      <c r="I55">
        <v>1321.421875</v>
      </c>
      <c r="J55">
        <v>1317.4759521000001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0.75276799999999999</v>
      </c>
      <c r="B56" s="1">
        <f>DATE(2010,5,1) + TIME(18,3,59)</f>
        <v>40299.752766203703</v>
      </c>
      <c r="C56">
        <v>80</v>
      </c>
      <c r="D56">
        <v>59.118518829000003</v>
      </c>
      <c r="E56">
        <v>50</v>
      </c>
      <c r="F56">
        <v>14.997615814</v>
      </c>
      <c r="G56">
        <v>1340.8654785000001</v>
      </c>
      <c r="H56">
        <v>1338.3070068</v>
      </c>
      <c r="I56">
        <v>1321.4178466999999</v>
      </c>
      <c r="J56">
        <v>1317.4718018000001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0.77763899999999997</v>
      </c>
      <c r="B57" s="1">
        <f>DATE(2010,5,1) + TIME(18,39,47)</f>
        <v>40299.777627314812</v>
      </c>
      <c r="C57">
        <v>80</v>
      </c>
      <c r="D57">
        <v>60.085178374999998</v>
      </c>
      <c r="E57">
        <v>50</v>
      </c>
      <c r="F57">
        <v>14.997625351</v>
      </c>
      <c r="G57">
        <v>1340.9171143000001</v>
      </c>
      <c r="H57">
        <v>1338.3614502</v>
      </c>
      <c r="I57">
        <v>1321.4143065999999</v>
      </c>
      <c r="J57">
        <v>1317.4681396000001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0.80336700000000005</v>
      </c>
      <c r="B58" s="1">
        <f>DATE(2010,5,1) + TIME(19,16,50)</f>
        <v>40299.803356481483</v>
      </c>
      <c r="C58">
        <v>80</v>
      </c>
      <c r="D58">
        <v>61.049163817999997</v>
      </c>
      <c r="E58">
        <v>50</v>
      </c>
      <c r="F58">
        <v>14.997635840999999</v>
      </c>
      <c r="G58">
        <v>1340.9697266000001</v>
      </c>
      <c r="H58">
        <v>1338.4161377</v>
      </c>
      <c r="I58">
        <v>1321.4111327999999</v>
      </c>
      <c r="J58">
        <v>1317.4648437999999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0.83005700000000004</v>
      </c>
      <c r="B59" s="1">
        <f>DATE(2010,5,1) + TIME(19,55,16)</f>
        <v>40299.830046296294</v>
      </c>
      <c r="C59">
        <v>80</v>
      </c>
      <c r="D59">
        <v>62.011352539000001</v>
      </c>
      <c r="E59">
        <v>50</v>
      </c>
      <c r="F59">
        <v>14.997645378</v>
      </c>
      <c r="G59">
        <v>1341.0231934000001</v>
      </c>
      <c r="H59">
        <v>1338.4710693</v>
      </c>
      <c r="I59">
        <v>1321.4083252</v>
      </c>
      <c r="J59">
        <v>1317.4620361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0.857796</v>
      </c>
      <c r="B60" s="1">
        <f>DATE(2010,5,1) + TIME(20,35,13)</f>
        <v>40299.857789351852</v>
      </c>
      <c r="C60">
        <v>80</v>
      </c>
      <c r="D60">
        <v>62.970981598000002</v>
      </c>
      <c r="E60">
        <v>50</v>
      </c>
      <c r="F60">
        <v>14.997655869000001</v>
      </c>
      <c r="G60">
        <v>1341.0777588000001</v>
      </c>
      <c r="H60">
        <v>1338.5262451000001</v>
      </c>
      <c r="I60">
        <v>1321.4060059000001</v>
      </c>
      <c r="J60">
        <v>1317.4594727000001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0.88670199999999999</v>
      </c>
      <c r="B61" s="1">
        <f>DATE(2010,5,1) + TIME(21,16,51)</f>
        <v>40299.886701388888</v>
      </c>
      <c r="C61">
        <v>80</v>
      </c>
      <c r="D61">
        <v>63.927768706999998</v>
      </c>
      <c r="E61">
        <v>50</v>
      </c>
      <c r="F61">
        <v>14.997667313000001</v>
      </c>
      <c r="G61">
        <v>1341.1331786999999</v>
      </c>
      <c r="H61">
        <v>1338.5816649999999</v>
      </c>
      <c r="I61">
        <v>1321.4040527</v>
      </c>
      <c r="J61">
        <v>1317.4573975000001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0.91691299999999998</v>
      </c>
      <c r="B62" s="1">
        <f>DATE(2010,5,1) + TIME(22,0,21)</f>
        <v>40299.916909722226</v>
      </c>
      <c r="C62">
        <v>80</v>
      </c>
      <c r="D62">
        <v>64.881401061999995</v>
      </c>
      <c r="E62">
        <v>50</v>
      </c>
      <c r="F62">
        <v>14.997677803</v>
      </c>
      <c r="G62">
        <v>1341.1895752</v>
      </c>
      <c r="H62">
        <v>1338.6374512</v>
      </c>
      <c r="I62">
        <v>1321.4024658000001</v>
      </c>
      <c r="J62">
        <v>1317.4555664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0.94859300000000002</v>
      </c>
      <c r="B63" s="1">
        <f>DATE(2010,5,1) + TIME(22,45,58)</f>
        <v>40299.948587962965</v>
      </c>
      <c r="C63">
        <v>80</v>
      </c>
      <c r="D63">
        <v>65.831695557000003</v>
      </c>
      <c r="E63">
        <v>50</v>
      </c>
      <c r="F63">
        <v>14.997689247</v>
      </c>
      <c r="G63">
        <v>1341.2469481999999</v>
      </c>
      <c r="H63">
        <v>1338.6933594</v>
      </c>
      <c r="I63">
        <v>1321.4012451000001</v>
      </c>
      <c r="J63">
        <v>1317.4542236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0.981931</v>
      </c>
      <c r="B64" s="1">
        <f>DATE(2010,5,1) + TIME(23,33,58)</f>
        <v>40299.981921296298</v>
      </c>
      <c r="C64">
        <v>80</v>
      </c>
      <c r="D64">
        <v>66.777893066000004</v>
      </c>
      <c r="E64">
        <v>50</v>
      </c>
      <c r="F64">
        <v>14.997701644999999</v>
      </c>
      <c r="G64">
        <v>1341.3051757999999</v>
      </c>
      <c r="H64">
        <v>1338.7495117000001</v>
      </c>
      <c r="I64">
        <v>1321.4002685999999</v>
      </c>
      <c r="J64">
        <v>1317.453125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0.998838</v>
      </c>
      <c r="B65" s="1">
        <f>DATE(2010,5,1) + TIME(23,58,19)</f>
        <v>40299.998831018522</v>
      </c>
      <c r="C65">
        <v>80</v>
      </c>
      <c r="D65">
        <v>67.247863769999995</v>
      </c>
      <c r="E65">
        <v>50</v>
      </c>
      <c r="F65">
        <v>14.997707367</v>
      </c>
      <c r="G65">
        <v>1341.3769531</v>
      </c>
      <c r="H65">
        <v>1338.7991943</v>
      </c>
      <c r="I65">
        <v>1321.3999022999999</v>
      </c>
      <c r="J65">
        <v>1317.4527588000001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1.015744</v>
      </c>
      <c r="B66" s="1">
        <f>DATE(2010,5,2) + TIME(0,22,40)</f>
        <v>40300.015740740739</v>
      </c>
      <c r="C66">
        <v>80</v>
      </c>
      <c r="D66">
        <v>67.703758239999999</v>
      </c>
      <c r="E66">
        <v>50</v>
      </c>
      <c r="F66">
        <v>14.997713088999999</v>
      </c>
      <c r="G66">
        <v>1341.4066161999999</v>
      </c>
      <c r="H66">
        <v>1338.8288574000001</v>
      </c>
      <c r="I66">
        <v>1321.3996582</v>
      </c>
      <c r="J66">
        <v>1317.4523925999999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1.032651</v>
      </c>
      <c r="B67" s="1">
        <f>DATE(2010,5,2) + TIME(0,47,1)</f>
        <v>40300.032650462963</v>
      </c>
      <c r="C67">
        <v>80</v>
      </c>
      <c r="D67">
        <v>68.146118164000001</v>
      </c>
      <c r="E67">
        <v>50</v>
      </c>
      <c r="F67">
        <v>14.997719764999999</v>
      </c>
      <c r="G67">
        <v>1341.4360352000001</v>
      </c>
      <c r="H67">
        <v>1338.8566894999999</v>
      </c>
      <c r="I67">
        <v>1321.3994141000001</v>
      </c>
      <c r="J67">
        <v>1317.4520264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1.049547</v>
      </c>
      <c r="B68" s="1">
        <f>DATE(2010,5,2) + TIME(1,11,20)</f>
        <v>40300.049537037034</v>
      </c>
      <c r="C68">
        <v>80</v>
      </c>
      <c r="D68">
        <v>68.574943542</v>
      </c>
      <c r="E68">
        <v>50</v>
      </c>
      <c r="F68">
        <v>14.997725487</v>
      </c>
      <c r="G68">
        <v>1341.4649658000001</v>
      </c>
      <c r="H68">
        <v>1338.8836670000001</v>
      </c>
      <c r="I68">
        <v>1321.3992920000001</v>
      </c>
      <c r="J68">
        <v>1317.4519043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1.0663549999999999</v>
      </c>
      <c r="B69" s="1">
        <f>DATE(2010,5,2) + TIME(1,35,33)</f>
        <v>40300.066354166665</v>
      </c>
      <c r="C69">
        <v>80</v>
      </c>
      <c r="D69">
        <v>68.988700867000006</v>
      </c>
      <c r="E69">
        <v>50</v>
      </c>
      <c r="F69">
        <v>14.997731208999999</v>
      </c>
      <c r="G69">
        <v>1341.4934082</v>
      </c>
      <c r="H69">
        <v>1338.909668</v>
      </c>
      <c r="I69">
        <v>1321.3992920000001</v>
      </c>
      <c r="J69">
        <v>1317.4517822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1.083086</v>
      </c>
      <c r="B70" s="1">
        <f>DATE(2010,5,2) + TIME(1,59,38)</f>
        <v>40300.083078703705</v>
      </c>
      <c r="C70">
        <v>80</v>
      </c>
      <c r="D70">
        <v>69.388053893999995</v>
      </c>
      <c r="E70">
        <v>50</v>
      </c>
      <c r="F70">
        <v>14.997736931</v>
      </c>
      <c r="G70">
        <v>1341.5211182</v>
      </c>
      <c r="H70">
        <v>1338.9349365</v>
      </c>
      <c r="I70">
        <v>1321.3992920000001</v>
      </c>
      <c r="J70">
        <v>1317.4516602000001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1.0997490000000001</v>
      </c>
      <c r="B71" s="1">
        <f>DATE(2010,5,2) + TIME(2,23,38)</f>
        <v>40300.099745370368</v>
      </c>
      <c r="C71">
        <v>80</v>
      </c>
      <c r="D71">
        <v>69.773635863999999</v>
      </c>
      <c r="E71">
        <v>50</v>
      </c>
      <c r="F71">
        <v>14.997742653</v>
      </c>
      <c r="G71">
        <v>1341.5480957</v>
      </c>
      <c r="H71">
        <v>1338.9593506000001</v>
      </c>
      <c r="I71">
        <v>1321.3994141000001</v>
      </c>
      <c r="J71">
        <v>1317.4516602000001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1.1163559999999999</v>
      </c>
      <c r="B72" s="1">
        <f>DATE(2010,5,2) + TIME(2,47,33)</f>
        <v>40300.116354166668</v>
      </c>
      <c r="C72">
        <v>80</v>
      </c>
      <c r="D72">
        <v>70.145942688000005</v>
      </c>
      <c r="E72">
        <v>50</v>
      </c>
      <c r="F72">
        <v>14.997748375</v>
      </c>
      <c r="G72">
        <v>1341.5744629000001</v>
      </c>
      <c r="H72">
        <v>1338.9830322</v>
      </c>
      <c r="I72">
        <v>1321.3995361</v>
      </c>
      <c r="J72">
        <v>1317.4517822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1.132914</v>
      </c>
      <c r="B73" s="1">
        <f>DATE(2010,5,2) + TIME(3,11,23)</f>
        <v>40300.132905092592</v>
      </c>
      <c r="C73">
        <v>80</v>
      </c>
      <c r="D73">
        <v>70.505470275999997</v>
      </c>
      <c r="E73">
        <v>50</v>
      </c>
      <c r="F73">
        <v>14.997753143000001</v>
      </c>
      <c r="G73">
        <v>1341.6002197</v>
      </c>
      <c r="H73">
        <v>1339.0059814000001</v>
      </c>
      <c r="I73">
        <v>1321.3996582</v>
      </c>
      <c r="J73">
        <v>1317.4517822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1.1494340000000001</v>
      </c>
      <c r="B74" s="1">
        <f>DATE(2010,5,2) + TIME(3,35,11)</f>
        <v>40300.14943287037</v>
      </c>
      <c r="C74">
        <v>80</v>
      </c>
      <c r="D74">
        <v>70.852890015</v>
      </c>
      <c r="E74">
        <v>50</v>
      </c>
      <c r="F74">
        <v>14.997758865</v>
      </c>
      <c r="G74">
        <v>1341.6252440999999</v>
      </c>
      <c r="H74">
        <v>1339.0283202999999</v>
      </c>
      <c r="I74">
        <v>1321.3999022999999</v>
      </c>
      <c r="J74">
        <v>1317.4519043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1.165924</v>
      </c>
      <c r="B75" s="1">
        <f>DATE(2010,5,2) + TIME(3,58,55)</f>
        <v>40300.165914351855</v>
      </c>
      <c r="C75">
        <v>80</v>
      </c>
      <c r="D75">
        <v>71.188690186000002</v>
      </c>
      <c r="E75">
        <v>50</v>
      </c>
      <c r="F75">
        <v>14.997764587000001</v>
      </c>
      <c r="G75">
        <v>1341.6497803</v>
      </c>
      <c r="H75">
        <v>1339.0499268000001</v>
      </c>
      <c r="I75">
        <v>1321.4001464999999</v>
      </c>
      <c r="J75">
        <v>1317.4521483999999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1.182393</v>
      </c>
      <c r="B76" s="1">
        <f>DATE(2010,5,2) + TIME(4,22,38)</f>
        <v>40300.182384259257</v>
      </c>
      <c r="C76">
        <v>80</v>
      </c>
      <c r="D76">
        <v>71.513328552000004</v>
      </c>
      <c r="E76">
        <v>50</v>
      </c>
      <c r="F76">
        <v>14.997769355999999</v>
      </c>
      <c r="G76">
        <v>1341.6735839999999</v>
      </c>
      <c r="H76">
        <v>1339.0709228999999</v>
      </c>
      <c r="I76">
        <v>1321.4003906</v>
      </c>
      <c r="J76">
        <v>1317.4523925999999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1.1988490000000001</v>
      </c>
      <c r="B77" s="1">
        <f>DATE(2010,5,2) + TIME(4,46,20)</f>
        <v>40300.198842592596</v>
      </c>
      <c r="C77">
        <v>80</v>
      </c>
      <c r="D77">
        <v>71.827239989999995</v>
      </c>
      <c r="E77">
        <v>50</v>
      </c>
      <c r="F77">
        <v>14.997775078</v>
      </c>
      <c r="G77">
        <v>1341.6970214999999</v>
      </c>
      <c r="H77">
        <v>1339.0911865</v>
      </c>
      <c r="I77">
        <v>1321.4007568</v>
      </c>
      <c r="J77">
        <v>1317.4525146000001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1.215301</v>
      </c>
      <c r="B78" s="1">
        <f>DATE(2010,5,2) + TIME(5,10,1)</f>
        <v>40300.215289351851</v>
      </c>
      <c r="C78">
        <v>80</v>
      </c>
      <c r="D78">
        <v>72.130828856999997</v>
      </c>
      <c r="E78">
        <v>50</v>
      </c>
      <c r="F78">
        <v>14.997779846</v>
      </c>
      <c r="G78">
        <v>1341.7197266000001</v>
      </c>
      <c r="H78">
        <v>1339.1109618999999</v>
      </c>
      <c r="I78">
        <v>1321.401001</v>
      </c>
      <c r="J78">
        <v>1317.4528809000001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1.231752</v>
      </c>
      <c r="B79" s="1">
        <f>DATE(2010,5,2) + TIME(5,33,43)</f>
        <v>40300.231747685182</v>
      </c>
      <c r="C79">
        <v>80</v>
      </c>
      <c r="D79">
        <v>72.424423218000001</v>
      </c>
      <c r="E79">
        <v>50</v>
      </c>
      <c r="F79">
        <v>14.997785567999999</v>
      </c>
      <c r="G79">
        <v>1341.7419434000001</v>
      </c>
      <c r="H79">
        <v>1339.1301269999999</v>
      </c>
      <c r="I79">
        <v>1321.4013672000001</v>
      </c>
      <c r="J79">
        <v>1317.453125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1.2482040000000001</v>
      </c>
      <c r="B80" s="1">
        <f>DATE(2010,5,2) + TIME(5,57,24)</f>
        <v>40300.248194444444</v>
      </c>
      <c r="C80">
        <v>80</v>
      </c>
      <c r="D80">
        <v>72.708274841000005</v>
      </c>
      <c r="E80">
        <v>50</v>
      </c>
      <c r="F80">
        <v>14.997790337</v>
      </c>
      <c r="G80">
        <v>1341.7636719</v>
      </c>
      <c r="H80">
        <v>1339.1488036999999</v>
      </c>
      <c r="I80">
        <v>1321.4017334</v>
      </c>
      <c r="J80">
        <v>1317.4534911999999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1.2646550000000001</v>
      </c>
      <c r="B81" s="1">
        <f>DATE(2010,5,2) + TIME(6,21,6)</f>
        <v>40300.264652777776</v>
      </c>
      <c r="C81">
        <v>80</v>
      </c>
      <c r="D81">
        <v>72.982620238999999</v>
      </c>
      <c r="E81">
        <v>50</v>
      </c>
      <c r="F81">
        <v>14.997795105</v>
      </c>
      <c r="G81">
        <v>1341.7849120999999</v>
      </c>
      <c r="H81">
        <v>1339.1668701000001</v>
      </c>
      <c r="I81">
        <v>1321.4022216999999</v>
      </c>
      <c r="J81">
        <v>1317.4537353999999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1.2811060000000001</v>
      </c>
      <c r="B82" s="1">
        <f>DATE(2010,5,2) + TIME(6,44,47)</f>
        <v>40300.281099537038</v>
      </c>
      <c r="C82">
        <v>80</v>
      </c>
      <c r="D82">
        <v>73.247688292999996</v>
      </c>
      <c r="E82">
        <v>50</v>
      </c>
      <c r="F82">
        <v>14.997800827000001</v>
      </c>
      <c r="G82">
        <v>1341.8056641000001</v>
      </c>
      <c r="H82">
        <v>1339.1844481999999</v>
      </c>
      <c r="I82">
        <v>1321.4025879000001</v>
      </c>
      <c r="J82">
        <v>1317.4541016000001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1.297558</v>
      </c>
      <c r="B83" s="1">
        <f>DATE(2010,5,2) + TIME(7,8,28)</f>
        <v>40300.297546296293</v>
      </c>
      <c r="C83">
        <v>80</v>
      </c>
      <c r="D83">
        <v>73.503730774000005</v>
      </c>
      <c r="E83">
        <v>50</v>
      </c>
      <c r="F83">
        <v>14.997805595000001</v>
      </c>
      <c r="G83">
        <v>1341.8259277</v>
      </c>
      <c r="H83">
        <v>1339.2014160000001</v>
      </c>
      <c r="I83">
        <v>1321.4030762</v>
      </c>
      <c r="J83">
        <v>1317.4544678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1.314009</v>
      </c>
      <c r="B84" s="1">
        <f>DATE(2010,5,2) + TIME(7,32,10)</f>
        <v>40300.314004629632</v>
      </c>
      <c r="C84">
        <v>80</v>
      </c>
      <c r="D84">
        <v>73.750976562000005</v>
      </c>
      <c r="E84">
        <v>50</v>
      </c>
      <c r="F84">
        <v>14.997810363999999</v>
      </c>
      <c r="G84">
        <v>1341.8455810999999</v>
      </c>
      <c r="H84">
        <v>1339.2180175999999</v>
      </c>
      <c r="I84">
        <v>1321.4034423999999</v>
      </c>
      <c r="J84">
        <v>1317.4548339999999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1.33046</v>
      </c>
      <c r="B85" s="1">
        <f>DATE(2010,5,2) + TIME(7,55,51)</f>
        <v>40300.330451388887</v>
      </c>
      <c r="C85">
        <v>80</v>
      </c>
      <c r="D85">
        <v>73.989669800000001</v>
      </c>
      <c r="E85">
        <v>50</v>
      </c>
      <c r="F85">
        <v>14.997815131999999</v>
      </c>
      <c r="G85">
        <v>1341.8648682</v>
      </c>
      <c r="H85">
        <v>1339.2340088000001</v>
      </c>
      <c r="I85">
        <v>1321.4039307</v>
      </c>
      <c r="J85">
        <v>1317.4553223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1.3469120000000001</v>
      </c>
      <c r="B86" s="1">
        <f>DATE(2010,5,2) + TIME(8,19,33)</f>
        <v>40300.346909722219</v>
      </c>
      <c r="C86">
        <v>80</v>
      </c>
      <c r="D86">
        <v>74.220039368000002</v>
      </c>
      <c r="E86">
        <v>50</v>
      </c>
      <c r="F86">
        <v>14.997819901</v>
      </c>
      <c r="G86">
        <v>1341.8835449000001</v>
      </c>
      <c r="H86">
        <v>1339.2493896000001</v>
      </c>
      <c r="I86">
        <v>1321.4044189000001</v>
      </c>
      <c r="J86">
        <v>1317.4556885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1.3798140000000001</v>
      </c>
      <c r="B87" s="1">
        <f>DATE(2010,5,2) + TIME(9,6,55)</f>
        <v>40300.379803240743</v>
      </c>
      <c r="C87">
        <v>80</v>
      </c>
      <c r="D87">
        <v>74.647491454999994</v>
      </c>
      <c r="E87">
        <v>50</v>
      </c>
      <c r="F87">
        <v>14.997829437</v>
      </c>
      <c r="G87">
        <v>1341.8961182</v>
      </c>
      <c r="H87">
        <v>1339.2674560999999</v>
      </c>
      <c r="I87">
        <v>1321.4053954999999</v>
      </c>
      <c r="J87">
        <v>1317.456543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1.4127479999999999</v>
      </c>
      <c r="B88" s="1">
        <f>DATE(2010,5,2) + TIME(9,54,21)</f>
        <v>40300.412743055553</v>
      </c>
      <c r="C88">
        <v>80</v>
      </c>
      <c r="D88">
        <v>75.046173096000004</v>
      </c>
      <c r="E88">
        <v>50</v>
      </c>
      <c r="F88">
        <v>14.99783802</v>
      </c>
      <c r="G88">
        <v>1341.9312743999999</v>
      </c>
      <c r="H88">
        <v>1339.2945557</v>
      </c>
      <c r="I88">
        <v>1321.4063721</v>
      </c>
      <c r="J88">
        <v>1317.4573975000001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1.4460120000000001</v>
      </c>
      <c r="B89" s="1">
        <f>DATE(2010,5,2) + TIME(10,42,15)</f>
        <v>40300.446006944447</v>
      </c>
      <c r="C89">
        <v>80</v>
      </c>
      <c r="D89">
        <v>75.420402526999993</v>
      </c>
      <c r="E89">
        <v>50</v>
      </c>
      <c r="F89">
        <v>14.997847557</v>
      </c>
      <c r="G89">
        <v>1341.9643555</v>
      </c>
      <c r="H89">
        <v>1339.3205565999999</v>
      </c>
      <c r="I89">
        <v>1321.4073486</v>
      </c>
      <c r="J89">
        <v>1317.4582519999999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1.479662</v>
      </c>
      <c r="B90" s="1">
        <f>DATE(2010,5,2) + TIME(11,30,42)</f>
        <v>40300.47965277778</v>
      </c>
      <c r="C90">
        <v>80</v>
      </c>
      <c r="D90">
        <v>75.771804810000006</v>
      </c>
      <c r="E90">
        <v>50</v>
      </c>
      <c r="F90">
        <v>14.99785614</v>
      </c>
      <c r="G90">
        <v>1341.9958495999999</v>
      </c>
      <c r="H90">
        <v>1339.3452147999999</v>
      </c>
      <c r="I90">
        <v>1321.4083252</v>
      </c>
      <c r="J90">
        <v>1317.4591064000001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1.5137529999999999</v>
      </c>
      <c r="B91" s="1">
        <f>DATE(2010,5,2) + TIME(12,19,48)</f>
        <v>40300.513749999998</v>
      </c>
      <c r="C91">
        <v>80</v>
      </c>
      <c r="D91">
        <v>76.101646423000005</v>
      </c>
      <c r="E91">
        <v>50</v>
      </c>
      <c r="F91">
        <v>14.997864722999999</v>
      </c>
      <c r="G91">
        <v>1342.026001</v>
      </c>
      <c r="H91">
        <v>1339.3685303</v>
      </c>
      <c r="I91">
        <v>1321.4093018000001</v>
      </c>
      <c r="J91">
        <v>1317.4600829999999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1.548341</v>
      </c>
      <c r="B92" s="1">
        <f>DATE(2010,5,2) + TIME(13,9,36)</f>
        <v>40300.548333333332</v>
      </c>
      <c r="C92">
        <v>80</v>
      </c>
      <c r="D92">
        <v>76.411117554</v>
      </c>
      <c r="E92">
        <v>50</v>
      </c>
      <c r="F92">
        <v>14.997873306000001</v>
      </c>
      <c r="G92">
        <v>1342.0548096</v>
      </c>
      <c r="H92">
        <v>1339.3905029</v>
      </c>
      <c r="I92">
        <v>1321.4104004000001</v>
      </c>
      <c r="J92">
        <v>1317.4609375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1.5834870000000001</v>
      </c>
      <c r="B93" s="1">
        <f>DATE(2010,5,2) + TIME(14,0,13)</f>
        <v>40300.583483796298</v>
      </c>
      <c r="C93">
        <v>80</v>
      </c>
      <c r="D93">
        <v>76.701301575000002</v>
      </c>
      <c r="E93">
        <v>50</v>
      </c>
      <c r="F93">
        <v>14.997882842999999</v>
      </c>
      <c r="G93">
        <v>1342.0823975000001</v>
      </c>
      <c r="H93">
        <v>1339.4111327999999</v>
      </c>
      <c r="I93">
        <v>1321.4113769999999</v>
      </c>
      <c r="J93">
        <v>1317.4619141000001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1.6192500000000001</v>
      </c>
      <c r="B94" s="1">
        <f>DATE(2010,5,2) + TIME(14,51,43)</f>
        <v>40300.619247685187</v>
      </c>
      <c r="C94">
        <v>80</v>
      </c>
      <c r="D94">
        <v>76.973205566000004</v>
      </c>
      <c r="E94">
        <v>50</v>
      </c>
      <c r="F94">
        <v>14.997891426000001</v>
      </c>
      <c r="G94">
        <v>1342.1086425999999</v>
      </c>
      <c r="H94">
        <v>1339.4306641000001</v>
      </c>
      <c r="I94">
        <v>1321.4123535000001</v>
      </c>
      <c r="J94">
        <v>1317.4628906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1.6556979999999999</v>
      </c>
      <c r="B95" s="1">
        <f>DATE(2010,5,2) + TIME(15,44,12)</f>
        <v>40300.655694444446</v>
      </c>
      <c r="C95">
        <v>80</v>
      </c>
      <c r="D95">
        <v>77.227783203000001</v>
      </c>
      <c r="E95">
        <v>50</v>
      </c>
      <c r="F95">
        <v>14.997900009</v>
      </c>
      <c r="G95">
        <v>1342.1337891000001</v>
      </c>
      <c r="H95">
        <v>1339.4488524999999</v>
      </c>
      <c r="I95">
        <v>1321.4134521000001</v>
      </c>
      <c r="J95">
        <v>1317.4637451000001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1.692914</v>
      </c>
      <c r="B96" s="1">
        <f>DATE(2010,5,2) + TIME(16,37,47)</f>
        <v>40300.69290509259</v>
      </c>
      <c r="C96">
        <v>80</v>
      </c>
      <c r="D96">
        <v>77.466011046999995</v>
      </c>
      <c r="E96">
        <v>50</v>
      </c>
      <c r="F96">
        <v>14.997908592</v>
      </c>
      <c r="G96">
        <v>1342.1577147999999</v>
      </c>
      <c r="H96">
        <v>1339.4660644999999</v>
      </c>
      <c r="I96">
        <v>1321.4144286999999</v>
      </c>
      <c r="J96">
        <v>1317.4647216999999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1.7309600000000001</v>
      </c>
      <c r="B97" s="1">
        <f>DATE(2010,5,2) + TIME(17,32,34)</f>
        <v>40300.730949074074</v>
      </c>
      <c r="C97">
        <v>80</v>
      </c>
      <c r="D97">
        <v>77.688613892000006</v>
      </c>
      <c r="E97">
        <v>50</v>
      </c>
      <c r="F97">
        <v>14.997917175</v>
      </c>
      <c r="G97">
        <v>1342.1804199000001</v>
      </c>
      <c r="H97">
        <v>1339.4820557</v>
      </c>
      <c r="I97">
        <v>1321.4154053</v>
      </c>
      <c r="J97">
        <v>1317.4655762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1.769916</v>
      </c>
      <c r="B98" s="1">
        <f>DATE(2010,5,2) + TIME(18,28,40)</f>
        <v>40300.769907407404</v>
      </c>
      <c r="C98">
        <v>80</v>
      </c>
      <c r="D98">
        <v>77.896369934000006</v>
      </c>
      <c r="E98">
        <v>50</v>
      </c>
      <c r="F98">
        <v>14.997925757999999</v>
      </c>
      <c r="G98">
        <v>1342.2020264</v>
      </c>
      <c r="H98">
        <v>1339.4969481999999</v>
      </c>
      <c r="I98">
        <v>1321.4165039</v>
      </c>
      <c r="J98">
        <v>1317.4665527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1.8098719999999999</v>
      </c>
      <c r="B99" s="1">
        <f>DATE(2010,5,2) + TIME(19,26,12)</f>
        <v>40300.809861111113</v>
      </c>
      <c r="C99">
        <v>80</v>
      </c>
      <c r="D99">
        <v>78.090019225999995</v>
      </c>
      <c r="E99">
        <v>50</v>
      </c>
      <c r="F99">
        <v>14.997934341000001</v>
      </c>
      <c r="G99">
        <v>1342.2226562000001</v>
      </c>
      <c r="H99">
        <v>1339.5107422000001</v>
      </c>
      <c r="I99">
        <v>1321.4174805</v>
      </c>
      <c r="J99">
        <v>1317.4674072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1.850922</v>
      </c>
      <c r="B100" s="1">
        <f>DATE(2010,5,2) + TIME(20,25,19)</f>
        <v>40300.850914351853</v>
      </c>
      <c r="C100">
        <v>80</v>
      </c>
      <c r="D100">
        <v>78.270256042</v>
      </c>
      <c r="E100">
        <v>50</v>
      </c>
      <c r="F100">
        <v>14.997941970999999</v>
      </c>
      <c r="G100">
        <v>1342.2420654</v>
      </c>
      <c r="H100">
        <v>1339.5234375</v>
      </c>
      <c r="I100">
        <v>1321.418457</v>
      </c>
      <c r="J100">
        <v>1317.4683838000001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1.893176</v>
      </c>
      <c r="B101" s="1">
        <f>DATE(2010,5,2) + TIME(21,26,10)</f>
        <v>40300.893171296295</v>
      </c>
      <c r="C101">
        <v>80</v>
      </c>
      <c r="D101">
        <v>78.437751770000006</v>
      </c>
      <c r="E101">
        <v>50</v>
      </c>
      <c r="F101">
        <v>14.997951508</v>
      </c>
      <c r="G101">
        <v>1342.260376</v>
      </c>
      <c r="H101">
        <v>1339.5351562000001</v>
      </c>
      <c r="I101">
        <v>1321.4194336</v>
      </c>
      <c r="J101">
        <v>1317.4692382999999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1.9367639999999999</v>
      </c>
      <c r="B102" s="1">
        <f>DATE(2010,5,2) + TIME(22,28,56)</f>
        <v>40300.936759259261</v>
      </c>
      <c r="C102">
        <v>80</v>
      </c>
      <c r="D102">
        <v>78.593162536999998</v>
      </c>
      <c r="E102">
        <v>50</v>
      </c>
      <c r="F102">
        <v>14.997960090999999</v>
      </c>
      <c r="G102">
        <v>1342.2777100000001</v>
      </c>
      <c r="H102">
        <v>1339.5458983999999</v>
      </c>
      <c r="I102">
        <v>1321.4204102000001</v>
      </c>
      <c r="J102">
        <v>1317.4700928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1.9818180000000001</v>
      </c>
      <c r="B103" s="1">
        <f>DATE(2010,5,2) + TIME(23,33,49)</f>
        <v>40300.981817129628</v>
      </c>
      <c r="C103">
        <v>80</v>
      </c>
      <c r="D103">
        <v>78.737075806000007</v>
      </c>
      <c r="E103">
        <v>50</v>
      </c>
      <c r="F103">
        <v>14.997968673999999</v>
      </c>
      <c r="G103">
        <v>1342.2939452999999</v>
      </c>
      <c r="H103">
        <v>1339.5555420000001</v>
      </c>
      <c r="I103">
        <v>1321.4213867000001</v>
      </c>
      <c r="J103">
        <v>1317.4709473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2.0281859999999998</v>
      </c>
      <c r="B104" s="1">
        <f>DATE(2010,5,3) + TIME(0,40,35)</f>
        <v>40301.028182870374</v>
      </c>
      <c r="C104">
        <v>80</v>
      </c>
      <c r="D104">
        <v>78.869293213000006</v>
      </c>
      <c r="E104">
        <v>50</v>
      </c>
      <c r="F104">
        <v>14.997977257000001</v>
      </c>
      <c r="G104">
        <v>1342.309082</v>
      </c>
      <c r="H104">
        <v>1339.5642089999999</v>
      </c>
      <c r="I104">
        <v>1321.4222411999999</v>
      </c>
      <c r="J104">
        <v>1317.4718018000001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2.0759439999999998</v>
      </c>
      <c r="B105" s="1">
        <f>DATE(2010,5,3) + TIME(1,49,21)</f>
        <v>40301.075937499998</v>
      </c>
      <c r="C105">
        <v>80</v>
      </c>
      <c r="D105">
        <v>78.990386963000006</v>
      </c>
      <c r="E105">
        <v>50</v>
      </c>
      <c r="F105">
        <v>14.99798584</v>
      </c>
      <c r="G105">
        <v>1342.3231201000001</v>
      </c>
      <c r="H105">
        <v>1339.5717772999999</v>
      </c>
      <c r="I105">
        <v>1321.4232178</v>
      </c>
      <c r="J105">
        <v>1317.4725341999999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2.1252279999999999</v>
      </c>
      <c r="B106" s="1">
        <f>DATE(2010,5,3) + TIME(3,0,19)</f>
        <v>40301.125219907408</v>
      </c>
      <c r="C106">
        <v>80</v>
      </c>
      <c r="D106">
        <v>79.101066588999998</v>
      </c>
      <c r="E106">
        <v>50</v>
      </c>
      <c r="F106">
        <v>14.997994423</v>
      </c>
      <c r="G106">
        <v>1342.3360596</v>
      </c>
      <c r="H106">
        <v>1339.5783690999999</v>
      </c>
      <c r="I106">
        <v>1321.4240723</v>
      </c>
      <c r="J106">
        <v>1317.4733887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2.176107</v>
      </c>
      <c r="B107" s="1">
        <f>DATE(2010,5,3) + TIME(4,13,35)</f>
        <v>40301.176099537035</v>
      </c>
      <c r="C107">
        <v>80</v>
      </c>
      <c r="D107">
        <v>79.201843261999997</v>
      </c>
      <c r="E107">
        <v>50</v>
      </c>
      <c r="F107">
        <v>14.998003005999999</v>
      </c>
      <c r="G107">
        <v>1342.3479004000001</v>
      </c>
      <c r="H107">
        <v>1339.5839844</v>
      </c>
      <c r="I107">
        <v>1321.4249268000001</v>
      </c>
      <c r="J107">
        <v>1317.4741211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2.2287080000000001</v>
      </c>
      <c r="B108" s="1">
        <f>DATE(2010,5,3) + TIME(5,29,20)</f>
        <v>40301.228703703702</v>
      </c>
      <c r="C108">
        <v>80</v>
      </c>
      <c r="D108">
        <v>79.293319702000005</v>
      </c>
      <c r="E108">
        <v>50</v>
      </c>
      <c r="F108">
        <v>14.998012543</v>
      </c>
      <c r="G108">
        <v>1342.3586425999999</v>
      </c>
      <c r="H108">
        <v>1339.588501</v>
      </c>
      <c r="I108">
        <v>1321.4257812000001</v>
      </c>
      <c r="J108">
        <v>1317.4748535000001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2.2832050000000002</v>
      </c>
      <c r="B109" s="1">
        <f>DATE(2010,5,3) + TIME(6,47,48)</f>
        <v>40301.283194444448</v>
      </c>
      <c r="C109">
        <v>80</v>
      </c>
      <c r="D109">
        <v>79.376129149999997</v>
      </c>
      <c r="E109">
        <v>50</v>
      </c>
      <c r="F109">
        <v>14.998021125999999</v>
      </c>
      <c r="G109">
        <v>1342.3681641000001</v>
      </c>
      <c r="H109">
        <v>1339.5919189000001</v>
      </c>
      <c r="I109">
        <v>1321.4265137</v>
      </c>
      <c r="J109">
        <v>1317.4755858999999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2.3393090000000001</v>
      </c>
      <c r="B110" s="1">
        <f>DATE(2010,5,3) + TIME(8,8,36)</f>
        <v>40301.339305555557</v>
      </c>
      <c r="C110">
        <v>80</v>
      </c>
      <c r="D110">
        <v>79.450325011999993</v>
      </c>
      <c r="E110">
        <v>50</v>
      </c>
      <c r="F110">
        <v>14.998029709000001</v>
      </c>
      <c r="G110">
        <v>1342.3764647999999</v>
      </c>
      <c r="H110">
        <v>1339.5943603999999</v>
      </c>
      <c r="I110">
        <v>1321.4273682</v>
      </c>
      <c r="J110">
        <v>1317.4763184000001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2.3678170000000001</v>
      </c>
      <c r="B111" s="1">
        <f>DATE(2010,5,3) + TIME(8,49,39)</f>
        <v>40301.367812500001</v>
      </c>
      <c r="C111">
        <v>80</v>
      </c>
      <c r="D111">
        <v>79.485435486</v>
      </c>
      <c r="E111">
        <v>50</v>
      </c>
      <c r="F111">
        <v>14.998034476999999</v>
      </c>
      <c r="G111">
        <v>1342.3861084</v>
      </c>
      <c r="H111">
        <v>1339.5953368999999</v>
      </c>
      <c r="I111">
        <v>1321.4277344</v>
      </c>
      <c r="J111">
        <v>1317.4766846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2.3963239999999999</v>
      </c>
      <c r="B112" s="1">
        <f>DATE(2010,5,3) + TIME(9,30,42)</f>
        <v>40301.396319444444</v>
      </c>
      <c r="C112">
        <v>80</v>
      </c>
      <c r="D112">
        <v>79.518051146999994</v>
      </c>
      <c r="E112">
        <v>50</v>
      </c>
      <c r="F112">
        <v>14.998039245999999</v>
      </c>
      <c r="G112">
        <v>1342.3887939000001</v>
      </c>
      <c r="H112">
        <v>1339.5959473</v>
      </c>
      <c r="I112">
        <v>1321.4281006000001</v>
      </c>
      <c r="J112">
        <v>1317.4770507999999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2.4248319999999999</v>
      </c>
      <c r="B113" s="1">
        <f>DATE(2010,5,3) + TIME(10,11,45)</f>
        <v>40301.424826388888</v>
      </c>
      <c r="C113">
        <v>80</v>
      </c>
      <c r="D113">
        <v>79.548355103000006</v>
      </c>
      <c r="E113">
        <v>50</v>
      </c>
      <c r="F113">
        <v>14.998043060000001</v>
      </c>
      <c r="G113">
        <v>1342.3916016000001</v>
      </c>
      <c r="H113">
        <v>1339.5961914</v>
      </c>
      <c r="I113">
        <v>1321.4284668</v>
      </c>
      <c r="J113">
        <v>1317.4772949000001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2.4533390000000002</v>
      </c>
      <c r="B114" s="1">
        <f>DATE(2010,5,3) + TIME(10,52,48)</f>
        <v>40301.453333333331</v>
      </c>
      <c r="C114">
        <v>80</v>
      </c>
      <c r="D114">
        <v>79.576499939000001</v>
      </c>
      <c r="E114">
        <v>50</v>
      </c>
      <c r="F114">
        <v>14.998047829000001</v>
      </c>
      <c r="G114">
        <v>1342.3941649999999</v>
      </c>
      <c r="H114">
        <v>1339.5963135</v>
      </c>
      <c r="I114">
        <v>1321.4288329999999</v>
      </c>
      <c r="J114">
        <v>1317.4776611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2.4818470000000001</v>
      </c>
      <c r="B115" s="1">
        <f>DATE(2010,5,3) + TIME(11,33,51)</f>
        <v>40301.481840277775</v>
      </c>
      <c r="C115">
        <v>80</v>
      </c>
      <c r="D115">
        <v>79.602653502999999</v>
      </c>
      <c r="E115">
        <v>50</v>
      </c>
      <c r="F115">
        <v>14.998052596999999</v>
      </c>
      <c r="G115">
        <v>1342.3964844</v>
      </c>
      <c r="H115">
        <v>1339.5959473</v>
      </c>
      <c r="I115">
        <v>1321.4291992000001</v>
      </c>
      <c r="J115">
        <v>1317.4779053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2.510354</v>
      </c>
      <c r="B116" s="1">
        <f>DATE(2010,5,3) + TIME(12,14,54)</f>
        <v>40301.510347222225</v>
      </c>
      <c r="C116">
        <v>80</v>
      </c>
      <c r="D116">
        <v>79.626937866000006</v>
      </c>
      <c r="E116">
        <v>50</v>
      </c>
      <c r="F116">
        <v>14.998056412</v>
      </c>
      <c r="G116">
        <v>1342.3984375</v>
      </c>
      <c r="H116">
        <v>1339.5955810999999</v>
      </c>
      <c r="I116">
        <v>1321.4295654</v>
      </c>
      <c r="J116">
        <v>1317.4782714999999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2.5673689999999998</v>
      </c>
      <c r="B117" s="1">
        <f>DATE(2010,5,3) + TIME(13,37,0)</f>
        <v>40301.567361111112</v>
      </c>
      <c r="C117">
        <v>80</v>
      </c>
      <c r="D117">
        <v>79.669006347999996</v>
      </c>
      <c r="E117">
        <v>50</v>
      </c>
      <c r="F117">
        <v>14.998064995</v>
      </c>
      <c r="G117">
        <v>1342.3985596</v>
      </c>
      <c r="H117">
        <v>1339.5952147999999</v>
      </c>
      <c r="I117">
        <v>1321.4301757999999</v>
      </c>
      <c r="J117">
        <v>1317.4787598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2.6244049999999999</v>
      </c>
      <c r="B118" s="1">
        <f>DATE(2010,5,3) + TIME(14,59,8)</f>
        <v>40301.624398148146</v>
      </c>
      <c r="C118">
        <v>80</v>
      </c>
      <c r="D118">
        <v>79.705512999999996</v>
      </c>
      <c r="E118">
        <v>50</v>
      </c>
      <c r="F118">
        <v>14.998072624000001</v>
      </c>
      <c r="G118">
        <v>1342.4014893000001</v>
      </c>
      <c r="H118">
        <v>1339.5931396000001</v>
      </c>
      <c r="I118">
        <v>1321.4306641000001</v>
      </c>
      <c r="J118">
        <v>1317.4792480000001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2.681578</v>
      </c>
      <c r="B119" s="1">
        <f>DATE(2010,5,3) + TIME(16,21,28)</f>
        <v>40301.681574074071</v>
      </c>
      <c r="C119">
        <v>80</v>
      </c>
      <c r="D119">
        <v>79.737251282000003</v>
      </c>
      <c r="E119">
        <v>50</v>
      </c>
      <c r="F119">
        <v>14.998080254</v>
      </c>
      <c r="G119">
        <v>1342.4030762</v>
      </c>
      <c r="H119">
        <v>1339.5905762</v>
      </c>
      <c r="I119">
        <v>1321.4311522999999</v>
      </c>
      <c r="J119">
        <v>1317.4797363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2.7389830000000002</v>
      </c>
      <c r="B120" s="1">
        <f>DATE(2010,5,3) + TIME(17,44,8)</f>
        <v>40301.738981481481</v>
      </c>
      <c r="C120">
        <v>80</v>
      </c>
      <c r="D120">
        <v>79.764862061000002</v>
      </c>
      <c r="E120">
        <v>50</v>
      </c>
      <c r="F120">
        <v>14.998087883</v>
      </c>
      <c r="G120">
        <v>1342.4038086</v>
      </c>
      <c r="H120">
        <v>1339.5872803</v>
      </c>
      <c r="I120">
        <v>1321.4317627</v>
      </c>
      <c r="J120">
        <v>1317.4801024999999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2.7967140000000001</v>
      </c>
      <c r="B121" s="1">
        <f>DATE(2010,5,3) + TIME(19,7,16)</f>
        <v>40301.796712962961</v>
      </c>
      <c r="C121">
        <v>80</v>
      </c>
      <c r="D121">
        <v>79.788917541999993</v>
      </c>
      <c r="E121">
        <v>50</v>
      </c>
      <c r="F121">
        <v>14.998095512000001</v>
      </c>
      <c r="G121">
        <v>1342.4036865</v>
      </c>
      <c r="H121">
        <v>1339.583374</v>
      </c>
      <c r="I121">
        <v>1321.4321289</v>
      </c>
      <c r="J121">
        <v>1317.4805908000001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2.8548659999999999</v>
      </c>
      <c r="B122" s="1">
        <f>DATE(2010,5,3) + TIME(20,31,0)</f>
        <v>40301.854861111111</v>
      </c>
      <c r="C122">
        <v>80</v>
      </c>
      <c r="D122">
        <v>79.809883118000002</v>
      </c>
      <c r="E122">
        <v>50</v>
      </c>
      <c r="F122">
        <v>14.998102188000001</v>
      </c>
      <c r="G122">
        <v>1342.402832</v>
      </c>
      <c r="H122">
        <v>1339.5791016000001</v>
      </c>
      <c r="I122">
        <v>1321.4326172000001</v>
      </c>
      <c r="J122">
        <v>1317.480957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2.9135249999999999</v>
      </c>
      <c r="B123" s="1">
        <f>DATE(2010,5,3) + TIME(21,55,28)</f>
        <v>40301.913518518515</v>
      </c>
      <c r="C123">
        <v>80</v>
      </c>
      <c r="D123">
        <v>79.828163146999998</v>
      </c>
      <c r="E123">
        <v>50</v>
      </c>
      <c r="F123">
        <v>14.998109818</v>
      </c>
      <c r="G123">
        <v>1342.4012451000001</v>
      </c>
      <c r="H123">
        <v>1339.5743408000001</v>
      </c>
      <c r="I123">
        <v>1321.4331055</v>
      </c>
      <c r="J123">
        <v>1317.4813231999999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2.972782</v>
      </c>
      <c r="B124" s="1">
        <f>DATE(2010,5,3) + TIME(23,20,48)</f>
        <v>40301.972777777781</v>
      </c>
      <c r="C124">
        <v>80</v>
      </c>
      <c r="D124">
        <v>79.844108582000004</v>
      </c>
      <c r="E124">
        <v>50</v>
      </c>
      <c r="F124">
        <v>14.998116492999999</v>
      </c>
      <c r="G124">
        <v>1342.3979492000001</v>
      </c>
      <c r="H124">
        <v>1339.5683594</v>
      </c>
      <c r="I124">
        <v>1321.4334716999999</v>
      </c>
      <c r="J124">
        <v>1317.4815673999999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3.0327320000000002</v>
      </c>
      <c r="B125" s="1">
        <f>DATE(2010,5,4) + TIME(0,47,8)</f>
        <v>40302.032731481479</v>
      </c>
      <c r="C125">
        <v>80</v>
      </c>
      <c r="D125">
        <v>79.858024596999996</v>
      </c>
      <c r="E125">
        <v>50</v>
      </c>
      <c r="F125">
        <v>14.998124123</v>
      </c>
      <c r="G125">
        <v>1342.3936768000001</v>
      </c>
      <c r="H125">
        <v>1339.5616454999999</v>
      </c>
      <c r="I125">
        <v>1321.4338379000001</v>
      </c>
      <c r="J125">
        <v>1317.4819336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3.0934710000000001</v>
      </c>
      <c r="B126" s="1">
        <f>DATE(2010,5,4) + TIME(2,14,35)</f>
        <v>40302.093460648146</v>
      </c>
      <c r="C126">
        <v>80</v>
      </c>
      <c r="D126">
        <v>79.870155334000003</v>
      </c>
      <c r="E126">
        <v>50</v>
      </c>
      <c r="F126">
        <v>14.998130798</v>
      </c>
      <c r="G126">
        <v>1342.3889160000001</v>
      </c>
      <c r="H126">
        <v>1339.5545654</v>
      </c>
      <c r="I126">
        <v>1321.4342041</v>
      </c>
      <c r="J126">
        <v>1317.4822998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3.1550940000000001</v>
      </c>
      <c r="B127" s="1">
        <f>DATE(2010,5,4) + TIME(3,43,20)</f>
        <v>40302.155092592591</v>
      </c>
      <c r="C127">
        <v>80</v>
      </c>
      <c r="D127">
        <v>79.880744934000006</v>
      </c>
      <c r="E127">
        <v>50</v>
      </c>
      <c r="F127">
        <v>14.998138428000001</v>
      </c>
      <c r="G127">
        <v>1342.3836670000001</v>
      </c>
      <c r="H127">
        <v>1339.5472411999999</v>
      </c>
      <c r="I127">
        <v>1321.4345702999999</v>
      </c>
      <c r="J127">
        <v>1317.4825439000001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3.2177009999999999</v>
      </c>
      <c r="B128" s="1">
        <f>DATE(2010,5,4) + TIME(5,13,29)</f>
        <v>40302.21769675926</v>
      </c>
      <c r="C128">
        <v>80</v>
      </c>
      <c r="D128">
        <v>79.889976501000007</v>
      </c>
      <c r="E128">
        <v>50</v>
      </c>
      <c r="F128">
        <v>14.998145103000001</v>
      </c>
      <c r="G128">
        <v>1342.3780518000001</v>
      </c>
      <c r="H128">
        <v>1339.5396728999999</v>
      </c>
      <c r="I128">
        <v>1321.4349365</v>
      </c>
      <c r="J128">
        <v>1317.4827881000001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3.2814000000000001</v>
      </c>
      <c r="B129" s="1">
        <f>DATE(2010,5,4) + TIME(6,45,12)</f>
        <v>40302.281388888892</v>
      </c>
      <c r="C129">
        <v>80</v>
      </c>
      <c r="D129">
        <v>79.898025512999993</v>
      </c>
      <c r="E129">
        <v>50</v>
      </c>
      <c r="F129">
        <v>14.998151779000001</v>
      </c>
      <c r="G129">
        <v>1342.3719481999999</v>
      </c>
      <c r="H129">
        <v>1339.5318603999999</v>
      </c>
      <c r="I129">
        <v>1321.4351807</v>
      </c>
      <c r="J129">
        <v>1317.4831543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3.346317</v>
      </c>
      <c r="B130" s="1">
        <f>DATE(2010,5,4) + TIME(8,18,41)</f>
        <v>40302.346307870372</v>
      </c>
      <c r="C130">
        <v>80</v>
      </c>
      <c r="D130">
        <v>79.905044556000007</v>
      </c>
      <c r="E130">
        <v>50</v>
      </c>
      <c r="F130">
        <v>14.998158455</v>
      </c>
      <c r="G130">
        <v>1342.3654785000001</v>
      </c>
      <c r="H130">
        <v>1339.5236815999999</v>
      </c>
      <c r="I130">
        <v>1321.4355469</v>
      </c>
      <c r="J130">
        <v>1317.4833983999999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3.4125730000000001</v>
      </c>
      <c r="B131" s="1">
        <f>DATE(2010,5,4) + TIME(9,54,6)</f>
        <v>40302.412569444445</v>
      </c>
      <c r="C131">
        <v>80</v>
      </c>
      <c r="D131">
        <v>79.911155700999998</v>
      </c>
      <c r="E131">
        <v>50</v>
      </c>
      <c r="F131">
        <v>14.998165131</v>
      </c>
      <c r="G131">
        <v>1342.3586425999999</v>
      </c>
      <c r="H131">
        <v>1339.5152588000001</v>
      </c>
      <c r="I131">
        <v>1321.4357910000001</v>
      </c>
      <c r="J131">
        <v>1317.4836425999999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3.480286</v>
      </c>
      <c r="B132" s="1">
        <f>DATE(2010,5,4) + TIME(11,31,36)</f>
        <v>40302.48027777778</v>
      </c>
      <c r="C132">
        <v>80</v>
      </c>
      <c r="D132">
        <v>79.916473389000004</v>
      </c>
      <c r="E132">
        <v>50</v>
      </c>
      <c r="F132">
        <v>14.998172759999999</v>
      </c>
      <c r="G132">
        <v>1342.3513184000001</v>
      </c>
      <c r="H132">
        <v>1339.5065918</v>
      </c>
      <c r="I132">
        <v>1321.4361572</v>
      </c>
      <c r="J132">
        <v>1317.4838867000001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3.5495969999999999</v>
      </c>
      <c r="B133" s="1">
        <f>DATE(2010,5,4) + TIME(13,11,25)</f>
        <v>40302.54959490741</v>
      </c>
      <c r="C133">
        <v>80</v>
      </c>
      <c r="D133">
        <v>79.921096801999994</v>
      </c>
      <c r="E133">
        <v>50</v>
      </c>
      <c r="F133">
        <v>14.998179435999999</v>
      </c>
      <c r="G133">
        <v>1342.34375</v>
      </c>
      <c r="H133">
        <v>1339.4976807</v>
      </c>
      <c r="I133">
        <v>1321.4364014</v>
      </c>
      <c r="J133">
        <v>1317.4841309000001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3.6206589999999998</v>
      </c>
      <c r="B134" s="1">
        <f>DATE(2010,5,4) + TIME(14,53,44)</f>
        <v>40302.620648148149</v>
      </c>
      <c r="C134">
        <v>80</v>
      </c>
      <c r="D134">
        <v>79.925117493000002</v>
      </c>
      <c r="E134">
        <v>50</v>
      </c>
      <c r="F134">
        <v>14.998186111000001</v>
      </c>
      <c r="G134">
        <v>1342.3356934000001</v>
      </c>
      <c r="H134">
        <v>1339.4885254000001</v>
      </c>
      <c r="I134">
        <v>1321.4366454999999</v>
      </c>
      <c r="J134">
        <v>1317.484375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3.6936420000000001</v>
      </c>
      <c r="B135" s="1">
        <f>DATE(2010,5,4) + TIME(16,38,50)</f>
        <v>40302.69363425926</v>
      </c>
      <c r="C135">
        <v>80</v>
      </c>
      <c r="D135">
        <v>79.928611755000006</v>
      </c>
      <c r="E135">
        <v>50</v>
      </c>
      <c r="F135">
        <v>14.998192787000001</v>
      </c>
      <c r="G135">
        <v>1342.3272704999999</v>
      </c>
      <c r="H135">
        <v>1339.479126</v>
      </c>
      <c r="I135">
        <v>1321.4368896000001</v>
      </c>
      <c r="J135">
        <v>1317.4846190999999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3.768643</v>
      </c>
      <c r="B136" s="1">
        <f>DATE(2010,5,4) + TIME(18,26,50)</f>
        <v>40302.768634259257</v>
      </c>
      <c r="C136">
        <v>80</v>
      </c>
      <c r="D136">
        <v>79.931632996000005</v>
      </c>
      <c r="E136">
        <v>50</v>
      </c>
      <c r="F136">
        <v>14.998200417</v>
      </c>
      <c r="G136">
        <v>1342.3184814000001</v>
      </c>
      <c r="H136">
        <v>1339.4693603999999</v>
      </c>
      <c r="I136">
        <v>1321.4372559000001</v>
      </c>
      <c r="J136">
        <v>1317.4847411999999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3.8457080000000001</v>
      </c>
      <c r="B137" s="1">
        <f>DATE(2010,5,4) + TIME(20,17,49)</f>
        <v>40302.845706018517</v>
      </c>
      <c r="C137">
        <v>80</v>
      </c>
      <c r="D137">
        <v>79.934249878000003</v>
      </c>
      <c r="E137">
        <v>50</v>
      </c>
      <c r="F137">
        <v>14.998207091999999</v>
      </c>
      <c r="G137">
        <v>1342.3092041</v>
      </c>
      <c r="H137">
        <v>1339.4594727000001</v>
      </c>
      <c r="I137">
        <v>1321.4375</v>
      </c>
      <c r="J137">
        <v>1317.4849853999999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3.9250389999999999</v>
      </c>
      <c r="B138" s="1">
        <f>DATE(2010,5,4) + TIME(22,12,3)</f>
        <v>40302.925034722219</v>
      </c>
      <c r="C138">
        <v>80</v>
      </c>
      <c r="D138">
        <v>79.936508179</v>
      </c>
      <c r="E138">
        <v>50</v>
      </c>
      <c r="F138">
        <v>14.998214722</v>
      </c>
      <c r="G138">
        <v>1342.2996826000001</v>
      </c>
      <c r="H138">
        <v>1339.4492187999999</v>
      </c>
      <c r="I138">
        <v>1321.4377440999999</v>
      </c>
      <c r="J138">
        <v>1317.4852295000001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4.0062179999999996</v>
      </c>
      <c r="B139" s="1">
        <f>DATE(2010,5,5) + TIME(0,8,57)</f>
        <v>40303.006215277775</v>
      </c>
      <c r="C139">
        <v>80</v>
      </c>
      <c r="D139">
        <v>79.938453674000002</v>
      </c>
      <c r="E139">
        <v>50</v>
      </c>
      <c r="F139">
        <v>14.998221397</v>
      </c>
      <c r="G139">
        <v>1342.2897949000001</v>
      </c>
      <c r="H139">
        <v>1339.4387207</v>
      </c>
      <c r="I139">
        <v>1321.4379882999999</v>
      </c>
      <c r="J139">
        <v>1317.4853516000001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4.089099</v>
      </c>
      <c r="B140" s="1">
        <f>DATE(2010,5,5) + TIME(2,8,18)</f>
        <v>40303.089097222219</v>
      </c>
      <c r="C140">
        <v>80</v>
      </c>
      <c r="D140">
        <v>79.940109253000003</v>
      </c>
      <c r="E140">
        <v>50</v>
      </c>
      <c r="F140">
        <v>14.998229027000001</v>
      </c>
      <c r="G140">
        <v>1342.2795410000001</v>
      </c>
      <c r="H140">
        <v>1339.4279785000001</v>
      </c>
      <c r="I140">
        <v>1321.4382324000001</v>
      </c>
      <c r="J140">
        <v>1317.4855957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4.1314739999999999</v>
      </c>
      <c r="B141" s="1">
        <f>DATE(2010,5,5) + TIME(3,9,19)</f>
        <v>40303.131469907406</v>
      </c>
      <c r="C141">
        <v>80</v>
      </c>
      <c r="D141">
        <v>79.940864563000005</v>
      </c>
      <c r="E141">
        <v>50</v>
      </c>
      <c r="F141">
        <v>14.998232841</v>
      </c>
      <c r="G141">
        <v>1342.2698975000001</v>
      </c>
      <c r="H141">
        <v>1339.4174805</v>
      </c>
      <c r="I141">
        <v>1321.4383545000001</v>
      </c>
      <c r="J141">
        <v>1317.4857178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4.1738489999999997</v>
      </c>
      <c r="B142" s="1">
        <f>DATE(2010,5,5) + TIME(4,10,20)</f>
        <v>40303.173842592594</v>
      </c>
      <c r="C142">
        <v>80</v>
      </c>
      <c r="D142">
        <v>79.941574097</v>
      </c>
      <c r="E142">
        <v>50</v>
      </c>
      <c r="F142">
        <v>14.998235703000001</v>
      </c>
      <c r="G142">
        <v>1342.2640381000001</v>
      </c>
      <c r="H142">
        <v>1339.4116211</v>
      </c>
      <c r="I142">
        <v>1321.4384766000001</v>
      </c>
      <c r="J142">
        <v>1317.4858397999999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4.2162240000000004</v>
      </c>
      <c r="B143" s="1">
        <f>DATE(2010,5,5) + TIME(5,11,21)</f>
        <v>40303.216215277775</v>
      </c>
      <c r="C143">
        <v>80</v>
      </c>
      <c r="D143">
        <v>79.942214965999995</v>
      </c>
      <c r="E143">
        <v>50</v>
      </c>
      <c r="F143">
        <v>14.998239517</v>
      </c>
      <c r="G143">
        <v>1342.2584228999999</v>
      </c>
      <c r="H143">
        <v>1339.4060059000001</v>
      </c>
      <c r="I143">
        <v>1321.4387207</v>
      </c>
      <c r="J143">
        <v>1317.4859618999999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4.2586000000000004</v>
      </c>
      <c r="B144" s="1">
        <f>DATE(2010,5,5) + TIME(6,12,23)</f>
        <v>40303.258599537039</v>
      </c>
      <c r="C144">
        <v>80</v>
      </c>
      <c r="D144">
        <v>79.942802428999997</v>
      </c>
      <c r="E144">
        <v>50</v>
      </c>
      <c r="F144">
        <v>14.998243331999999</v>
      </c>
      <c r="G144">
        <v>1342.2530518000001</v>
      </c>
      <c r="H144">
        <v>1339.4005127</v>
      </c>
      <c r="I144">
        <v>1321.4388428</v>
      </c>
      <c r="J144">
        <v>1317.4860839999999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4.3009750000000002</v>
      </c>
      <c r="B145" s="1">
        <f>DATE(2010,5,5) + TIME(7,13,24)</f>
        <v>40303.30097222222</v>
      </c>
      <c r="C145">
        <v>80</v>
      </c>
      <c r="D145">
        <v>79.943336486999996</v>
      </c>
      <c r="E145">
        <v>50</v>
      </c>
      <c r="F145">
        <v>14.998247147000001</v>
      </c>
      <c r="G145">
        <v>1342.2475586</v>
      </c>
      <c r="H145">
        <v>1339.3950195</v>
      </c>
      <c r="I145">
        <v>1321.4389647999999</v>
      </c>
      <c r="J145">
        <v>1317.4862060999999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4.34335</v>
      </c>
      <c r="B146" s="1">
        <f>DATE(2010,5,5) + TIME(8,14,25)</f>
        <v>40303.343344907407</v>
      </c>
      <c r="C146">
        <v>80</v>
      </c>
      <c r="D146">
        <v>79.943832396999994</v>
      </c>
      <c r="E146">
        <v>50</v>
      </c>
      <c r="F146">
        <v>14.998250961</v>
      </c>
      <c r="G146">
        <v>1342.2421875</v>
      </c>
      <c r="H146">
        <v>1339.3895264</v>
      </c>
      <c r="I146">
        <v>1321.4390868999999</v>
      </c>
      <c r="J146">
        <v>1317.4862060999999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4.3857249999999999</v>
      </c>
      <c r="B147" s="1">
        <f>DATE(2010,5,5) + TIME(9,15,26)</f>
        <v>40303.385717592595</v>
      </c>
      <c r="C147">
        <v>80</v>
      </c>
      <c r="D147">
        <v>79.944274902000004</v>
      </c>
      <c r="E147">
        <v>50</v>
      </c>
      <c r="F147">
        <v>14.998253822000001</v>
      </c>
      <c r="G147">
        <v>1342.2366943</v>
      </c>
      <c r="H147">
        <v>1339.3841553</v>
      </c>
      <c r="I147">
        <v>1321.4392089999999</v>
      </c>
      <c r="J147">
        <v>1317.4863281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4.4281009999999998</v>
      </c>
      <c r="B148" s="1">
        <f>DATE(2010,5,5) + TIME(10,16,27)</f>
        <v>40303.428090277775</v>
      </c>
      <c r="C148">
        <v>80</v>
      </c>
      <c r="D148">
        <v>79.94468689</v>
      </c>
      <c r="E148">
        <v>50</v>
      </c>
      <c r="F148">
        <v>14.998257637</v>
      </c>
      <c r="G148">
        <v>1342.2313231999999</v>
      </c>
      <c r="H148">
        <v>1339.3786620999999</v>
      </c>
      <c r="I148">
        <v>1321.4393310999999</v>
      </c>
      <c r="J148">
        <v>1317.4864502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4.5128510000000004</v>
      </c>
      <c r="B149" s="1">
        <f>DATE(2010,5,5) + TIME(12,18,30)</f>
        <v>40303.51284722222</v>
      </c>
      <c r="C149">
        <v>80</v>
      </c>
      <c r="D149">
        <v>79.945404053000004</v>
      </c>
      <c r="E149">
        <v>50</v>
      </c>
      <c r="F149">
        <v>14.998264313</v>
      </c>
      <c r="G149">
        <v>1342.2252197</v>
      </c>
      <c r="H149">
        <v>1339.3731689000001</v>
      </c>
      <c r="I149">
        <v>1321.4394531</v>
      </c>
      <c r="J149">
        <v>1317.4865723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4.5976340000000002</v>
      </c>
      <c r="B150" s="1">
        <f>DATE(2010,5,5) + TIME(14,20,35)</f>
        <v>40303.597627314812</v>
      </c>
      <c r="C150">
        <v>80</v>
      </c>
      <c r="D150">
        <v>79.945999146000005</v>
      </c>
      <c r="E150">
        <v>50</v>
      </c>
      <c r="F150">
        <v>14.998270988</v>
      </c>
      <c r="G150">
        <v>1342.2147216999999</v>
      </c>
      <c r="H150">
        <v>1339.362793</v>
      </c>
      <c r="I150">
        <v>1321.4396973</v>
      </c>
      <c r="J150">
        <v>1317.4868164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4.6828000000000003</v>
      </c>
      <c r="B151" s="1">
        <f>DATE(2010,5,5) + TIME(16,23,13)</f>
        <v>40303.682789351849</v>
      </c>
      <c r="C151">
        <v>80</v>
      </c>
      <c r="D151">
        <v>79.946510314999998</v>
      </c>
      <c r="E151">
        <v>50</v>
      </c>
      <c r="F151">
        <v>14.998276711000001</v>
      </c>
      <c r="G151">
        <v>1342.2039795000001</v>
      </c>
      <c r="H151">
        <v>1339.3521728999999</v>
      </c>
      <c r="I151">
        <v>1321.4399414</v>
      </c>
      <c r="J151">
        <v>1317.4869385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4.7684920000000002</v>
      </c>
      <c r="B152" s="1">
        <f>DATE(2010,5,5) + TIME(18,26,37)</f>
        <v>40303.768483796295</v>
      </c>
      <c r="C152">
        <v>80</v>
      </c>
      <c r="D152">
        <v>79.946945189999994</v>
      </c>
      <c r="E152">
        <v>50</v>
      </c>
      <c r="F152">
        <v>14.998283386000001</v>
      </c>
      <c r="G152">
        <v>1342.1931152</v>
      </c>
      <c r="H152">
        <v>1339.3417969</v>
      </c>
      <c r="I152">
        <v>1321.4400635</v>
      </c>
      <c r="J152">
        <v>1317.4870605000001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4.8548450000000001</v>
      </c>
      <c r="B153" s="1">
        <f>DATE(2010,5,5) + TIME(20,30,58)</f>
        <v>40303.854837962965</v>
      </c>
      <c r="C153">
        <v>80</v>
      </c>
      <c r="D153">
        <v>79.947334290000001</v>
      </c>
      <c r="E153">
        <v>50</v>
      </c>
      <c r="F153">
        <v>14.998290062000001</v>
      </c>
      <c r="G153">
        <v>1342.182251</v>
      </c>
      <c r="H153">
        <v>1339.3314209</v>
      </c>
      <c r="I153">
        <v>1321.4403076000001</v>
      </c>
      <c r="J153">
        <v>1317.4871826000001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4.9419940000000002</v>
      </c>
      <c r="B154" s="1">
        <f>DATE(2010,5,5) + TIME(22,36,28)</f>
        <v>40303.941990740743</v>
      </c>
      <c r="C154">
        <v>80</v>
      </c>
      <c r="D154">
        <v>79.947662354000002</v>
      </c>
      <c r="E154">
        <v>50</v>
      </c>
      <c r="F154">
        <v>14.998295784</v>
      </c>
      <c r="G154">
        <v>1342.1712646000001</v>
      </c>
      <c r="H154">
        <v>1339.3209228999999</v>
      </c>
      <c r="I154">
        <v>1321.4405518000001</v>
      </c>
      <c r="J154">
        <v>1317.4874268000001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5.0300760000000002</v>
      </c>
      <c r="B155" s="1">
        <f>DATE(2010,5,6) + TIME(0,43,18)</f>
        <v>40304.030069444445</v>
      </c>
      <c r="C155">
        <v>80</v>
      </c>
      <c r="D155">
        <v>79.947952271000005</v>
      </c>
      <c r="E155">
        <v>50</v>
      </c>
      <c r="F155">
        <v>14.99830246</v>
      </c>
      <c r="G155">
        <v>1342.1602783000001</v>
      </c>
      <c r="H155">
        <v>1339.3106689000001</v>
      </c>
      <c r="I155">
        <v>1321.4406738</v>
      </c>
      <c r="J155">
        <v>1317.4875488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5.1192310000000001</v>
      </c>
      <c r="B156" s="1">
        <f>DATE(2010,5,6) + TIME(2,51,41)</f>
        <v>40304.11922453704</v>
      </c>
      <c r="C156">
        <v>80</v>
      </c>
      <c r="D156">
        <v>79.948211670000006</v>
      </c>
      <c r="E156">
        <v>50</v>
      </c>
      <c r="F156">
        <v>14.998308182000001</v>
      </c>
      <c r="G156">
        <v>1342.1492920000001</v>
      </c>
      <c r="H156">
        <v>1339.300293</v>
      </c>
      <c r="I156">
        <v>1321.440918</v>
      </c>
      <c r="J156">
        <v>1317.4876709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5.2096070000000001</v>
      </c>
      <c r="B157" s="1">
        <f>DATE(2010,5,6) + TIME(5,1,50)</f>
        <v>40304.209606481483</v>
      </c>
      <c r="C157">
        <v>80</v>
      </c>
      <c r="D157">
        <v>79.948432921999995</v>
      </c>
      <c r="E157">
        <v>50</v>
      </c>
      <c r="F157">
        <v>14.998314857</v>
      </c>
      <c r="G157">
        <v>1342.1381836</v>
      </c>
      <c r="H157">
        <v>1339.2900391000001</v>
      </c>
      <c r="I157">
        <v>1321.4411620999999</v>
      </c>
      <c r="J157">
        <v>1317.4879149999999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5.3013570000000003</v>
      </c>
      <c r="B158" s="1">
        <f>DATE(2010,5,6) + TIME(7,13,57)</f>
        <v>40304.301354166666</v>
      </c>
      <c r="C158">
        <v>80</v>
      </c>
      <c r="D158">
        <v>79.948631286999998</v>
      </c>
      <c r="E158">
        <v>50</v>
      </c>
      <c r="F158">
        <v>14.99832058</v>
      </c>
      <c r="G158">
        <v>1342.1270752</v>
      </c>
      <c r="H158">
        <v>1339.2797852000001</v>
      </c>
      <c r="I158">
        <v>1321.4412841999999</v>
      </c>
      <c r="J158">
        <v>1317.4880370999999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5.3946389999999997</v>
      </c>
      <c r="B159" s="1">
        <f>DATE(2010,5,6) + TIME(9,28,16)</f>
        <v>40304.394629629627</v>
      </c>
      <c r="C159">
        <v>80</v>
      </c>
      <c r="D159">
        <v>79.948806762999993</v>
      </c>
      <c r="E159">
        <v>50</v>
      </c>
      <c r="F159">
        <v>14.998327255</v>
      </c>
      <c r="G159">
        <v>1342.1158447</v>
      </c>
      <c r="H159">
        <v>1339.2694091999999</v>
      </c>
      <c r="I159">
        <v>1321.4415283000001</v>
      </c>
      <c r="J159">
        <v>1317.4881591999999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5.4896630000000002</v>
      </c>
      <c r="B160" s="1">
        <f>DATE(2010,5,6) + TIME(11,45,6)</f>
        <v>40304.489652777775</v>
      </c>
      <c r="C160">
        <v>80</v>
      </c>
      <c r="D160">
        <v>79.948959350999999</v>
      </c>
      <c r="E160">
        <v>50</v>
      </c>
      <c r="F160">
        <v>14.998332977</v>
      </c>
      <c r="G160">
        <v>1342.1044922000001</v>
      </c>
      <c r="H160">
        <v>1339.2591553</v>
      </c>
      <c r="I160">
        <v>1321.4417725000001</v>
      </c>
      <c r="J160">
        <v>1317.4884033000001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5.5865799999999997</v>
      </c>
      <c r="B161" s="1">
        <f>DATE(2010,5,6) + TIME(14,4,40)</f>
        <v>40304.586574074077</v>
      </c>
      <c r="C161">
        <v>80</v>
      </c>
      <c r="D161">
        <v>79.949096679999997</v>
      </c>
      <c r="E161">
        <v>50</v>
      </c>
      <c r="F161">
        <v>14.998339653</v>
      </c>
      <c r="G161">
        <v>1342.0931396000001</v>
      </c>
      <c r="H161">
        <v>1339.2487793</v>
      </c>
      <c r="I161">
        <v>1321.4420166</v>
      </c>
      <c r="J161">
        <v>1317.4885254000001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5.6855849999999997</v>
      </c>
      <c r="B162" s="1">
        <f>DATE(2010,5,6) + TIME(16,27,14)</f>
        <v>40304.685578703706</v>
      </c>
      <c r="C162">
        <v>80</v>
      </c>
      <c r="D162">
        <v>79.94921875</v>
      </c>
      <c r="E162">
        <v>50</v>
      </c>
      <c r="F162">
        <v>14.998346329</v>
      </c>
      <c r="G162">
        <v>1342.081543</v>
      </c>
      <c r="H162">
        <v>1339.2384033000001</v>
      </c>
      <c r="I162">
        <v>1321.4421387</v>
      </c>
      <c r="J162">
        <v>1317.4886475000001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5.7868930000000001</v>
      </c>
      <c r="B163" s="1">
        <f>DATE(2010,5,6) + TIME(18,53,7)</f>
        <v>40304.786886574075</v>
      </c>
      <c r="C163">
        <v>80</v>
      </c>
      <c r="D163">
        <v>79.949325561999999</v>
      </c>
      <c r="E163">
        <v>50</v>
      </c>
      <c r="F163">
        <v>14.998352050999999</v>
      </c>
      <c r="G163">
        <v>1342.0698242000001</v>
      </c>
      <c r="H163">
        <v>1339.2279053</v>
      </c>
      <c r="I163">
        <v>1321.4423827999999</v>
      </c>
      <c r="J163">
        <v>1317.4888916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5.8907059999999998</v>
      </c>
      <c r="B164" s="1">
        <f>DATE(2010,5,6) + TIME(21,22,37)</f>
        <v>40304.890706018516</v>
      </c>
      <c r="C164">
        <v>80</v>
      </c>
      <c r="D164">
        <v>79.949417113999999</v>
      </c>
      <c r="E164">
        <v>50</v>
      </c>
      <c r="F164">
        <v>14.998358726999999</v>
      </c>
      <c r="G164">
        <v>1342.0579834</v>
      </c>
      <c r="H164">
        <v>1339.2172852000001</v>
      </c>
      <c r="I164">
        <v>1321.4426269999999</v>
      </c>
      <c r="J164">
        <v>1317.4890137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5.9967439999999996</v>
      </c>
      <c r="B165" s="1">
        <f>DATE(2010,5,6) + TIME(23,55,18)</f>
        <v>40304.996736111112</v>
      </c>
      <c r="C165">
        <v>80</v>
      </c>
      <c r="D165">
        <v>79.949501037999994</v>
      </c>
      <c r="E165">
        <v>50</v>
      </c>
      <c r="F165">
        <v>14.998365401999999</v>
      </c>
      <c r="G165">
        <v>1342.0451660000001</v>
      </c>
      <c r="H165">
        <v>1339.2061768000001</v>
      </c>
      <c r="I165">
        <v>1321.4428711</v>
      </c>
      <c r="J165">
        <v>1317.4892577999999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6.1052540000000004</v>
      </c>
      <c r="B166" s="1">
        <f>DATE(2010,5,7) + TIME(2,31,33)</f>
        <v>40305.105243055557</v>
      </c>
      <c r="C166">
        <v>80</v>
      </c>
      <c r="D166">
        <v>79.949569702000005</v>
      </c>
      <c r="E166">
        <v>50</v>
      </c>
      <c r="F166">
        <v>14.998372077999999</v>
      </c>
      <c r="G166">
        <v>1342.0322266000001</v>
      </c>
      <c r="H166">
        <v>1339.1949463000001</v>
      </c>
      <c r="I166">
        <v>1321.4431152</v>
      </c>
      <c r="J166">
        <v>1317.4893798999999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6.1608689999999999</v>
      </c>
      <c r="B167" s="1">
        <f>DATE(2010,5,7) + TIME(3,51,39)</f>
        <v>40305.160868055558</v>
      </c>
      <c r="C167">
        <v>80</v>
      </c>
      <c r="D167">
        <v>79.949584960999999</v>
      </c>
      <c r="E167">
        <v>50</v>
      </c>
      <c r="F167">
        <v>14.998374939</v>
      </c>
      <c r="G167">
        <v>1342.0198975000001</v>
      </c>
      <c r="H167">
        <v>1339.1839600000001</v>
      </c>
      <c r="I167">
        <v>1321.4432373</v>
      </c>
      <c r="J167">
        <v>1317.4895019999999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6.2164849999999996</v>
      </c>
      <c r="B168" s="1">
        <f>DATE(2010,5,7) + TIME(5,11,44)</f>
        <v>40305.216481481482</v>
      </c>
      <c r="C168">
        <v>80</v>
      </c>
      <c r="D168">
        <v>79.949615479000002</v>
      </c>
      <c r="E168">
        <v>50</v>
      </c>
      <c r="F168">
        <v>14.998378754000001</v>
      </c>
      <c r="G168">
        <v>1342.0128173999999</v>
      </c>
      <c r="H168">
        <v>1339.1778564000001</v>
      </c>
      <c r="I168">
        <v>1321.4433594</v>
      </c>
      <c r="J168">
        <v>1317.489624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6.2721</v>
      </c>
      <c r="B169" s="1">
        <f>DATE(2010,5,7) + TIME(6,31,49)</f>
        <v>40305.272094907406</v>
      </c>
      <c r="C169">
        <v>80</v>
      </c>
      <c r="D169">
        <v>79.949645996000001</v>
      </c>
      <c r="E169">
        <v>50</v>
      </c>
      <c r="F169">
        <v>14.998381615</v>
      </c>
      <c r="G169">
        <v>1342.0061035000001</v>
      </c>
      <c r="H169">
        <v>1339.1721190999999</v>
      </c>
      <c r="I169">
        <v>1321.4434814000001</v>
      </c>
      <c r="J169">
        <v>1317.4897461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6.3277159999999997</v>
      </c>
      <c r="B170" s="1">
        <f>DATE(2010,5,7) + TIME(7,51,54)</f>
        <v>40305.327708333331</v>
      </c>
      <c r="C170">
        <v>80</v>
      </c>
      <c r="D170">
        <v>79.949668884000005</v>
      </c>
      <c r="E170">
        <v>50</v>
      </c>
      <c r="F170">
        <v>14.998385429000001</v>
      </c>
      <c r="G170">
        <v>1341.9995117000001</v>
      </c>
      <c r="H170">
        <v>1339.1663818</v>
      </c>
      <c r="I170">
        <v>1321.4436035000001</v>
      </c>
      <c r="J170">
        <v>1317.4898682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6.3833310000000001</v>
      </c>
      <c r="B171" s="1">
        <f>DATE(2010,5,7) + TIME(9,11,59)</f>
        <v>40305.383321759262</v>
      </c>
      <c r="C171">
        <v>80</v>
      </c>
      <c r="D171">
        <v>79.949691771999994</v>
      </c>
      <c r="E171">
        <v>50</v>
      </c>
      <c r="F171">
        <v>14.998388289999999</v>
      </c>
      <c r="G171">
        <v>1341.9930420000001</v>
      </c>
      <c r="H171">
        <v>1339.1607666</v>
      </c>
      <c r="I171">
        <v>1321.4437256000001</v>
      </c>
      <c r="J171">
        <v>1317.4899902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6.4389469999999998</v>
      </c>
      <c r="B172" s="1">
        <f>DATE(2010,5,7) + TIME(10,32,4)</f>
        <v>40305.438935185186</v>
      </c>
      <c r="C172">
        <v>80</v>
      </c>
      <c r="D172">
        <v>79.949707031000003</v>
      </c>
      <c r="E172">
        <v>50</v>
      </c>
      <c r="F172">
        <v>14.998392105000001</v>
      </c>
      <c r="G172">
        <v>1341.9865723</v>
      </c>
      <c r="H172">
        <v>1339.1552733999999</v>
      </c>
      <c r="I172">
        <v>1321.4438477000001</v>
      </c>
      <c r="J172">
        <v>1317.4899902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6.4945620000000002</v>
      </c>
      <c r="B173" s="1">
        <f>DATE(2010,5,7) + TIME(11,52,10)</f>
        <v>40305.494560185187</v>
      </c>
      <c r="C173">
        <v>80</v>
      </c>
      <c r="D173">
        <v>79.949729919000006</v>
      </c>
      <c r="E173">
        <v>50</v>
      </c>
      <c r="F173">
        <v>14.998394965999999</v>
      </c>
      <c r="G173">
        <v>1341.9802245999999</v>
      </c>
      <c r="H173">
        <v>1339.1497803</v>
      </c>
      <c r="I173">
        <v>1321.4439697</v>
      </c>
      <c r="J173">
        <v>1317.4901123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6.5501779999999998</v>
      </c>
      <c r="B174" s="1">
        <f>DATE(2010,5,7) + TIME(13,12,15)</f>
        <v>40305.550173611111</v>
      </c>
      <c r="C174">
        <v>80</v>
      </c>
      <c r="D174">
        <v>79.949745178000001</v>
      </c>
      <c r="E174">
        <v>50</v>
      </c>
      <c r="F174">
        <v>14.998398781000001</v>
      </c>
      <c r="G174">
        <v>1341.9738769999999</v>
      </c>
      <c r="H174">
        <v>1339.1442870999999</v>
      </c>
      <c r="I174">
        <v>1321.4440918</v>
      </c>
      <c r="J174">
        <v>1317.4902344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6.6057930000000002</v>
      </c>
      <c r="B175" s="1">
        <f>DATE(2010,5,7) + TIME(14,32,20)</f>
        <v>40305.605787037035</v>
      </c>
      <c r="C175">
        <v>80</v>
      </c>
      <c r="D175">
        <v>79.949760436999995</v>
      </c>
      <c r="E175">
        <v>50</v>
      </c>
      <c r="F175">
        <v>14.998401641999999</v>
      </c>
      <c r="G175">
        <v>1341.9675293</v>
      </c>
      <c r="H175">
        <v>1339.1389160000001</v>
      </c>
      <c r="I175">
        <v>1321.4442139</v>
      </c>
      <c r="J175">
        <v>1317.4903564000001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6.6614089999999999</v>
      </c>
      <c r="B176" s="1">
        <f>DATE(2010,5,7) + TIME(15,52,25)</f>
        <v>40305.661400462966</v>
      </c>
      <c r="C176">
        <v>80</v>
      </c>
      <c r="D176">
        <v>79.949775696000003</v>
      </c>
      <c r="E176">
        <v>50</v>
      </c>
      <c r="F176">
        <v>14.998404503</v>
      </c>
      <c r="G176">
        <v>1341.9613036999999</v>
      </c>
      <c r="H176">
        <v>1339.1335449000001</v>
      </c>
      <c r="I176">
        <v>1321.4443358999999</v>
      </c>
      <c r="J176">
        <v>1317.4903564000001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6.7170240000000003</v>
      </c>
      <c r="B177" s="1">
        <f>DATE(2010,5,7) + TIME(17,12,30)</f>
        <v>40305.717013888891</v>
      </c>
      <c r="C177">
        <v>80</v>
      </c>
      <c r="D177">
        <v>79.949783324999999</v>
      </c>
      <c r="E177">
        <v>50</v>
      </c>
      <c r="F177">
        <v>14.998408317999999</v>
      </c>
      <c r="G177">
        <v>1341.9552002</v>
      </c>
      <c r="H177">
        <v>1339.1282959</v>
      </c>
      <c r="I177">
        <v>1321.4444579999999</v>
      </c>
      <c r="J177">
        <v>1317.4904785000001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6.8282550000000004</v>
      </c>
      <c r="B178" s="1">
        <f>DATE(2010,5,7) + TIME(19,52,41)</f>
        <v>40305.828252314815</v>
      </c>
      <c r="C178">
        <v>80</v>
      </c>
      <c r="D178">
        <v>79.949821471999996</v>
      </c>
      <c r="E178">
        <v>50</v>
      </c>
      <c r="F178">
        <v>14.99841404</v>
      </c>
      <c r="G178">
        <v>1341.9486084</v>
      </c>
      <c r="H178">
        <v>1339.1228027</v>
      </c>
      <c r="I178">
        <v>1321.4445800999999</v>
      </c>
      <c r="J178">
        <v>1317.4906006000001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6.9394970000000002</v>
      </c>
      <c r="B179" s="1">
        <f>DATE(2010,5,7) + TIME(22,32,52)</f>
        <v>40305.93949074074</v>
      </c>
      <c r="C179">
        <v>80</v>
      </c>
      <c r="D179">
        <v>79.949836731000005</v>
      </c>
      <c r="E179">
        <v>50</v>
      </c>
      <c r="F179">
        <v>14.998419761999999</v>
      </c>
      <c r="G179">
        <v>1341.9367675999999</v>
      </c>
      <c r="H179">
        <v>1339.112793</v>
      </c>
      <c r="I179">
        <v>1321.4448242000001</v>
      </c>
      <c r="J179">
        <v>1317.4908447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7.0514359999999998</v>
      </c>
      <c r="B180" s="1">
        <f>DATE(2010,5,8) + TIME(1,14,4)</f>
        <v>40306.051435185182</v>
      </c>
      <c r="C180">
        <v>80</v>
      </c>
      <c r="D180">
        <v>79.94984436</v>
      </c>
      <c r="E180">
        <v>50</v>
      </c>
      <c r="F180">
        <v>14.998425484</v>
      </c>
      <c r="G180">
        <v>1341.9249268000001</v>
      </c>
      <c r="H180">
        <v>1339.1027832</v>
      </c>
      <c r="I180">
        <v>1321.4450684000001</v>
      </c>
      <c r="J180">
        <v>1317.4909668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7.1642619999999999</v>
      </c>
      <c r="B181" s="1">
        <f>DATE(2010,5,8) + TIME(3,56,32)</f>
        <v>40306.164259259262</v>
      </c>
      <c r="C181">
        <v>80</v>
      </c>
      <c r="D181">
        <v>79.949851989999999</v>
      </c>
      <c r="E181">
        <v>50</v>
      </c>
      <c r="F181">
        <v>14.998431205999999</v>
      </c>
      <c r="G181">
        <v>1341.9129639</v>
      </c>
      <c r="H181">
        <v>1339.0927733999999</v>
      </c>
      <c r="I181">
        <v>1321.4453125</v>
      </c>
      <c r="J181">
        <v>1317.4912108999999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7.278162</v>
      </c>
      <c r="B182" s="1">
        <f>DATE(2010,5,8) + TIME(6,40,33)</f>
        <v>40306.27815972222</v>
      </c>
      <c r="C182">
        <v>80</v>
      </c>
      <c r="D182">
        <v>79.949851989999999</v>
      </c>
      <c r="E182">
        <v>50</v>
      </c>
      <c r="F182">
        <v>14.998436928</v>
      </c>
      <c r="G182">
        <v>1341.9011230000001</v>
      </c>
      <c r="H182">
        <v>1339.0828856999999</v>
      </c>
      <c r="I182">
        <v>1321.4455565999999</v>
      </c>
      <c r="J182">
        <v>1317.4913329999999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7.3933299999999997</v>
      </c>
      <c r="B183" s="1">
        <f>DATE(2010,5,8) + TIME(9,26,23)</f>
        <v>40306.393321759257</v>
      </c>
      <c r="C183">
        <v>80</v>
      </c>
      <c r="D183">
        <v>79.949859618999994</v>
      </c>
      <c r="E183">
        <v>50</v>
      </c>
      <c r="F183">
        <v>14.998442649999999</v>
      </c>
      <c r="G183">
        <v>1341.8894043</v>
      </c>
      <c r="H183">
        <v>1339.0731201000001</v>
      </c>
      <c r="I183">
        <v>1321.4458007999999</v>
      </c>
      <c r="J183">
        <v>1317.4915771000001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7.5099609999999997</v>
      </c>
      <c r="B184" s="1">
        <f>DATE(2010,5,8) + TIME(12,14,20)</f>
        <v>40306.509953703702</v>
      </c>
      <c r="C184">
        <v>80</v>
      </c>
      <c r="D184">
        <v>79.949851989999999</v>
      </c>
      <c r="E184">
        <v>50</v>
      </c>
      <c r="F184">
        <v>14.998448372</v>
      </c>
      <c r="G184">
        <v>1341.8776855000001</v>
      </c>
      <c r="H184">
        <v>1339.0633545000001</v>
      </c>
      <c r="I184">
        <v>1321.4459228999999</v>
      </c>
      <c r="J184">
        <v>1317.4916992000001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7.6282639999999997</v>
      </c>
      <c r="B185" s="1">
        <f>DATE(2010,5,8) + TIME(15,4,41)</f>
        <v>40306.628252314818</v>
      </c>
      <c r="C185">
        <v>80</v>
      </c>
      <c r="D185">
        <v>79.949851989999999</v>
      </c>
      <c r="E185">
        <v>50</v>
      </c>
      <c r="F185">
        <v>14.998454094</v>
      </c>
      <c r="G185">
        <v>1341.8659668</v>
      </c>
      <c r="H185">
        <v>1339.0535889</v>
      </c>
      <c r="I185">
        <v>1321.4461670000001</v>
      </c>
      <c r="J185">
        <v>1317.4919434000001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7.7484529999999996</v>
      </c>
      <c r="B186" s="1">
        <f>DATE(2010,5,8) + TIME(17,57,46)</f>
        <v>40306.748449074075</v>
      </c>
      <c r="C186">
        <v>80</v>
      </c>
      <c r="D186">
        <v>79.94984436</v>
      </c>
      <c r="E186">
        <v>50</v>
      </c>
      <c r="F186">
        <v>14.998459816</v>
      </c>
      <c r="G186">
        <v>1341.8542480000001</v>
      </c>
      <c r="H186">
        <v>1339.0439452999999</v>
      </c>
      <c r="I186">
        <v>1321.4464111</v>
      </c>
      <c r="J186">
        <v>1317.4920654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7.8708070000000001</v>
      </c>
      <c r="B187" s="1">
        <f>DATE(2010,5,8) + TIME(20,53,57)</f>
        <v>40306.870798611111</v>
      </c>
      <c r="C187">
        <v>80</v>
      </c>
      <c r="D187">
        <v>79.949836731000005</v>
      </c>
      <c r="E187">
        <v>50</v>
      </c>
      <c r="F187">
        <v>14.998466492</v>
      </c>
      <c r="G187">
        <v>1341.8424072</v>
      </c>
      <c r="H187">
        <v>1339.0343018000001</v>
      </c>
      <c r="I187">
        <v>1321.4467772999999</v>
      </c>
      <c r="J187">
        <v>1317.4923096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7.9955280000000002</v>
      </c>
      <c r="B188" s="1">
        <f>DATE(2010,5,8) + TIME(23,53,33)</f>
        <v>40306.995520833334</v>
      </c>
      <c r="C188">
        <v>80</v>
      </c>
      <c r="D188">
        <v>79.949821471999996</v>
      </c>
      <c r="E188">
        <v>50</v>
      </c>
      <c r="F188">
        <v>14.998472214</v>
      </c>
      <c r="G188">
        <v>1341.8306885</v>
      </c>
      <c r="H188">
        <v>1339.0245361</v>
      </c>
      <c r="I188">
        <v>1321.4470214999999</v>
      </c>
      <c r="J188">
        <v>1317.4925536999999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8.1228789999999993</v>
      </c>
      <c r="B189" s="1">
        <f>DATE(2010,5,9) + TIME(2,56,56)</f>
        <v>40307.122870370367</v>
      </c>
      <c r="C189">
        <v>80</v>
      </c>
      <c r="D189">
        <v>79.949806213000002</v>
      </c>
      <c r="E189">
        <v>50</v>
      </c>
      <c r="F189">
        <v>14.998477936</v>
      </c>
      <c r="G189">
        <v>1341.8188477000001</v>
      </c>
      <c r="H189">
        <v>1339.0148925999999</v>
      </c>
      <c r="I189">
        <v>1321.4472656</v>
      </c>
      <c r="J189">
        <v>1317.4926757999999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8.2529839999999997</v>
      </c>
      <c r="B190" s="1">
        <f>DATE(2010,5,9) + TIME(6,4,17)</f>
        <v>40307.252974537034</v>
      </c>
      <c r="C190">
        <v>80</v>
      </c>
      <c r="D190">
        <v>79.949790954999997</v>
      </c>
      <c r="E190">
        <v>50</v>
      </c>
      <c r="F190">
        <v>14.998483658</v>
      </c>
      <c r="G190">
        <v>1341.8068848</v>
      </c>
      <c r="H190">
        <v>1339.0051269999999</v>
      </c>
      <c r="I190">
        <v>1321.4475098</v>
      </c>
      <c r="J190">
        <v>1317.4929199000001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8.3854790000000001</v>
      </c>
      <c r="B191" s="1">
        <f>DATE(2010,5,9) + TIME(9,15,5)</f>
        <v>40307.385474537034</v>
      </c>
      <c r="C191">
        <v>80</v>
      </c>
      <c r="D191">
        <v>79.949775696000003</v>
      </c>
      <c r="E191">
        <v>50</v>
      </c>
      <c r="F191">
        <v>14.998489380000001</v>
      </c>
      <c r="G191">
        <v>1341.7947998</v>
      </c>
      <c r="H191">
        <v>1338.9954834</v>
      </c>
      <c r="I191">
        <v>1321.4477539</v>
      </c>
      <c r="J191">
        <v>1317.4931641000001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8.5206079999999993</v>
      </c>
      <c r="B192" s="1">
        <f>DATE(2010,5,9) + TIME(12,29,40)</f>
        <v>40307.520601851851</v>
      </c>
      <c r="C192">
        <v>80</v>
      </c>
      <c r="D192">
        <v>79.949752808</v>
      </c>
      <c r="E192">
        <v>50</v>
      </c>
      <c r="F192">
        <v>14.998496056</v>
      </c>
      <c r="G192">
        <v>1341.7828368999999</v>
      </c>
      <c r="H192">
        <v>1338.9857178</v>
      </c>
      <c r="I192">
        <v>1321.4479980000001</v>
      </c>
      <c r="J192">
        <v>1317.4934082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8.6586639999999999</v>
      </c>
      <c r="B193" s="1">
        <f>DATE(2010,5,9) + TIME(15,48,28)</f>
        <v>40307.65865740741</v>
      </c>
      <c r="C193">
        <v>80</v>
      </c>
      <c r="D193">
        <v>79.949737549000005</v>
      </c>
      <c r="E193">
        <v>50</v>
      </c>
      <c r="F193">
        <v>14.998501778</v>
      </c>
      <c r="G193">
        <v>1341.7706298999999</v>
      </c>
      <c r="H193">
        <v>1338.9759521000001</v>
      </c>
      <c r="I193">
        <v>1321.4483643000001</v>
      </c>
      <c r="J193">
        <v>1317.4935303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8.7278330000000004</v>
      </c>
      <c r="B194" s="1">
        <f>DATE(2010,5,9) + TIME(17,28,4)</f>
        <v>40307.727824074071</v>
      </c>
      <c r="C194">
        <v>80</v>
      </c>
      <c r="D194">
        <v>79.949707031000003</v>
      </c>
      <c r="E194">
        <v>50</v>
      </c>
      <c r="F194">
        <v>14.998505592000001</v>
      </c>
      <c r="G194">
        <v>1341.7591553</v>
      </c>
      <c r="H194">
        <v>1338.9667969</v>
      </c>
      <c r="I194">
        <v>1321.4484863</v>
      </c>
      <c r="J194">
        <v>1317.4937743999999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8.7970020000000009</v>
      </c>
      <c r="B195" s="1">
        <f>DATE(2010,5,9) + TIME(19,7,40)</f>
        <v>40307.796990740739</v>
      </c>
      <c r="C195">
        <v>80</v>
      </c>
      <c r="D195">
        <v>79.949691771999994</v>
      </c>
      <c r="E195">
        <v>50</v>
      </c>
      <c r="F195">
        <v>14.998508452999999</v>
      </c>
      <c r="G195">
        <v>1341.7525635</v>
      </c>
      <c r="H195">
        <v>1338.9614257999999</v>
      </c>
      <c r="I195">
        <v>1321.4487305</v>
      </c>
      <c r="J195">
        <v>1317.4938964999999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8.8661709999999996</v>
      </c>
      <c r="B196" s="1">
        <f>DATE(2010,5,9) + TIME(20,47,17)</f>
        <v>40307.866168981483</v>
      </c>
      <c r="C196">
        <v>80</v>
      </c>
      <c r="D196">
        <v>79.949684142999999</v>
      </c>
      <c r="E196">
        <v>50</v>
      </c>
      <c r="F196">
        <v>14.998511314</v>
      </c>
      <c r="G196">
        <v>1341.7464600000001</v>
      </c>
      <c r="H196">
        <v>1338.956543</v>
      </c>
      <c r="I196">
        <v>1321.4488524999999</v>
      </c>
      <c r="J196">
        <v>1317.4940185999999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8.9353400000000001</v>
      </c>
      <c r="B197" s="1">
        <f>DATE(2010,5,9) + TIME(22,26,53)</f>
        <v>40307.935335648152</v>
      </c>
      <c r="C197">
        <v>80</v>
      </c>
      <c r="D197">
        <v>79.949668884000005</v>
      </c>
      <c r="E197">
        <v>50</v>
      </c>
      <c r="F197">
        <v>14.998514175</v>
      </c>
      <c r="G197">
        <v>1341.7404785000001</v>
      </c>
      <c r="H197">
        <v>1338.9517822</v>
      </c>
      <c r="I197">
        <v>1321.4489745999999</v>
      </c>
      <c r="J197">
        <v>1317.4941406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9.0045090000000005</v>
      </c>
      <c r="B198" s="1">
        <f>DATE(2010,5,10) + TIME(0,6,29)</f>
        <v>40308.004502314812</v>
      </c>
      <c r="C198">
        <v>80</v>
      </c>
      <c r="D198">
        <v>79.949653624999996</v>
      </c>
      <c r="E198">
        <v>50</v>
      </c>
      <c r="F198">
        <v>14.99851799</v>
      </c>
      <c r="G198">
        <v>1341.7344971</v>
      </c>
      <c r="H198">
        <v>1338.9470214999999</v>
      </c>
      <c r="I198">
        <v>1321.4490966999999</v>
      </c>
      <c r="J198">
        <v>1317.4942627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9.0736779999999992</v>
      </c>
      <c r="B199" s="1">
        <f>DATE(2010,5,10) + TIME(1,46,5)</f>
        <v>40308.07366898148</v>
      </c>
      <c r="C199">
        <v>80</v>
      </c>
      <c r="D199">
        <v>79.949645996000001</v>
      </c>
      <c r="E199">
        <v>50</v>
      </c>
      <c r="F199">
        <v>14.998520851</v>
      </c>
      <c r="G199">
        <v>1341.7286377</v>
      </c>
      <c r="H199">
        <v>1338.9423827999999</v>
      </c>
      <c r="I199">
        <v>1321.4493408000001</v>
      </c>
      <c r="J199">
        <v>1317.4943848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9.1428460000000005</v>
      </c>
      <c r="B200" s="1">
        <f>DATE(2010,5,10) + TIME(3,25,41)</f>
        <v>40308.142835648148</v>
      </c>
      <c r="C200">
        <v>80</v>
      </c>
      <c r="D200">
        <v>79.949630737000007</v>
      </c>
      <c r="E200">
        <v>50</v>
      </c>
      <c r="F200">
        <v>14.998523712000001</v>
      </c>
      <c r="G200">
        <v>1341.7227783000001</v>
      </c>
      <c r="H200">
        <v>1338.9376221</v>
      </c>
      <c r="I200">
        <v>1321.4494629000001</v>
      </c>
      <c r="J200">
        <v>1317.4945068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9.2120149999999992</v>
      </c>
      <c r="B201" s="1">
        <f>DATE(2010,5,10) + TIME(5,5,18)</f>
        <v>40308.212013888886</v>
      </c>
      <c r="C201">
        <v>80</v>
      </c>
      <c r="D201">
        <v>79.949615479000002</v>
      </c>
      <c r="E201">
        <v>50</v>
      </c>
      <c r="F201">
        <v>14.998526572999999</v>
      </c>
      <c r="G201">
        <v>1341.7169189000001</v>
      </c>
      <c r="H201">
        <v>1338.9331055</v>
      </c>
      <c r="I201">
        <v>1321.4495850000001</v>
      </c>
      <c r="J201">
        <v>1317.4946289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9.2811839999999997</v>
      </c>
      <c r="B202" s="1">
        <f>DATE(2010,5,10) + TIME(6,44,54)</f>
        <v>40308.281180555554</v>
      </c>
      <c r="C202">
        <v>80</v>
      </c>
      <c r="D202">
        <v>79.949600219999994</v>
      </c>
      <c r="E202">
        <v>50</v>
      </c>
      <c r="F202">
        <v>14.998529434</v>
      </c>
      <c r="G202">
        <v>1341.7111815999999</v>
      </c>
      <c r="H202">
        <v>1338.9284668</v>
      </c>
      <c r="I202">
        <v>1321.449707</v>
      </c>
      <c r="J202">
        <v>1317.494751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9.3503530000000001</v>
      </c>
      <c r="B203" s="1">
        <f>DATE(2010,5,10) + TIME(8,24,30)</f>
        <v>40308.350347222222</v>
      </c>
      <c r="C203">
        <v>80</v>
      </c>
      <c r="D203">
        <v>79.949584960999999</v>
      </c>
      <c r="E203">
        <v>50</v>
      </c>
      <c r="F203">
        <v>14.998532295</v>
      </c>
      <c r="G203">
        <v>1341.7054443</v>
      </c>
      <c r="H203">
        <v>1338.9239502</v>
      </c>
      <c r="I203">
        <v>1321.4498291</v>
      </c>
      <c r="J203">
        <v>1317.494751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9.4195220000000006</v>
      </c>
      <c r="B204" s="1">
        <f>DATE(2010,5,10) + TIME(10,4,6)</f>
        <v>40308.41951388889</v>
      </c>
      <c r="C204">
        <v>80</v>
      </c>
      <c r="D204">
        <v>79.949577332000004</v>
      </c>
      <c r="E204">
        <v>50</v>
      </c>
      <c r="F204">
        <v>14.99853611</v>
      </c>
      <c r="G204">
        <v>1341.6998291</v>
      </c>
      <c r="H204">
        <v>1338.9194336</v>
      </c>
      <c r="I204">
        <v>1321.4499512</v>
      </c>
      <c r="J204">
        <v>1317.4948730000001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9.5578599999999998</v>
      </c>
      <c r="B205" s="1">
        <f>DATE(2010,5,10) + TIME(13,23,19)</f>
        <v>40308.557858796295</v>
      </c>
      <c r="C205">
        <v>80</v>
      </c>
      <c r="D205">
        <v>79.949562072999996</v>
      </c>
      <c r="E205">
        <v>50</v>
      </c>
      <c r="F205">
        <v>14.998540878</v>
      </c>
      <c r="G205">
        <v>1341.6937256000001</v>
      </c>
      <c r="H205">
        <v>1338.9147949000001</v>
      </c>
      <c r="I205">
        <v>1321.4501952999999</v>
      </c>
      <c r="J205">
        <v>1317.4951172000001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9.6962259999999993</v>
      </c>
      <c r="B206" s="1">
        <f>DATE(2010,5,10) + TIME(16,42,33)</f>
        <v>40308.696215277778</v>
      </c>
      <c r="C206">
        <v>80</v>
      </c>
      <c r="D206">
        <v>79.949539185000006</v>
      </c>
      <c r="E206">
        <v>50</v>
      </c>
      <c r="F206">
        <v>14.998546599999999</v>
      </c>
      <c r="G206">
        <v>1341.6829834</v>
      </c>
      <c r="H206">
        <v>1338.90625</v>
      </c>
      <c r="I206">
        <v>1321.4504394999999</v>
      </c>
      <c r="J206">
        <v>1317.4952393000001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9.8356399999999997</v>
      </c>
      <c r="B207" s="1">
        <f>DATE(2010,5,10) + TIME(20,3,19)</f>
        <v>40308.835636574076</v>
      </c>
      <c r="C207">
        <v>80</v>
      </c>
      <c r="D207">
        <v>79.949508667000003</v>
      </c>
      <c r="E207">
        <v>50</v>
      </c>
      <c r="F207">
        <v>14.998551368999999</v>
      </c>
      <c r="G207">
        <v>1341.6719971</v>
      </c>
      <c r="H207">
        <v>1338.8977050999999</v>
      </c>
      <c r="I207">
        <v>1321.4506836</v>
      </c>
      <c r="J207">
        <v>1317.4954834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9.9763570000000001</v>
      </c>
      <c r="B208" s="1">
        <f>DATE(2010,5,10) + TIME(23,25,57)</f>
        <v>40308.976354166669</v>
      </c>
      <c r="C208">
        <v>80</v>
      </c>
      <c r="D208">
        <v>79.949485779</v>
      </c>
      <c r="E208">
        <v>50</v>
      </c>
      <c r="F208">
        <v>14.998557091</v>
      </c>
      <c r="G208">
        <v>1341.6611327999999</v>
      </c>
      <c r="H208">
        <v>1338.8891602000001</v>
      </c>
      <c r="I208">
        <v>1321.4510498</v>
      </c>
      <c r="J208">
        <v>1317.4957274999999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10.118631000000001</v>
      </c>
      <c r="B209" s="1">
        <f>DATE(2010,5,11) + TIME(2,50,49)</f>
        <v>40309.118622685186</v>
      </c>
      <c r="C209">
        <v>80</v>
      </c>
      <c r="D209">
        <v>79.949455260999997</v>
      </c>
      <c r="E209">
        <v>50</v>
      </c>
      <c r="F209">
        <v>14.998562812999999</v>
      </c>
      <c r="G209">
        <v>1341.6502685999999</v>
      </c>
      <c r="H209">
        <v>1338.8807373</v>
      </c>
      <c r="I209">
        <v>1321.4512939000001</v>
      </c>
      <c r="J209">
        <v>1317.4959716999999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10.262725</v>
      </c>
      <c r="B210" s="1">
        <f>DATE(2010,5,11) + TIME(6,18,19)</f>
        <v>40309.262719907405</v>
      </c>
      <c r="C210">
        <v>80</v>
      </c>
      <c r="D210">
        <v>79.949424743999998</v>
      </c>
      <c r="E210">
        <v>50</v>
      </c>
      <c r="F210">
        <v>14.998567581</v>
      </c>
      <c r="G210">
        <v>1341.6394043</v>
      </c>
      <c r="H210">
        <v>1338.8721923999999</v>
      </c>
      <c r="I210">
        <v>1321.4515381000001</v>
      </c>
      <c r="J210">
        <v>1317.4962158000001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10.408912000000001</v>
      </c>
      <c r="B211" s="1">
        <f>DATE(2010,5,11) + TIME(9,48,50)</f>
        <v>40309.408912037034</v>
      </c>
      <c r="C211">
        <v>80</v>
      </c>
      <c r="D211">
        <v>79.949394225999995</v>
      </c>
      <c r="E211">
        <v>50</v>
      </c>
      <c r="F211">
        <v>14.998573303000001</v>
      </c>
      <c r="G211">
        <v>1341.628418</v>
      </c>
      <c r="H211">
        <v>1338.8637695</v>
      </c>
      <c r="I211">
        <v>1321.4519043</v>
      </c>
      <c r="J211">
        <v>1317.4963379000001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10.557494</v>
      </c>
      <c r="B212" s="1">
        <f>DATE(2010,5,11) + TIME(13,22,47)</f>
        <v>40309.557488425926</v>
      </c>
      <c r="C212">
        <v>80</v>
      </c>
      <c r="D212">
        <v>79.949363708000007</v>
      </c>
      <c r="E212">
        <v>50</v>
      </c>
      <c r="F212">
        <v>14.998579025</v>
      </c>
      <c r="G212">
        <v>1341.6175536999999</v>
      </c>
      <c r="H212">
        <v>1338.8553466999999</v>
      </c>
      <c r="I212">
        <v>1321.4521483999999</v>
      </c>
      <c r="J212">
        <v>1317.496582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10.708809</v>
      </c>
      <c r="B213" s="1">
        <f>DATE(2010,5,11) + TIME(17,0,41)</f>
        <v>40309.708807870367</v>
      </c>
      <c r="C213">
        <v>80</v>
      </c>
      <c r="D213">
        <v>79.949333190999994</v>
      </c>
      <c r="E213">
        <v>50</v>
      </c>
      <c r="F213">
        <v>14.998583794</v>
      </c>
      <c r="G213">
        <v>1341.6065673999999</v>
      </c>
      <c r="H213">
        <v>1338.8469238</v>
      </c>
      <c r="I213">
        <v>1321.4525146000001</v>
      </c>
      <c r="J213">
        <v>1317.4968262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10.86314</v>
      </c>
      <c r="B214" s="1">
        <f>DATE(2010,5,11) + TIME(20,42,55)</f>
        <v>40309.863136574073</v>
      </c>
      <c r="C214">
        <v>80</v>
      </c>
      <c r="D214">
        <v>79.949302673000005</v>
      </c>
      <c r="E214">
        <v>50</v>
      </c>
      <c r="F214">
        <v>14.998589515999999</v>
      </c>
      <c r="G214">
        <v>1341.5955810999999</v>
      </c>
      <c r="H214">
        <v>1338.838501</v>
      </c>
      <c r="I214">
        <v>1321.4527588000001</v>
      </c>
      <c r="J214">
        <v>1317.4970702999999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11.020747</v>
      </c>
      <c r="B215" s="1">
        <f>DATE(2010,5,12) + TIME(0,29,52)</f>
        <v>40310.020740740743</v>
      </c>
      <c r="C215">
        <v>80</v>
      </c>
      <c r="D215">
        <v>79.949264525999993</v>
      </c>
      <c r="E215">
        <v>50</v>
      </c>
      <c r="F215">
        <v>14.998595238</v>
      </c>
      <c r="G215">
        <v>1341.5845947</v>
      </c>
      <c r="H215">
        <v>1338.8299560999999</v>
      </c>
      <c r="I215">
        <v>1321.453125</v>
      </c>
      <c r="J215">
        <v>1317.4973144999999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11.180569</v>
      </c>
      <c r="B216" s="1">
        <f>DATE(2010,5,12) + TIME(4,20,1)</f>
        <v>40310.180567129632</v>
      </c>
      <c r="C216">
        <v>80</v>
      </c>
      <c r="D216">
        <v>79.949234008999994</v>
      </c>
      <c r="E216">
        <v>50</v>
      </c>
      <c r="F216">
        <v>14.998600959999999</v>
      </c>
      <c r="G216">
        <v>1341.5733643000001</v>
      </c>
      <c r="H216">
        <v>1338.8214111</v>
      </c>
      <c r="I216">
        <v>1321.4534911999999</v>
      </c>
      <c r="J216">
        <v>1317.4976807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11.342941</v>
      </c>
      <c r="B217" s="1">
        <f>DATE(2010,5,12) + TIME(8,13,50)</f>
        <v>40310.342939814815</v>
      </c>
      <c r="C217">
        <v>80</v>
      </c>
      <c r="D217">
        <v>79.949195861999996</v>
      </c>
      <c r="E217">
        <v>50</v>
      </c>
      <c r="F217">
        <v>14.998606682</v>
      </c>
      <c r="G217">
        <v>1341.5622559000001</v>
      </c>
      <c r="H217">
        <v>1338.8129882999999</v>
      </c>
      <c r="I217">
        <v>1321.4537353999999</v>
      </c>
      <c r="J217">
        <v>1317.4979248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11.42506</v>
      </c>
      <c r="B218" s="1">
        <f>DATE(2010,5,12) + TIME(10,12,5)</f>
        <v>40310.425057870372</v>
      </c>
      <c r="C218">
        <v>80</v>
      </c>
      <c r="D218">
        <v>79.949165343999994</v>
      </c>
      <c r="E218">
        <v>50</v>
      </c>
      <c r="F218">
        <v>14.998609543000001</v>
      </c>
      <c r="G218">
        <v>1341.5517577999999</v>
      </c>
      <c r="H218">
        <v>1338.8049315999999</v>
      </c>
      <c r="I218">
        <v>1321.4539795000001</v>
      </c>
      <c r="J218">
        <v>1317.4980469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11.507179000000001</v>
      </c>
      <c r="B219" s="1">
        <f>DATE(2010,5,12) + TIME(12,10,20)</f>
        <v>40310.507175925923</v>
      </c>
      <c r="C219">
        <v>80</v>
      </c>
      <c r="D219">
        <v>79.949142456000004</v>
      </c>
      <c r="E219">
        <v>50</v>
      </c>
      <c r="F219">
        <v>14.998612403999999</v>
      </c>
      <c r="G219">
        <v>1341.5456543</v>
      </c>
      <c r="H219">
        <v>1338.800293</v>
      </c>
      <c r="I219">
        <v>1321.4542236</v>
      </c>
      <c r="J219">
        <v>1317.4982910000001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11.589297</v>
      </c>
      <c r="B220" s="1">
        <f>DATE(2010,5,12) + TIME(14,8,35)</f>
        <v>40310.58929398148</v>
      </c>
      <c r="C220">
        <v>80</v>
      </c>
      <c r="D220">
        <v>79.949127196999996</v>
      </c>
      <c r="E220">
        <v>50</v>
      </c>
      <c r="F220">
        <v>14.998615265</v>
      </c>
      <c r="G220">
        <v>1341.5399170000001</v>
      </c>
      <c r="H220">
        <v>1338.7960204999999</v>
      </c>
      <c r="I220">
        <v>1321.4544678</v>
      </c>
      <c r="J220">
        <v>1317.4984131000001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11.671416000000001</v>
      </c>
      <c r="B221" s="1">
        <f>DATE(2010,5,12) + TIME(16,6,50)</f>
        <v>40310.671412037038</v>
      </c>
      <c r="C221">
        <v>80</v>
      </c>
      <c r="D221">
        <v>79.949104309000006</v>
      </c>
      <c r="E221">
        <v>50</v>
      </c>
      <c r="F221">
        <v>14.998618126</v>
      </c>
      <c r="G221">
        <v>1341.5344238</v>
      </c>
      <c r="H221">
        <v>1338.7917480000001</v>
      </c>
      <c r="I221">
        <v>1321.4545897999999</v>
      </c>
      <c r="J221">
        <v>1317.4985352000001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11.753534999999999</v>
      </c>
      <c r="B222" s="1">
        <f>DATE(2010,5,12) + TIME(18,5,5)</f>
        <v>40310.753530092596</v>
      </c>
      <c r="C222">
        <v>80</v>
      </c>
      <c r="D222">
        <v>79.949089049999998</v>
      </c>
      <c r="E222">
        <v>50</v>
      </c>
      <c r="F222">
        <v>14.998620987000001</v>
      </c>
      <c r="G222">
        <v>1341.5289307</v>
      </c>
      <c r="H222">
        <v>1338.7875977000001</v>
      </c>
      <c r="I222">
        <v>1321.4547118999999</v>
      </c>
      <c r="J222">
        <v>1317.4986572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11.835654</v>
      </c>
      <c r="B223" s="1">
        <f>DATE(2010,5,12) + TIME(20,3,20)</f>
        <v>40310.835648148146</v>
      </c>
      <c r="C223">
        <v>80</v>
      </c>
      <c r="D223">
        <v>79.949073791999993</v>
      </c>
      <c r="E223">
        <v>50</v>
      </c>
      <c r="F223">
        <v>14.998623847999999</v>
      </c>
      <c r="G223">
        <v>1341.5234375</v>
      </c>
      <c r="H223">
        <v>1338.7834473</v>
      </c>
      <c r="I223">
        <v>1321.4549560999999</v>
      </c>
      <c r="J223">
        <v>1317.4987793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11.917771999999999</v>
      </c>
      <c r="B224" s="1">
        <f>DATE(2010,5,12) + TIME(22,1,35)</f>
        <v>40310.917766203704</v>
      </c>
      <c r="C224">
        <v>80</v>
      </c>
      <c r="D224">
        <v>79.949050903</v>
      </c>
      <c r="E224">
        <v>50</v>
      </c>
      <c r="F224">
        <v>14.998626709</v>
      </c>
      <c r="G224">
        <v>1341.5179443</v>
      </c>
      <c r="H224">
        <v>1338.7792969</v>
      </c>
      <c r="I224">
        <v>1321.4550781</v>
      </c>
      <c r="J224">
        <v>1317.4989014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11.999891</v>
      </c>
      <c r="B225" s="1">
        <f>DATE(2010,5,12) + TIME(23,59,50)</f>
        <v>40310.999884259261</v>
      </c>
      <c r="C225">
        <v>80</v>
      </c>
      <c r="D225">
        <v>79.949035644999995</v>
      </c>
      <c r="E225">
        <v>50</v>
      </c>
      <c r="F225">
        <v>14.99862957</v>
      </c>
      <c r="G225">
        <v>1341.5125731999999</v>
      </c>
      <c r="H225">
        <v>1338.7752685999999</v>
      </c>
      <c r="I225">
        <v>1321.4553223</v>
      </c>
      <c r="J225">
        <v>1317.4990233999999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12.08201</v>
      </c>
      <c r="B226" s="1">
        <f>DATE(2010,5,13) + TIME(1,58,5)</f>
        <v>40311.082002314812</v>
      </c>
      <c r="C226">
        <v>80</v>
      </c>
      <c r="D226">
        <v>79.949020386000001</v>
      </c>
      <c r="E226">
        <v>50</v>
      </c>
      <c r="F226">
        <v>14.998632431000001</v>
      </c>
      <c r="G226">
        <v>1341.5072021000001</v>
      </c>
      <c r="H226">
        <v>1338.7712402</v>
      </c>
      <c r="I226">
        <v>1321.4554443</v>
      </c>
      <c r="J226">
        <v>1317.4992675999999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12.164128</v>
      </c>
      <c r="B227" s="1">
        <f>DATE(2010,5,13) + TIME(3,56,20)</f>
        <v>40311.164120370369</v>
      </c>
      <c r="C227">
        <v>80</v>
      </c>
      <c r="D227">
        <v>79.948997497999997</v>
      </c>
      <c r="E227">
        <v>50</v>
      </c>
      <c r="F227">
        <v>14.998635291999999</v>
      </c>
      <c r="G227">
        <v>1341.5019531</v>
      </c>
      <c r="H227">
        <v>1338.7672118999999</v>
      </c>
      <c r="I227">
        <v>1321.4555664</v>
      </c>
      <c r="J227">
        <v>1317.4993896000001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12.246247</v>
      </c>
      <c r="B228" s="1">
        <f>DATE(2010,5,13) + TIME(5,54,35)</f>
        <v>40311.246238425927</v>
      </c>
      <c r="C228">
        <v>80</v>
      </c>
      <c r="D228">
        <v>79.948982239000003</v>
      </c>
      <c r="E228">
        <v>50</v>
      </c>
      <c r="F228">
        <v>14.998638153</v>
      </c>
      <c r="G228">
        <v>1341.4967041</v>
      </c>
      <c r="H228">
        <v>1338.7631836</v>
      </c>
      <c r="I228">
        <v>1321.4558105000001</v>
      </c>
      <c r="J228">
        <v>1317.4995117000001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12.328366000000001</v>
      </c>
      <c r="B229" s="1">
        <f>DATE(2010,5,13) + TIME(7,52,50)</f>
        <v>40311.328356481485</v>
      </c>
      <c r="C229">
        <v>80</v>
      </c>
      <c r="D229">
        <v>79.948966979999994</v>
      </c>
      <c r="E229">
        <v>50</v>
      </c>
      <c r="F229">
        <v>14.998641014</v>
      </c>
      <c r="G229">
        <v>1341.4914550999999</v>
      </c>
      <c r="H229">
        <v>1338.7592772999999</v>
      </c>
      <c r="I229">
        <v>1321.4559326000001</v>
      </c>
      <c r="J229">
        <v>1317.4996338000001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12.410485</v>
      </c>
      <c r="B230" s="1">
        <f>DATE(2010,5,13) + TIME(9,51,5)</f>
        <v>40311.410474537035</v>
      </c>
      <c r="C230">
        <v>80</v>
      </c>
      <c r="D230">
        <v>79.948944092000005</v>
      </c>
      <c r="E230">
        <v>50</v>
      </c>
      <c r="F230">
        <v>14.998643875000001</v>
      </c>
      <c r="G230">
        <v>1341.4862060999999</v>
      </c>
      <c r="H230">
        <v>1338.7553711</v>
      </c>
      <c r="I230">
        <v>1321.4561768000001</v>
      </c>
      <c r="J230">
        <v>1317.4997559000001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12.574722</v>
      </c>
      <c r="B231" s="1">
        <f>DATE(2010,5,13) + TIME(13,47,35)</f>
        <v>40311.57471064815</v>
      </c>
      <c r="C231">
        <v>80</v>
      </c>
      <c r="D231">
        <v>79.948928832999997</v>
      </c>
      <c r="E231">
        <v>50</v>
      </c>
      <c r="F231">
        <v>14.998648642999999</v>
      </c>
      <c r="G231">
        <v>1341.4805908000001</v>
      </c>
      <c r="H231">
        <v>1338.7512207</v>
      </c>
      <c r="I231">
        <v>1321.4564209</v>
      </c>
      <c r="J231">
        <v>1317.4998779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12.739083000000001</v>
      </c>
      <c r="B232" s="1">
        <f>DATE(2010,5,13) + TIME(17,44,16)</f>
        <v>40311.739074074074</v>
      </c>
      <c r="C232">
        <v>80</v>
      </c>
      <c r="D232">
        <v>79.948898314999994</v>
      </c>
      <c r="E232">
        <v>50</v>
      </c>
      <c r="F232">
        <v>14.998653411999999</v>
      </c>
      <c r="G232">
        <v>1341.4707031</v>
      </c>
      <c r="H232">
        <v>1338.7437743999999</v>
      </c>
      <c r="I232">
        <v>1321.4566649999999</v>
      </c>
      <c r="J232">
        <v>1317.5001221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12.904911</v>
      </c>
      <c r="B233" s="1">
        <f>DATE(2010,5,13) + TIME(21,43,4)</f>
        <v>40311.904907407406</v>
      </c>
      <c r="C233">
        <v>80</v>
      </c>
      <c r="D233">
        <v>79.948867797999995</v>
      </c>
      <c r="E233">
        <v>50</v>
      </c>
      <c r="F233">
        <v>14.99865818</v>
      </c>
      <c r="G233">
        <v>1341.4606934000001</v>
      </c>
      <c r="H233">
        <v>1338.7363281</v>
      </c>
      <c r="I233">
        <v>1321.4569091999999</v>
      </c>
      <c r="J233">
        <v>1317.5003661999999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13.072532000000001</v>
      </c>
      <c r="B234" s="1">
        <f>DATE(2010,5,14) + TIME(1,44,26)</f>
        <v>40312.072523148148</v>
      </c>
      <c r="C234">
        <v>80</v>
      </c>
      <c r="D234">
        <v>79.948829650999997</v>
      </c>
      <c r="E234">
        <v>50</v>
      </c>
      <c r="F234">
        <v>14.998662949</v>
      </c>
      <c r="G234">
        <v>1341.4505615</v>
      </c>
      <c r="H234">
        <v>1338.7288818</v>
      </c>
      <c r="I234">
        <v>1321.4572754000001</v>
      </c>
      <c r="J234">
        <v>1317.5007324000001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13.242279999999999</v>
      </c>
      <c r="B235" s="1">
        <f>DATE(2010,5,14) + TIME(5,48,52)</f>
        <v>40312.242268518516</v>
      </c>
      <c r="C235">
        <v>80</v>
      </c>
      <c r="D235">
        <v>79.948799132999994</v>
      </c>
      <c r="E235">
        <v>50</v>
      </c>
      <c r="F235">
        <v>14.998668671000001</v>
      </c>
      <c r="G235">
        <v>1341.4405518000001</v>
      </c>
      <c r="H235">
        <v>1338.7214355000001</v>
      </c>
      <c r="I235">
        <v>1321.4576416</v>
      </c>
      <c r="J235">
        <v>1317.5009766000001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13.414498</v>
      </c>
      <c r="B236" s="1">
        <f>DATE(2010,5,14) + TIME(9,56,52)</f>
        <v>40312.414490740739</v>
      </c>
      <c r="C236">
        <v>80</v>
      </c>
      <c r="D236">
        <v>79.948760985999996</v>
      </c>
      <c r="E236">
        <v>50</v>
      </c>
      <c r="F236">
        <v>14.998673438999999</v>
      </c>
      <c r="G236">
        <v>1341.4304199000001</v>
      </c>
      <c r="H236">
        <v>1338.7138672000001</v>
      </c>
      <c r="I236">
        <v>1321.4580077999999</v>
      </c>
      <c r="J236">
        <v>1317.5012207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13.589568999999999</v>
      </c>
      <c r="B237" s="1">
        <f>DATE(2010,5,14) + TIME(14,8,58)</f>
        <v>40312.589560185188</v>
      </c>
      <c r="C237">
        <v>80</v>
      </c>
      <c r="D237">
        <v>79.948730468999997</v>
      </c>
      <c r="E237">
        <v>50</v>
      </c>
      <c r="F237">
        <v>14.998678206999999</v>
      </c>
      <c r="G237">
        <v>1341.4202881000001</v>
      </c>
      <c r="H237">
        <v>1338.7064209</v>
      </c>
      <c r="I237">
        <v>1321.458374</v>
      </c>
      <c r="J237">
        <v>1317.5014647999999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13.767913999999999</v>
      </c>
      <c r="B238" s="1">
        <f>DATE(2010,5,14) + TIME(18,25,47)</f>
        <v>40312.767905092594</v>
      </c>
      <c r="C238">
        <v>80</v>
      </c>
      <c r="D238">
        <v>79.948692321999999</v>
      </c>
      <c r="E238">
        <v>50</v>
      </c>
      <c r="F238">
        <v>14.998683929</v>
      </c>
      <c r="G238">
        <v>1341.4101562000001</v>
      </c>
      <c r="H238">
        <v>1338.6989745999999</v>
      </c>
      <c r="I238">
        <v>1321.4587402</v>
      </c>
      <c r="J238">
        <v>1317.5018310999999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13.949896000000001</v>
      </c>
      <c r="B239" s="1">
        <f>DATE(2010,5,14) + TIME(22,47,51)</f>
        <v>40312.949895833335</v>
      </c>
      <c r="C239">
        <v>80</v>
      </c>
      <c r="D239">
        <v>79.948661803999997</v>
      </c>
      <c r="E239">
        <v>50</v>
      </c>
      <c r="F239">
        <v>14.998688698</v>
      </c>
      <c r="G239">
        <v>1341.3999022999999</v>
      </c>
      <c r="H239">
        <v>1338.6914062000001</v>
      </c>
      <c r="I239">
        <v>1321.4591064000001</v>
      </c>
      <c r="J239">
        <v>1317.5020752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14.134195999999999</v>
      </c>
      <c r="B240" s="1">
        <f>DATE(2010,5,15) + TIME(3,13,14)</f>
        <v>40313.134189814817</v>
      </c>
      <c r="C240">
        <v>80</v>
      </c>
      <c r="D240">
        <v>79.948623656999999</v>
      </c>
      <c r="E240">
        <v>50</v>
      </c>
      <c r="F240">
        <v>14.99869442</v>
      </c>
      <c r="G240">
        <v>1341.3896483999999</v>
      </c>
      <c r="H240">
        <v>1338.6838379000001</v>
      </c>
      <c r="I240">
        <v>1321.4594727000001</v>
      </c>
      <c r="J240">
        <v>1317.5024414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14.320835000000001</v>
      </c>
      <c r="B241" s="1">
        <f>DATE(2010,5,15) + TIME(7,42,0)</f>
        <v>40313.320833333331</v>
      </c>
      <c r="C241">
        <v>80</v>
      </c>
      <c r="D241">
        <v>79.948585510000001</v>
      </c>
      <c r="E241">
        <v>50</v>
      </c>
      <c r="F241">
        <v>14.998699188</v>
      </c>
      <c r="G241">
        <v>1341.3793945</v>
      </c>
      <c r="H241">
        <v>1338.6763916</v>
      </c>
      <c r="I241">
        <v>1321.4598389</v>
      </c>
      <c r="J241">
        <v>1317.5026855000001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14.415153999999999</v>
      </c>
      <c r="B242" s="1">
        <f>DATE(2010,5,15) + TIME(9,57,49)</f>
        <v>40313.415150462963</v>
      </c>
      <c r="C242">
        <v>80</v>
      </c>
      <c r="D242">
        <v>79.948554993000002</v>
      </c>
      <c r="E242">
        <v>50</v>
      </c>
      <c r="F242">
        <v>14.998702049</v>
      </c>
      <c r="G242">
        <v>1341.369751</v>
      </c>
      <c r="H242">
        <v>1338.6693115</v>
      </c>
      <c r="I242">
        <v>1321.4602050999999</v>
      </c>
      <c r="J242">
        <v>1317.5029297000001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14.509472000000001</v>
      </c>
      <c r="B243" s="1">
        <f>DATE(2010,5,15) + TIME(12,13,38)</f>
        <v>40313.509467592594</v>
      </c>
      <c r="C243">
        <v>80</v>
      </c>
      <c r="D243">
        <v>79.948532103999995</v>
      </c>
      <c r="E243">
        <v>50</v>
      </c>
      <c r="F243">
        <v>14.998704910000001</v>
      </c>
      <c r="G243">
        <v>1341.3641356999999</v>
      </c>
      <c r="H243">
        <v>1338.6651611</v>
      </c>
      <c r="I243">
        <v>1321.4604492000001</v>
      </c>
      <c r="J243">
        <v>1317.5030518000001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14.603790999999999</v>
      </c>
      <c r="B244" s="1">
        <f>DATE(2010,5,15) + TIME(14,29,27)</f>
        <v>40313.603784722225</v>
      </c>
      <c r="C244">
        <v>80</v>
      </c>
      <c r="D244">
        <v>79.948516846000004</v>
      </c>
      <c r="E244">
        <v>50</v>
      </c>
      <c r="F244">
        <v>14.998707770999999</v>
      </c>
      <c r="G244">
        <v>1341.3588867000001</v>
      </c>
      <c r="H244">
        <v>1338.6612548999999</v>
      </c>
      <c r="I244">
        <v>1321.4606934000001</v>
      </c>
      <c r="J244">
        <v>1317.5032959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14.69811</v>
      </c>
      <c r="B245" s="1">
        <f>DATE(2010,5,15) + TIME(16,45,16)</f>
        <v>40313.698101851849</v>
      </c>
      <c r="C245">
        <v>80</v>
      </c>
      <c r="D245">
        <v>79.948493958</v>
      </c>
      <c r="E245">
        <v>50</v>
      </c>
      <c r="F245">
        <v>14.998710632</v>
      </c>
      <c r="G245">
        <v>1341.3537598</v>
      </c>
      <c r="H245">
        <v>1338.6574707</v>
      </c>
      <c r="I245">
        <v>1321.4608154</v>
      </c>
      <c r="J245">
        <v>1317.503418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14.792427999999999</v>
      </c>
      <c r="B246" s="1">
        <f>DATE(2010,5,15) + TIME(19,1,5)</f>
        <v>40313.79241898148</v>
      </c>
      <c r="C246">
        <v>80</v>
      </c>
      <c r="D246">
        <v>79.948471068999993</v>
      </c>
      <c r="E246">
        <v>50</v>
      </c>
      <c r="F246">
        <v>14.998713493</v>
      </c>
      <c r="G246">
        <v>1341.3486327999999</v>
      </c>
      <c r="H246">
        <v>1338.6538086</v>
      </c>
      <c r="I246">
        <v>1321.4610596</v>
      </c>
      <c r="J246">
        <v>1317.5036620999999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14.886747</v>
      </c>
      <c r="B247" s="1">
        <f>DATE(2010,5,15) + TIME(21,16,54)</f>
        <v>40313.886736111112</v>
      </c>
      <c r="C247">
        <v>80</v>
      </c>
      <c r="D247">
        <v>79.948455811000002</v>
      </c>
      <c r="E247">
        <v>50</v>
      </c>
      <c r="F247">
        <v>14.998716354000001</v>
      </c>
      <c r="G247">
        <v>1341.3436279</v>
      </c>
      <c r="H247">
        <v>1338.6500243999999</v>
      </c>
      <c r="I247">
        <v>1321.4613036999999</v>
      </c>
      <c r="J247">
        <v>1317.5037841999999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14.981066</v>
      </c>
      <c r="B248" s="1">
        <f>DATE(2010,5,15) + TIME(23,32,44)</f>
        <v>40313.981064814812</v>
      </c>
      <c r="C248">
        <v>80</v>
      </c>
      <c r="D248">
        <v>79.948440551999994</v>
      </c>
      <c r="E248">
        <v>50</v>
      </c>
      <c r="F248">
        <v>14.998718262000001</v>
      </c>
      <c r="G248">
        <v>1341.338501</v>
      </c>
      <c r="H248">
        <v>1338.6463623</v>
      </c>
      <c r="I248">
        <v>1321.4614257999999</v>
      </c>
      <c r="J248">
        <v>1317.5039062000001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15.075385000000001</v>
      </c>
      <c r="B249" s="1">
        <f>DATE(2010,5,16) + TIME(1,48,33)</f>
        <v>40314.075381944444</v>
      </c>
      <c r="C249">
        <v>80</v>
      </c>
      <c r="D249">
        <v>79.948417664000004</v>
      </c>
      <c r="E249">
        <v>50</v>
      </c>
      <c r="F249">
        <v>14.998721122999999</v>
      </c>
      <c r="G249">
        <v>1341.3336182</v>
      </c>
      <c r="H249">
        <v>1338.6427002</v>
      </c>
      <c r="I249">
        <v>1321.4616699000001</v>
      </c>
      <c r="J249">
        <v>1317.5040283000001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15.169703</v>
      </c>
      <c r="B250" s="1">
        <f>DATE(2010,5,16) + TIME(4,4,22)</f>
        <v>40314.169699074075</v>
      </c>
      <c r="C250">
        <v>80</v>
      </c>
      <c r="D250">
        <v>79.948402404999996</v>
      </c>
      <c r="E250">
        <v>50</v>
      </c>
      <c r="F250">
        <v>14.998723984</v>
      </c>
      <c r="G250">
        <v>1341.3286132999999</v>
      </c>
      <c r="H250">
        <v>1338.6390381000001</v>
      </c>
      <c r="I250">
        <v>1321.4617920000001</v>
      </c>
      <c r="J250">
        <v>1317.5042725000001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15.264022000000001</v>
      </c>
      <c r="B251" s="1">
        <f>DATE(2010,5,16) + TIME(6,20,11)</f>
        <v>40314.264016203706</v>
      </c>
      <c r="C251">
        <v>80</v>
      </c>
      <c r="D251">
        <v>79.948387146000002</v>
      </c>
      <c r="E251">
        <v>50</v>
      </c>
      <c r="F251">
        <v>14.998726845</v>
      </c>
      <c r="G251">
        <v>1341.3237305</v>
      </c>
      <c r="H251">
        <v>1338.6354980000001</v>
      </c>
      <c r="I251">
        <v>1321.4620361</v>
      </c>
      <c r="J251">
        <v>1317.5043945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15.358340999999999</v>
      </c>
      <c r="B252" s="1">
        <f>DATE(2010,5,16) + TIME(8,36,0)</f>
        <v>40314.35833333333</v>
      </c>
      <c r="C252">
        <v>80</v>
      </c>
      <c r="D252">
        <v>79.948364257999998</v>
      </c>
      <c r="E252">
        <v>50</v>
      </c>
      <c r="F252">
        <v>14.998728752</v>
      </c>
      <c r="G252">
        <v>1341.3187256000001</v>
      </c>
      <c r="H252">
        <v>1338.6319579999999</v>
      </c>
      <c r="I252">
        <v>1321.4622803</v>
      </c>
      <c r="J252">
        <v>1317.5045166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15.452659000000001</v>
      </c>
      <c r="B253" s="1">
        <f>DATE(2010,5,16) + TIME(10,51,49)</f>
        <v>40314.452650462961</v>
      </c>
      <c r="C253">
        <v>80</v>
      </c>
      <c r="D253">
        <v>79.948348999000004</v>
      </c>
      <c r="E253">
        <v>50</v>
      </c>
      <c r="F253">
        <v>14.998731613</v>
      </c>
      <c r="G253">
        <v>1341.3139647999999</v>
      </c>
      <c r="H253">
        <v>1338.628418</v>
      </c>
      <c r="I253">
        <v>1321.4624022999999</v>
      </c>
      <c r="J253">
        <v>1317.5046387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15.546977999999999</v>
      </c>
      <c r="B254" s="1">
        <f>DATE(2010,5,16) + TIME(13,7,38)</f>
        <v>40314.546967592592</v>
      </c>
      <c r="C254">
        <v>80</v>
      </c>
      <c r="D254">
        <v>79.948333739999995</v>
      </c>
      <c r="E254">
        <v>50</v>
      </c>
      <c r="F254">
        <v>14.998734474000001</v>
      </c>
      <c r="G254">
        <v>1341.309082</v>
      </c>
      <c r="H254">
        <v>1338.6248779</v>
      </c>
      <c r="I254">
        <v>1321.4626464999999</v>
      </c>
      <c r="J254">
        <v>1317.5048827999999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15.641297</v>
      </c>
      <c r="B255" s="1">
        <f>DATE(2010,5,16) + TIME(15,23,28)</f>
        <v>40314.641296296293</v>
      </c>
      <c r="C255">
        <v>80</v>
      </c>
      <c r="D255">
        <v>79.948310852000006</v>
      </c>
      <c r="E255">
        <v>50</v>
      </c>
      <c r="F255">
        <v>14.998736382000001</v>
      </c>
      <c r="G255">
        <v>1341.3041992000001</v>
      </c>
      <c r="H255">
        <v>1338.6213379000001</v>
      </c>
      <c r="I255">
        <v>1321.4627685999999</v>
      </c>
      <c r="J255">
        <v>1317.5050048999999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15.829934</v>
      </c>
      <c r="B256" s="1">
        <f>DATE(2010,5,16) + TIME(19,55,6)</f>
        <v>40314.829930555556</v>
      </c>
      <c r="C256">
        <v>80</v>
      </c>
      <c r="D256">
        <v>79.948295592999997</v>
      </c>
      <c r="E256">
        <v>50</v>
      </c>
      <c r="F256">
        <v>14.998741150000001</v>
      </c>
      <c r="G256">
        <v>1341.2990723</v>
      </c>
      <c r="H256">
        <v>1338.6175536999999</v>
      </c>
      <c r="I256">
        <v>1321.4631348</v>
      </c>
      <c r="J256">
        <v>1317.505249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16.019067</v>
      </c>
      <c r="B257" s="1">
        <f>DATE(2010,5,17) + TIME(0,27,27)</f>
        <v>40315.019062500003</v>
      </c>
      <c r="C257">
        <v>80</v>
      </c>
      <c r="D257">
        <v>79.948265075999998</v>
      </c>
      <c r="E257">
        <v>50</v>
      </c>
      <c r="F257">
        <v>14.998745917999999</v>
      </c>
      <c r="G257">
        <v>1341.2899170000001</v>
      </c>
      <c r="H257">
        <v>1338.6109618999999</v>
      </c>
      <c r="I257">
        <v>1321.4633789</v>
      </c>
      <c r="J257">
        <v>1317.5054932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16.210077999999999</v>
      </c>
      <c r="B258" s="1">
        <f>DATE(2010,5,17) + TIME(5,2,30)</f>
        <v>40315.210069444445</v>
      </c>
      <c r="C258">
        <v>80</v>
      </c>
      <c r="D258">
        <v>79.948234557999996</v>
      </c>
      <c r="E258">
        <v>50</v>
      </c>
      <c r="F258">
        <v>14.998750686999999</v>
      </c>
      <c r="G258">
        <v>1341.2806396000001</v>
      </c>
      <c r="H258">
        <v>1338.6042480000001</v>
      </c>
      <c r="I258">
        <v>1321.4638672000001</v>
      </c>
      <c r="J258">
        <v>1317.5057373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16.403328999999999</v>
      </c>
      <c r="B259" s="1">
        <f>DATE(2010,5,17) + TIME(9,40,47)</f>
        <v>40315.403321759259</v>
      </c>
      <c r="C259">
        <v>80</v>
      </c>
      <c r="D259">
        <v>79.948204040999997</v>
      </c>
      <c r="E259">
        <v>50</v>
      </c>
      <c r="F259">
        <v>14.998755455</v>
      </c>
      <c r="G259">
        <v>1341.2712402</v>
      </c>
      <c r="H259">
        <v>1338.5975341999999</v>
      </c>
      <c r="I259">
        <v>1321.4642334</v>
      </c>
      <c r="J259">
        <v>1317.5061035000001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16.599215000000001</v>
      </c>
      <c r="B260" s="1">
        <f>DATE(2010,5,17) + TIME(14,22,52)</f>
        <v>40315.599212962959</v>
      </c>
      <c r="C260">
        <v>80</v>
      </c>
      <c r="D260">
        <v>79.948165893999999</v>
      </c>
      <c r="E260">
        <v>50</v>
      </c>
      <c r="F260">
        <v>14.998760223</v>
      </c>
      <c r="G260">
        <v>1341.2618408000001</v>
      </c>
      <c r="H260">
        <v>1338.5908202999999</v>
      </c>
      <c r="I260">
        <v>1321.4645995999999</v>
      </c>
      <c r="J260">
        <v>1317.5063477000001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16.798176999999999</v>
      </c>
      <c r="B261" s="1">
        <f>DATE(2010,5,17) + TIME(19,9,22)</f>
        <v>40315.798171296294</v>
      </c>
      <c r="C261">
        <v>80</v>
      </c>
      <c r="D261">
        <v>79.948135375999996</v>
      </c>
      <c r="E261">
        <v>50</v>
      </c>
      <c r="F261">
        <v>14.998764992</v>
      </c>
      <c r="G261">
        <v>1341.2524414</v>
      </c>
      <c r="H261">
        <v>1338.5841064000001</v>
      </c>
      <c r="I261">
        <v>1321.4650879000001</v>
      </c>
      <c r="J261">
        <v>1317.5067139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17.00076</v>
      </c>
      <c r="B262" s="1">
        <f>DATE(2010,5,18) + TIME(0,1,5)</f>
        <v>40316.000752314816</v>
      </c>
      <c r="C262">
        <v>80</v>
      </c>
      <c r="D262">
        <v>79.948104857999994</v>
      </c>
      <c r="E262">
        <v>50</v>
      </c>
      <c r="F262">
        <v>14.99876976</v>
      </c>
      <c r="G262">
        <v>1341.2430420000001</v>
      </c>
      <c r="H262">
        <v>1338.5772704999999</v>
      </c>
      <c r="I262">
        <v>1321.4654541</v>
      </c>
      <c r="J262">
        <v>1317.5070800999999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17.207395999999999</v>
      </c>
      <c r="B263" s="1">
        <f>DATE(2010,5,18) + TIME(4,58,39)</f>
        <v>40316.207395833335</v>
      </c>
      <c r="C263">
        <v>80</v>
      </c>
      <c r="D263">
        <v>79.948066710999996</v>
      </c>
      <c r="E263">
        <v>50</v>
      </c>
      <c r="F263">
        <v>14.998774529</v>
      </c>
      <c r="G263">
        <v>1341.2335204999999</v>
      </c>
      <c r="H263">
        <v>1338.5704346</v>
      </c>
      <c r="I263">
        <v>1321.4659423999999</v>
      </c>
      <c r="J263">
        <v>1317.5074463000001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17.418033000000001</v>
      </c>
      <c r="B264" s="1">
        <f>DATE(2010,5,18) + TIME(10,1,58)</f>
        <v>40316.418032407404</v>
      </c>
      <c r="C264">
        <v>80</v>
      </c>
      <c r="D264">
        <v>79.948036193999997</v>
      </c>
      <c r="E264">
        <v>50</v>
      </c>
      <c r="F264">
        <v>14.998779297</v>
      </c>
      <c r="G264">
        <v>1341.2238769999999</v>
      </c>
      <c r="H264">
        <v>1338.5635986</v>
      </c>
      <c r="I264">
        <v>1321.4663086</v>
      </c>
      <c r="J264">
        <v>1317.5076904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17.630516</v>
      </c>
      <c r="B265" s="1">
        <f>DATE(2010,5,18) + TIME(15,7,56)</f>
        <v>40316.630509259259</v>
      </c>
      <c r="C265">
        <v>80</v>
      </c>
      <c r="D265">
        <v>79.947998046999999</v>
      </c>
      <c r="E265">
        <v>50</v>
      </c>
      <c r="F265">
        <v>14.998784065000001</v>
      </c>
      <c r="G265">
        <v>1341.2142334</v>
      </c>
      <c r="H265">
        <v>1338.5566406</v>
      </c>
      <c r="I265">
        <v>1321.4667969</v>
      </c>
      <c r="J265">
        <v>1317.5080565999999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17.737051999999998</v>
      </c>
      <c r="B266" s="1">
        <f>DATE(2010,5,18) + TIME(17,41,21)</f>
        <v>40316.73704861111</v>
      </c>
      <c r="C266">
        <v>80</v>
      </c>
      <c r="D266">
        <v>79.947967528999996</v>
      </c>
      <c r="E266">
        <v>50</v>
      </c>
      <c r="F266">
        <v>14.998786925999999</v>
      </c>
      <c r="G266">
        <v>1341.2053223</v>
      </c>
      <c r="H266">
        <v>1338.5504149999999</v>
      </c>
      <c r="I266">
        <v>1321.4671631000001</v>
      </c>
      <c r="J266">
        <v>1317.5083007999999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17.843577</v>
      </c>
      <c r="B267" s="1">
        <f>DATE(2010,5,18) + TIME(20,14,45)</f>
        <v>40316.843576388892</v>
      </c>
      <c r="C267">
        <v>80</v>
      </c>
      <c r="D267">
        <v>79.947944641000007</v>
      </c>
      <c r="E267">
        <v>50</v>
      </c>
      <c r="F267">
        <v>14.998789787</v>
      </c>
      <c r="G267">
        <v>1341.1999512</v>
      </c>
      <c r="H267">
        <v>1338.5465088000001</v>
      </c>
      <c r="I267">
        <v>1321.4674072</v>
      </c>
      <c r="J267">
        <v>1317.5085449000001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17.949907</v>
      </c>
      <c r="B268" s="1">
        <f>DATE(2010,5,18) + TIME(22,47,52)</f>
        <v>40316.949907407405</v>
      </c>
      <c r="C268">
        <v>80</v>
      </c>
      <c r="D268">
        <v>79.947929381999998</v>
      </c>
      <c r="E268">
        <v>50</v>
      </c>
      <c r="F268">
        <v>14.998792648</v>
      </c>
      <c r="G268">
        <v>1341.1950684000001</v>
      </c>
      <c r="H268">
        <v>1338.5429687999999</v>
      </c>
      <c r="I268">
        <v>1321.4676514</v>
      </c>
      <c r="J268">
        <v>1317.5087891000001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18.056083000000001</v>
      </c>
      <c r="B269" s="1">
        <f>DATE(2010,5,19) + TIME(1,20,45)</f>
        <v>40317.056076388886</v>
      </c>
      <c r="C269">
        <v>80</v>
      </c>
      <c r="D269">
        <v>79.947906493999994</v>
      </c>
      <c r="E269">
        <v>50</v>
      </c>
      <c r="F269">
        <v>14.998794556</v>
      </c>
      <c r="G269">
        <v>1341.1903076000001</v>
      </c>
      <c r="H269">
        <v>1338.5395507999999</v>
      </c>
      <c r="I269">
        <v>1321.4678954999999</v>
      </c>
      <c r="J269">
        <v>1317.5090332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18.162154000000001</v>
      </c>
      <c r="B270" s="1">
        <f>DATE(2010,5,19) + TIME(3,53,30)</f>
        <v>40317.162152777775</v>
      </c>
      <c r="C270">
        <v>80</v>
      </c>
      <c r="D270">
        <v>79.947891235</v>
      </c>
      <c r="E270">
        <v>50</v>
      </c>
      <c r="F270">
        <v>14.998797417</v>
      </c>
      <c r="G270">
        <v>1341.1855469</v>
      </c>
      <c r="H270">
        <v>1338.5361327999999</v>
      </c>
      <c r="I270">
        <v>1321.4681396000001</v>
      </c>
      <c r="J270">
        <v>1317.5091553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18.268163000000001</v>
      </c>
      <c r="B271" s="1">
        <f>DATE(2010,5,19) + TIME(6,26,9)</f>
        <v>40317.268159722225</v>
      </c>
      <c r="C271">
        <v>80</v>
      </c>
      <c r="D271">
        <v>79.947868346999996</v>
      </c>
      <c r="E271">
        <v>50</v>
      </c>
      <c r="F271">
        <v>14.998800277999999</v>
      </c>
      <c r="G271">
        <v>1341.1807861</v>
      </c>
      <c r="H271">
        <v>1338.5328368999999</v>
      </c>
      <c r="I271">
        <v>1321.4683838000001</v>
      </c>
      <c r="J271">
        <v>1317.5092772999999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18.374172000000002</v>
      </c>
      <c r="B272" s="1">
        <f>DATE(2010,5,19) + TIME(8,58,48)</f>
        <v>40317.374166666668</v>
      </c>
      <c r="C272">
        <v>80</v>
      </c>
      <c r="D272">
        <v>79.947853088000002</v>
      </c>
      <c r="E272">
        <v>50</v>
      </c>
      <c r="F272">
        <v>14.998802185000001</v>
      </c>
      <c r="G272">
        <v>1341.1761475000001</v>
      </c>
      <c r="H272">
        <v>1338.5294189000001</v>
      </c>
      <c r="I272">
        <v>1321.4686279</v>
      </c>
      <c r="J272">
        <v>1317.5095214999999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18.480180000000001</v>
      </c>
      <c r="B273" s="1">
        <f>DATE(2010,5,19) + TIME(11,31,27)</f>
        <v>40317.480173611111</v>
      </c>
      <c r="C273">
        <v>80</v>
      </c>
      <c r="D273">
        <v>79.947837829999997</v>
      </c>
      <c r="E273">
        <v>50</v>
      </c>
      <c r="F273">
        <v>14.998805045999999</v>
      </c>
      <c r="G273">
        <v>1341.1715088000001</v>
      </c>
      <c r="H273">
        <v>1338.5261230000001</v>
      </c>
      <c r="I273">
        <v>1321.4688721</v>
      </c>
      <c r="J273">
        <v>1317.5096435999999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18.586189000000001</v>
      </c>
      <c r="B274" s="1">
        <f>DATE(2010,5,19) + TIME(14,4,6)</f>
        <v>40317.586180555554</v>
      </c>
      <c r="C274">
        <v>80</v>
      </c>
      <c r="D274">
        <v>79.947822571000003</v>
      </c>
      <c r="E274">
        <v>50</v>
      </c>
      <c r="F274">
        <v>14.998807907</v>
      </c>
      <c r="G274">
        <v>1341.1669922000001</v>
      </c>
      <c r="H274">
        <v>1338.5228271000001</v>
      </c>
      <c r="I274">
        <v>1321.4691161999999</v>
      </c>
      <c r="J274">
        <v>1317.5098877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18.692198000000001</v>
      </c>
      <c r="B275" s="1">
        <f>DATE(2010,5,19) + TIME(16,36,45)</f>
        <v>40317.692187499997</v>
      </c>
      <c r="C275">
        <v>80</v>
      </c>
      <c r="D275">
        <v>79.947799683</v>
      </c>
      <c r="E275">
        <v>50</v>
      </c>
      <c r="F275">
        <v>14.998809813999999</v>
      </c>
      <c r="G275">
        <v>1341.1623535000001</v>
      </c>
      <c r="H275">
        <v>1338.5195312000001</v>
      </c>
      <c r="I275">
        <v>1321.4693603999999</v>
      </c>
      <c r="J275">
        <v>1317.5100098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18.798207000000001</v>
      </c>
      <c r="B276" s="1">
        <f>DATE(2010,5,19) + TIME(19,9,25)</f>
        <v>40317.798206018517</v>
      </c>
      <c r="C276">
        <v>80</v>
      </c>
      <c r="D276">
        <v>79.947784424000005</v>
      </c>
      <c r="E276">
        <v>50</v>
      </c>
      <c r="F276">
        <v>14.998812675</v>
      </c>
      <c r="G276">
        <v>1341.1578368999999</v>
      </c>
      <c r="H276">
        <v>1338.5162353999999</v>
      </c>
      <c r="I276">
        <v>1321.4694824000001</v>
      </c>
      <c r="J276">
        <v>1317.5102539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18.904216000000002</v>
      </c>
      <c r="B277" s="1">
        <f>DATE(2010,5,19) + TIME(21,42,4)</f>
        <v>40317.90421296296</v>
      </c>
      <c r="C277">
        <v>80</v>
      </c>
      <c r="D277">
        <v>79.947769164999997</v>
      </c>
      <c r="E277">
        <v>50</v>
      </c>
      <c r="F277">
        <v>14.998814583</v>
      </c>
      <c r="G277">
        <v>1341.1533202999999</v>
      </c>
      <c r="H277">
        <v>1338.5130615</v>
      </c>
      <c r="I277">
        <v>1321.4697266000001</v>
      </c>
      <c r="J277">
        <v>1317.510376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19.116233000000001</v>
      </c>
      <c r="B278" s="1">
        <f>DATE(2010,5,20) + TIME(2,47,22)</f>
        <v>40318.116226851853</v>
      </c>
      <c r="C278">
        <v>80</v>
      </c>
      <c r="D278">
        <v>79.947753906000003</v>
      </c>
      <c r="E278">
        <v>50</v>
      </c>
      <c r="F278">
        <v>14.998819351</v>
      </c>
      <c r="G278">
        <v>1341.1483154</v>
      </c>
      <c r="H278">
        <v>1338.5095214999999</v>
      </c>
      <c r="I278">
        <v>1321.4700928</v>
      </c>
      <c r="J278">
        <v>1317.5106201000001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19.328795</v>
      </c>
      <c r="B279" s="1">
        <f>DATE(2010,5,20) + TIME(7,53,27)</f>
        <v>40318.328784722224</v>
      </c>
      <c r="C279">
        <v>80</v>
      </c>
      <c r="D279">
        <v>79.947723389000004</v>
      </c>
      <c r="E279">
        <v>50</v>
      </c>
      <c r="F279">
        <v>14.998823165999999</v>
      </c>
      <c r="G279">
        <v>1341.1397704999999</v>
      </c>
      <c r="H279">
        <v>1338.503418</v>
      </c>
      <c r="I279">
        <v>1321.4704589999999</v>
      </c>
      <c r="J279">
        <v>1317.5108643000001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19.543236</v>
      </c>
      <c r="B280" s="1">
        <f>DATE(2010,5,20) + TIME(13,2,15)</f>
        <v>40318.543229166666</v>
      </c>
      <c r="C280">
        <v>80</v>
      </c>
      <c r="D280">
        <v>79.947700499999996</v>
      </c>
      <c r="E280">
        <v>50</v>
      </c>
      <c r="F280">
        <v>14.998827933999999</v>
      </c>
      <c r="G280">
        <v>1341.1309814000001</v>
      </c>
      <c r="H280">
        <v>1338.4971923999999</v>
      </c>
      <c r="I280">
        <v>1321.4709473</v>
      </c>
      <c r="J280">
        <v>1317.5112305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19.759976999999999</v>
      </c>
      <c r="B281" s="1">
        <f>DATE(2010,5,20) + TIME(18,14,22)</f>
        <v>40318.759976851848</v>
      </c>
      <c r="C281">
        <v>80</v>
      </c>
      <c r="D281">
        <v>79.947669982999997</v>
      </c>
      <c r="E281">
        <v>50</v>
      </c>
      <c r="F281">
        <v>14.998831749000001</v>
      </c>
      <c r="G281">
        <v>1341.1221923999999</v>
      </c>
      <c r="H281">
        <v>1338.4909668</v>
      </c>
      <c r="I281">
        <v>1321.4714355000001</v>
      </c>
      <c r="J281">
        <v>1317.5115966999999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19.979444999999998</v>
      </c>
      <c r="B282" s="1">
        <f>DATE(2010,5,20) + TIME(23,30,24)</f>
        <v>40318.979444444441</v>
      </c>
      <c r="C282">
        <v>80</v>
      </c>
      <c r="D282">
        <v>79.947639464999995</v>
      </c>
      <c r="E282">
        <v>50</v>
      </c>
      <c r="F282">
        <v>14.998836517000001</v>
      </c>
      <c r="G282">
        <v>1341.1134033000001</v>
      </c>
      <c r="H282">
        <v>1338.4847411999999</v>
      </c>
      <c r="I282">
        <v>1321.4718018000001</v>
      </c>
      <c r="J282">
        <v>1317.5119629000001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20.202089999999998</v>
      </c>
      <c r="B283" s="1">
        <f>DATE(2010,5,21) + TIME(4,51,0)</f>
        <v>40319.20208333333</v>
      </c>
      <c r="C283">
        <v>80</v>
      </c>
      <c r="D283">
        <v>79.947608947999996</v>
      </c>
      <c r="E283">
        <v>50</v>
      </c>
      <c r="F283">
        <v>14.998841285999999</v>
      </c>
      <c r="G283">
        <v>1341.1044922000001</v>
      </c>
      <c r="H283">
        <v>1338.4785156</v>
      </c>
      <c r="I283">
        <v>1321.4722899999999</v>
      </c>
      <c r="J283">
        <v>1317.5123291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20.428404</v>
      </c>
      <c r="B284" s="1">
        <f>DATE(2010,5,21) + TIME(10,16,54)</f>
        <v>40319.428402777776</v>
      </c>
      <c r="C284">
        <v>80</v>
      </c>
      <c r="D284">
        <v>79.947578429999993</v>
      </c>
      <c r="E284">
        <v>50</v>
      </c>
      <c r="F284">
        <v>14.998846053999999</v>
      </c>
      <c r="G284">
        <v>1341.0955810999999</v>
      </c>
      <c r="H284">
        <v>1338.4722899999999</v>
      </c>
      <c r="I284">
        <v>1321.4727783000001</v>
      </c>
      <c r="J284">
        <v>1317.5126952999999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20.658958999999999</v>
      </c>
      <c r="B285" s="1">
        <f>DATE(2010,5,21) + TIME(15,48,54)</f>
        <v>40319.658958333333</v>
      </c>
      <c r="C285">
        <v>80</v>
      </c>
      <c r="D285">
        <v>79.947540282999995</v>
      </c>
      <c r="E285">
        <v>50</v>
      </c>
      <c r="F285">
        <v>14.998850822</v>
      </c>
      <c r="G285">
        <v>1341.0866699000001</v>
      </c>
      <c r="H285">
        <v>1338.4659423999999</v>
      </c>
      <c r="I285">
        <v>1321.4733887</v>
      </c>
      <c r="J285">
        <v>1317.5131836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20.894065999999999</v>
      </c>
      <c r="B286" s="1">
        <f>DATE(2010,5,21) + TIME(21,27,27)</f>
        <v>40319.894062500003</v>
      </c>
      <c r="C286">
        <v>80</v>
      </c>
      <c r="D286">
        <v>79.947509765999996</v>
      </c>
      <c r="E286">
        <v>50</v>
      </c>
      <c r="F286">
        <v>14.998855591</v>
      </c>
      <c r="G286">
        <v>1341.0776367000001</v>
      </c>
      <c r="H286">
        <v>1338.4595947</v>
      </c>
      <c r="I286">
        <v>1321.4738769999999</v>
      </c>
      <c r="J286">
        <v>1317.5135498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21.012091000000002</v>
      </c>
      <c r="B287" s="1">
        <f>DATE(2010,5,22) + TIME(0,17,24)</f>
        <v>40320.012083333335</v>
      </c>
      <c r="C287">
        <v>80</v>
      </c>
      <c r="D287">
        <v>79.947486877000003</v>
      </c>
      <c r="E287">
        <v>50</v>
      </c>
      <c r="F287">
        <v>14.998857498</v>
      </c>
      <c r="G287">
        <v>1341.0693358999999</v>
      </c>
      <c r="H287">
        <v>1338.4537353999999</v>
      </c>
      <c r="I287">
        <v>1321.4742432</v>
      </c>
      <c r="J287">
        <v>1317.5137939000001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21.130116000000001</v>
      </c>
      <c r="B288" s="1">
        <f>DATE(2010,5,22) + TIME(3,7,21)</f>
        <v>40320.130104166667</v>
      </c>
      <c r="C288">
        <v>80</v>
      </c>
      <c r="D288">
        <v>79.947463988999999</v>
      </c>
      <c r="E288">
        <v>50</v>
      </c>
      <c r="F288">
        <v>14.998860359</v>
      </c>
      <c r="G288">
        <v>1341.0643310999999</v>
      </c>
      <c r="H288">
        <v>1338.4500731999999</v>
      </c>
      <c r="I288">
        <v>1321.4746094</v>
      </c>
      <c r="J288">
        <v>1317.5141602000001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21.248141</v>
      </c>
      <c r="B289" s="1">
        <f>DATE(2010,5,22) + TIME(5,57,19)</f>
        <v>40320.248136574075</v>
      </c>
      <c r="C289">
        <v>80</v>
      </c>
      <c r="D289">
        <v>79.947448730000005</v>
      </c>
      <c r="E289">
        <v>50</v>
      </c>
      <c r="F289">
        <v>14.99886322</v>
      </c>
      <c r="G289">
        <v>1341.0596923999999</v>
      </c>
      <c r="H289">
        <v>1338.4467772999999</v>
      </c>
      <c r="I289">
        <v>1321.4748535000001</v>
      </c>
      <c r="J289">
        <v>1317.5142822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21.366166</v>
      </c>
      <c r="B290" s="1">
        <f>DATE(2010,5,22) + TIME(8,47,16)</f>
        <v>40320.366157407407</v>
      </c>
      <c r="C290">
        <v>80</v>
      </c>
      <c r="D290">
        <v>79.947425842000001</v>
      </c>
      <c r="E290">
        <v>50</v>
      </c>
      <c r="F290">
        <v>14.998865128</v>
      </c>
      <c r="G290">
        <v>1341.0550536999999</v>
      </c>
      <c r="H290">
        <v>1338.4436035000001</v>
      </c>
      <c r="I290">
        <v>1321.4752197</v>
      </c>
      <c r="J290">
        <v>1317.5145264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21.484190999999999</v>
      </c>
      <c r="B291" s="1">
        <f>DATE(2010,5,22) + TIME(11,37,14)</f>
        <v>40320.484189814815</v>
      </c>
      <c r="C291">
        <v>80</v>
      </c>
      <c r="D291">
        <v>79.947410583000007</v>
      </c>
      <c r="E291">
        <v>50</v>
      </c>
      <c r="F291">
        <v>14.998867989000001</v>
      </c>
      <c r="G291">
        <v>1341.0505370999999</v>
      </c>
      <c r="H291">
        <v>1338.4403076000001</v>
      </c>
      <c r="I291">
        <v>1321.4754639</v>
      </c>
      <c r="J291">
        <v>1317.5147704999999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21.602215999999999</v>
      </c>
      <c r="B292" s="1">
        <f>DATE(2010,5,22) + TIME(14,27,11)</f>
        <v>40320.602210648147</v>
      </c>
      <c r="C292">
        <v>80</v>
      </c>
      <c r="D292">
        <v>79.947395325000002</v>
      </c>
      <c r="E292">
        <v>50</v>
      </c>
      <c r="F292">
        <v>14.998870849999999</v>
      </c>
      <c r="G292">
        <v>1341.0461425999999</v>
      </c>
      <c r="H292">
        <v>1338.4372559000001</v>
      </c>
      <c r="I292">
        <v>1321.4757079999999</v>
      </c>
      <c r="J292">
        <v>1317.5150146000001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21.720241000000001</v>
      </c>
      <c r="B293" s="1">
        <f>DATE(2010,5,22) + TIME(17,17,8)</f>
        <v>40320.720231481479</v>
      </c>
      <c r="C293">
        <v>80</v>
      </c>
      <c r="D293">
        <v>79.947380065999994</v>
      </c>
      <c r="E293">
        <v>50</v>
      </c>
      <c r="F293">
        <v>14.998872757000001</v>
      </c>
      <c r="G293">
        <v>1341.041626</v>
      </c>
      <c r="H293">
        <v>1338.434082</v>
      </c>
      <c r="I293">
        <v>1321.4759521000001</v>
      </c>
      <c r="J293">
        <v>1317.5151367000001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21.838266000000001</v>
      </c>
      <c r="B294" s="1">
        <f>DATE(2010,5,22) + TIME(20,7,6)</f>
        <v>40320.838263888887</v>
      </c>
      <c r="C294">
        <v>80</v>
      </c>
      <c r="D294">
        <v>79.947364807</v>
      </c>
      <c r="E294">
        <v>50</v>
      </c>
      <c r="F294">
        <v>14.998875618</v>
      </c>
      <c r="G294">
        <v>1341.0372314000001</v>
      </c>
      <c r="H294">
        <v>1338.4309082</v>
      </c>
      <c r="I294">
        <v>1321.4761963000001</v>
      </c>
      <c r="J294">
        <v>1317.5153809000001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21.956291</v>
      </c>
      <c r="B295" s="1">
        <f>DATE(2010,5,22) + TIME(22,57,3)</f>
        <v>40320.956284722219</v>
      </c>
      <c r="C295">
        <v>80</v>
      </c>
      <c r="D295">
        <v>79.947349548000005</v>
      </c>
      <c r="E295">
        <v>50</v>
      </c>
      <c r="F295">
        <v>14.998877524999999</v>
      </c>
      <c r="G295">
        <v>1341.0328368999999</v>
      </c>
      <c r="H295">
        <v>1338.4278564000001</v>
      </c>
      <c r="I295">
        <v>1321.4764404</v>
      </c>
      <c r="J295">
        <v>1317.5155029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22.074316</v>
      </c>
      <c r="B296" s="1">
        <f>DATE(2010,5,23) + TIME(1,47,0)</f>
        <v>40321.074305555558</v>
      </c>
      <c r="C296">
        <v>80</v>
      </c>
      <c r="D296">
        <v>79.947334290000001</v>
      </c>
      <c r="E296">
        <v>50</v>
      </c>
      <c r="F296">
        <v>14.998880386</v>
      </c>
      <c r="G296">
        <v>1341.0285644999999</v>
      </c>
      <c r="H296">
        <v>1338.4248047000001</v>
      </c>
      <c r="I296">
        <v>1321.4766846</v>
      </c>
      <c r="J296">
        <v>1317.5157471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22.192340999999999</v>
      </c>
      <c r="B297" s="1">
        <f>DATE(2010,5,23) + TIME(4,36,58)</f>
        <v>40321.192337962966</v>
      </c>
      <c r="C297">
        <v>80</v>
      </c>
      <c r="D297">
        <v>79.947319031000006</v>
      </c>
      <c r="E297">
        <v>50</v>
      </c>
      <c r="F297">
        <v>14.998882294</v>
      </c>
      <c r="G297">
        <v>1341.0241699000001</v>
      </c>
      <c r="H297">
        <v>1338.4217529</v>
      </c>
      <c r="I297">
        <v>1321.4770507999999</v>
      </c>
      <c r="J297">
        <v>1317.5159911999999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22.310365999999998</v>
      </c>
      <c r="B298" s="1">
        <f>DATE(2010,5,23) + TIME(7,26,55)</f>
        <v>40321.310358796298</v>
      </c>
      <c r="C298">
        <v>80</v>
      </c>
      <c r="D298">
        <v>79.947303771999998</v>
      </c>
      <c r="E298">
        <v>50</v>
      </c>
      <c r="F298">
        <v>14.998885155</v>
      </c>
      <c r="G298">
        <v>1341.0198975000001</v>
      </c>
      <c r="H298">
        <v>1338.4187012</v>
      </c>
      <c r="I298">
        <v>1321.4772949000001</v>
      </c>
      <c r="J298">
        <v>1317.5161132999999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22.428391000000001</v>
      </c>
      <c r="B299" s="1">
        <f>DATE(2010,5,23) + TIME(10,16,52)</f>
        <v>40321.428379629629</v>
      </c>
      <c r="C299">
        <v>80</v>
      </c>
      <c r="D299">
        <v>79.947288513000004</v>
      </c>
      <c r="E299">
        <v>50</v>
      </c>
      <c r="F299">
        <v>14.998887062</v>
      </c>
      <c r="G299">
        <v>1341.015625</v>
      </c>
      <c r="H299">
        <v>1338.4156493999999</v>
      </c>
      <c r="I299">
        <v>1321.4775391000001</v>
      </c>
      <c r="J299">
        <v>1317.5163574000001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22.546416000000001</v>
      </c>
      <c r="B300" s="1">
        <f>DATE(2010,5,23) + TIME(13,6,50)</f>
        <v>40321.546412037038</v>
      </c>
      <c r="C300">
        <v>80</v>
      </c>
      <c r="D300">
        <v>79.947273253999995</v>
      </c>
      <c r="E300">
        <v>50</v>
      </c>
      <c r="F300">
        <v>14.998888968999999</v>
      </c>
      <c r="G300">
        <v>1341.0113524999999</v>
      </c>
      <c r="H300">
        <v>1338.4125977000001</v>
      </c>
      <c r="I300">
        <v>1321.4777832</v>
      </c>
      <c r="J300">
        <v>1317.5166016000001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22.664441</v>
      </c>
      <c r="B301" s="1">
        <f>DATE(2010,5,23) + TIME(15,56,47)</f>
        <v>40321.66443287037</v>
      </c>
      <c r="C301">
        <v>80</v>
      </c>
      <c r="D301">
        <v>79.947257996000005</v>
      </c>
      <c r="E301">
        <v>50</v>
      </c>
      <c r="F301">
        <v>14.99889183</v>
      </c>
      <c r="G301">
        <v>1341.0070800999999</v>
      </c>
      <c r="H301">
        <v>1338.409668</v>
      </c>
      <c r="I301">
        <v>1321.4780272999999</v>
      </c>
      <c r="J301">
        <v>1317.5167236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22.782465999999999</v>
      </c>
      <c r="B302" s="1">
        <f>DATE(2010,5,23) + TIME(18,46,45)</f>
        <v>40321.782465277778</v>
      </c>
      <c r="C302">
        <v>80</v>
      </c>
      <c r="D302">
        <v>79.947242736999996</v>
      </c>
      <c r="E302">
        <v>50</v>
      </c>
      <c r="F302">
        <v>14.998893738</v>
      </c>
      <c r="G302">
        <v>1341.0028076000001</v>
      </c>
      <c r="H302">
        <v>1338.4066161999999</v>
      </c>
      <c r="I302">
        <v>1321.4782714999999</v>
      </c>
      <c r="J302">
        <v>1317.5169678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23.018516000000002</v>
      </c>
      <c r="B303" s="1">
        <f>DATE(2010,5,24) + TIME(0,26,39)</f>
        <v>40322.018506944441</v>
      </c>
      <c r="C303">
        <v>80</v>
      </c>
      <c r="D303">
        <v>79.947227478000002</v>
      </c>
      <c r="E303">
        <v>50</v>
      </c>
      <c r="F303">
        <v>14.998897552000001</v>
      </c>
      <c r="G303">
        <v>1340.9981689000001</v>
      </c>
      <c r="H303">
        <v>1338.4033202999999</v>
      </c>
      <c r="I303">
        <v>1321.4786377</v>
      </c>
      <c r="J303">
        <v>1317.5172118999999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23.255212</v>
      </c>
      <c r="B304" s="1">
        <f>DATE(2010,5,24) + TIME(6,7,30)</f>
        <v>40322.255208333336</v>
      </c>
      <c r="C304">
        <v>80</v>
      </c>
      <c r="D304">
        <v>79.947204589999998</v>
      </c>
      <c r="E304">
        <v>50</v>
      </c>
      <c r="F304">
        <v>14.998902320999999</v>
      </c>
      <c r="G304">
        <v>1340.9902344</v>
      </c>
      <c r="H304">
        <v>1338.3977050999999</v>
      </c>
      <c r="I304">
        <v>1321.479126</v>
      </c>
      <c r="J304">
        <v>1317.5175781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23.494792</v>
      </c>
      <c r="B305" s="1">
        <f>DATE(2010,5,24) + TIME(11,52,29)</f>
        <v>40322.494780092595</v>
      </c>
      <c r="C305">
        <v>80</v>
      </c>
      <c r="D305">
        <v>79.947181701999995</v>
      </c>
      <c r="E305">
        <v>50</v>
      </c>
      <c r="F305">
        <v>14.998906136</v>
      </c>
      <c r="G305">
        <v>1340.9819336</v>
      </c>
      <c r="H305">
        <v>1338.3919678</v>
      </c>
      <c r="I305">
        <v>1321.4796143000001</v>
      </c>
      <c r="J305">
        <v>1317.5179443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23.737753000000001</v>
      </c>
      <c r="B306" s="1">
        <f>DATE(2010,5,24) + TIME(17,42,21)</f>
        <v>40322.737743055557</v>
      </c>
      <c r="C306">
        <v>80</v>
      </c>
      <c r="D306">
        <v>79.947158813000001</v>
      </c>
      <c r="E306">
        <v>50</v>
      </c>
      <c r="F306">
        <v>14.99890995</v>
      </c>
      <c r="G306">
        <v>1340.9736327999999</v>
      </c>
      <c r="H306">
        <v>1338.3861084</v>
      </c>
      <c r="I306">
        <v>1321.4802245999999</v>
      </c>
      <c r="J306">
        <v>1317.5184326000001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23.984624</v>
      </c>
      <c r="B307" s="1">
        <f>DATE(2010,5,24) + TIME(23,37,51)</f>
        <v>40322.984618055554</v>
      </c>
      <c r="C307">
        <v>80</v>
      </c>
      <c r="D307">
        <v>79.947128296000002</v>
      </c>
      <c r="E307">
        <v>50</v>
      </c>
      <c r="F307">
        <v>14.998914719</v>
      </c>
      <c r="G307">
        <v>1340.965332</v>
      </c>
      <c r="H307">
        <v>1338.380249</v>
      </c>
      <c r="I307">
        <v>1321.4807129000001</v>
      </c>
      <c r="J307">
        <v>1317.5187988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24.236032000000002</v>
      </c>
      <c r="B308" s="1">
        <f>DATE(2010,5,25) + TIME(5,39,53)</f>
        <v>40323.236030092594</v>
      </c>
      <c r="C308">
        <v>80</v>
      </c>
      <c r="D308">
        <v>79.947105407999999</v>
      </c>
      <c r="E308">
        <v>50</v>
      </c>
      <c r="F308">
        <v>14.998918532999999</v>
      </c>
      <c r="G308">
        <v>1340.9569091999999</v>
      </c>
      <c r="H308">
        <v>1338.3743896000001</v>
      </c>
      <c r="I308">
        <v>1321.4813231999999</v>
      </c>
      <c r="J308">
        <v>1317.5192870999999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24.492570000000001</v>
      </c>
      <c r="B309" s="1">
        <f>DATE(2010,5,25) + TIME(11,49,18)</f>
        <v>40323.492569444446</v>
      </c>
      <c r="C309">
        <v>80</v>
      </c>
      <c r="D309">
        <v>79.947074889999996</v>
      </c>
      <c r="E309">
        <v>50</v>
      </c>
      <c r="F309">
        <v>14.998923302</v>
      </c>
      <c r="G309">
        <v>1340.9484863</v>
      </c>
      <c r="H309">
        <v>1338.3684082</v>
      </c>
      <c r="I309">
        <v>1321.4819336</v>
      </c>
      <c r="J309">
        <v>1317.5197754000001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24.623204999999999</v>
      </c>
      <c r="B310" s="1">
        <f>DATE(2010,5,25) + TIME(14,57,24)</f>
        <v>40323.623194444444</v>
      </c>
      <c r="C310">
        <v>80</v>
      </c>
      <c r="D310">
        <v>79.947052002000007</v>
      </c>
      <c r="E310">
        <v>50</v>
      </c>
      <c r="F310">
        <v>14.998926163</v>
      </c>
      <c r="G310">
        <v>1340.9406738</v>
      </c>
      <c r="H310">
        <v>1338.3630370999999</v>
      </c>
      <c r="I310">
        <v>1321.4824219</v>
      </c>
      <c r="J310">
        <v>1317.5201416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24.753430999999999</v>
      </c>
      <c r="B311" s="1">
        <f>DATE(2010,5,25) + TIME(18,4,56)</f>
        <v>40323.753425925926</v>
      </c>
      <c r="C311">
        <v>80</v>
      </c>
      <c r="D311">
        <v>79.947029114000003</v>
      </c>
      <c r="E311">
        <v>50</v>
      </c>
      <c r="F311">
        <v>14.99892807</v>
      </c>
      <c r="G311">
        <v>1340.9357910000001</v>
      </c>
      <c r="H311">
        <v>1338.3596190999999</v>
      </c>
      <c r="I311">
        <v>1321.4827881000001</v>
      </c>
      <c r="J311">
        <v>1317.5203856999999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24.883224999999999</v>
      </c>
      <c r="B312" s="1">
        <f>DATE(2010,5,25) + TIME(21,11,50)</f>
        <v>40323.883217592593</v>
      </c>
      <c r="C312">
        <v>80</v>
      </c>
      <c r="D312">
        <v>79.947013854999994</v>
      </c>
      <c r="E312">
        <v>50</v>
      </c>
      <c r="F312">
        <v>14.998930931</v>
      </c>
      <c r="G312">
        <v>1340.9313964999999</v>
      </c>
      <c r="H312">
        <v>1338.3564452999999</v>
      </c>
      <c r="I312">
        <v>1321.4831543</v>
      </c>
      <c r="J312">
        <v>1317.5206298999999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25.012647000000001</v>
      </c>
      <c r="B313" s="1">
        <f>DATE(2010,5,26) + TIME(0,18,12)</f>
        <v>40324.012638888889</v>
      </c>
      <c r="C313">
        <v>80</v>
      </c>
      <c r="D313">
        <v>79.946998596</v>
      </c>
      <c r="E313">
        <v>50</v>
      </c>
      <c r="F313">
        <v>14.998933792000001</v>
      </c>
      <c r="G313">
        <v>1340.9270019999999</v>
      </c>
      <c r="H313">
        <v>1338.3533935999999</v>
      </c>
      <c r="I313">
        <v>1321.4833983999999</v>
      </c>
      <c r="J313">
        <v>1317.520874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25.141780000000001</v>
      </c>
      <c r="B314" s="1">
        <f>DATE(2010,5,26) + TIME(3,24,9)</f>
        <v>40324.141770833332</v>
      </c>
      <c r="C314">
        <v>80</v>
      </c>
      <c r="D314">
        <v>79.946983337000006</v>
      </c>
      <c r="E314">
        <v>50</v>
      </c>
      <c r="F314">
        <v>14.998935699</v>
      </c>
      <c r="G314">
        <v>1340.9227295000001</v>
      </c>
      <c r="H314">
        <v>1338.3503418</v>
      </c>
      <c r="I314">
        <v>1321.4837646000001</v>
      </c>
      <c r="J314">
        <v>1317.5211182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25.270697999999999</v>
      </c>
      <c r="B315" s="1">
        <f>DATE(2010,5,26) + TIME(6,29,48)</f>
        <v>40324.270694444444</v>
      </c>
      <c r="C315">
        <v>80</v>
      </c>
      <c r="D315">
        <v>79.946968079000001</v>
      </c>
      <c r="E315">
        <v>50</v>
      </c>
      <c r="F315">
        <v>14.998938559999999</v>
      </c>
      <c r="G315">
        <v>1340.9185791</v>
      </c>
      <c r="H315">
        <v>1338.3474120999999</v>
      </c>
      <c r="I315">
        <v>1321.4840088000001</v>
      </c>
      <c r="J315">
        <v>1317.5213623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25.399467999999999</v>
      </c>
      <c r="B316" s="1">
        <f>DATE(2010,5,26) + TIME(9,35,14)</f>
        <v>40324.399467592593</v>
      </c>
      <c r="C316">
        <v>80</v>
      </c>
      <c r="D316">
        <v>79.946952820000007</v>
      </c>
      <c r="E316">
        <v>50</v>
      </c>
      <c r="F316">
        <v>14.998940468000001</v>
      </c>
      <c r="G316">
        <v>1340.9143065999999</v>
      </c>
      <c r="H316">
        <v>1338.3443603999999</v>
      </c>
      <c r="I316">
        <v>1321.484375</v>
      </c>
      <c r="J316">
        <v>1317.5216064000001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25.528144000000001</v>
      </c>
      <c r="B317" s="1">
        <f>DATE(2010,5,26) + TIME(12,40,31)</f>
        <v>40324.528136574074</v>
      </c>
      <c r="C317">
        <v>80</v>
      </c>
      <c r="D317">
        <v>79.946937560999999</v>
      </c>
      <c r="E317">
        <v>50</v>
      </c>
      <c r="F317">
        <v>14.998942375</v>
      </c>
      <c r="G317">
        <v>1340.9101562000001</v>
      </c>
      <c r="H317">
        <v>1338.3414307</v>
      </c>
      <c r="I317">
        <v>1321.4846190999999</v>
      </c>
      <c r="J317">
        <v>1317.5218506000001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25.656815999999999</v>
      </c>
      <c r="B318" s="1">
        <f>DATE(2010,5,26) + TIME(15,45,48)</f>
        <v>40324.656805555554</v>
      </c>
      <c r="C318">
        <v>80</v>
      </c>
      <c r="D318">
        <v>79.946929932000003</v>
      </c>
      <c r="E318">
        <v>50</v>
      </c>
      <c r="F318">
        <v>14.998945236000001</v>
      </c>
      <c r="G318">
        <v>1340.9060059000001</v>
      </c>
      <c r="H318">
        <v>1338.338501</v>
      </c>
      <c r="I318">
        <v>1321.4849853999999</v>
      </c>
      <c r="J318">
        <v>1317.5220947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25.785488000000001</v>
      </c>
      <c r="B319" s="1">
        <f>DATE(2010,5,26) + TIME(18,51,6)</f>
        <v>40324.785486111112</v>
      </c>
      <c r="C319">
        <v>80</v>
      </c>
      <c r="D319">
        <v>79.946914672999995</v>
      </c>
      <c r="E319">
        <v>50</v>
      </c>
      <c r="F319">
        <v>14.998947144000001</v>
      </c>
      <c r="G319">
        <v>1340.9018555</v>
      </c>
      <c r="H319">
        <v>1338.3355713000001</v>
      </c>
      <c r="I319">
        <v>1321.4852295000001</v>
      </c>
      <c r="J319">
        <v>1317.5222168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25.914161</v>
      </c>
      <c r="B320" s="1">
        <f>DATE(2010,5,26) + TIME(21,56,23)</f>
        <v>40324.914155092592</v>
      </c>
      <c r="C320">
        <v>80</v>
      </c>
      <c r="D320">
        <v>79.946899414000001</v>
      </c>
      <c r="E320">
        <v>50</v>
      </c>
      <c r="F320">
        <v>14.998950004999999</v>
      </c>
      <c r="G320">
        <v>1340.8978271000001</v>
      </c>
      <c r="H320">
        <v>1338.3326416</v>
      </c>
      <c r="I320">
        <v>1321.4855957</v>
      </c>
      <c r="J320">
        <v>1317.5224608999999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26.042833000000002</v>
      </c>
      <c r="B321" s="1">
        <f>DATE(2010,5,27) + TIME(1,1,40)</f>
        <v>40325.042824074073</v>
      </c>
      <c r="C321">
        <v>80</v>
      </c>
      <c r="D321">
        <v>79.946891785000005</v>
      </c>
      <c r="E321">
        <v>50</v>
      </c>
      <c r="F321">
        <v>14.998951912000001</v>
      </c>
      <c r="G321">
        <v>1340.8936768000001</v>
      </c>
      <c r="H321">
        <v>1338.3298339999999</v>
      </c>
      <c r="I321">
        <v>1321.4858397999999</v>
      </c>
      <c r="J321">
        <v>1317.5227050999999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26.171505</v>
      </c>
      <c r="B322" s="1">
        <f>DATE(2010,5,27) + TIME(4,6,58)</f>
        <v>40325.17150462963</v>
      </c>
      <c r="C322">
        <v>80</v>
      </c>
      <c r="D322">
        <v>79.946876525999997</v>
      </c>
      <c r="E322">
        <v>50</v>
      </c>
      <c r="F322">
        <v>14.998953819</v>
      </c>
      <c r="G322">
        <v>1340.8896483999999</v>
      </c>
      <c r="H322">
        <v>1338.3269043</v>
      </c>
      <c r="I322">
        <v>1321.4860839999999</v>
      </c>
      <c r="J322">
        <v>1317.5229492000001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26.300177999999999</v>
      </c>
      <c r="B323" s="1">
        <f>DATE(2010,5,27) + TIME(7,12,15)</f>
        <v>40325.300173611111</v>
      </c>
      <c r="C323">
        <v>80</v>
      </c>
      <c r="D323">
        <v>79.946861267000003</v>
      </c>
      <c r="E323">
        <v>50</v>
      </c>
      <c r="F323">
        <v>14.998956679999999</v>
      </c>
      <c r="G323">
        <v>1340.8856201000001</v>
      </c>
      <c r="H323">
        <v>1338.3240966999999</v>
      </c>
      <c r="I323">
        <v>1321.4864502</v>
      </c>
      <c r="J323">
        <v>1317.5231934000001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26.428850000000001</v>
      </c>
      <c r="B324" s="1">
        <f>DATE(2010,5,27) + TIME(10,17,32)</f>
        <v>40325.428842592592</v>
      </c>
      <c r="C324">
        <v>80</v>
      </c>
      <c r="D324">
        <v>79.946853637999993</v>
      </c>
      <c r="E324">
        <v>50</v>
      </c>
      <c r="F324">
        <v>14.998958588000001</v>
      </c>
      <c r="G324">
        <v>1340.8815918</v>
      </c>
      <c r="H324">
        <v>1338.3212891000001</v>
      </c>
      <c r="I324">
        <v>1321.4866943</v>
      </c>
      <c r="J324">
        <v>1317.5234375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26.686195000000001</v>
      </c>
      <c r="B325" s="1">
        <f>DATE(2010,5,27) + TIME(16,28,7)</f>
        <v>40325.686192129629</v>
      </c>
      <c r="C325">
        <v>80</v>
      </c>
      <c r="D325">
        <v>79.946838378999999</v>
      </c>
      <c r="E325">
        <v>50</v>
      </c>
      <c r="F325">
        <v>14.998962402</v>
      </c>
      <c r="G325">
        <v>1340.8770752</v>
      </c>
      <c r="H325">
        <v>1338.3179932</v>
      </c>
      <c r="I325">
        <v>1321.4870605000001</v>
      </c>
      <c r="J325">
        <v>1317.5236815999999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26.944285000000001</v>
      </c>
      <c r="B326" s="1">
        <f>DATE(2010,5,27) + TIME(22,39,46)</f>
        <v>40325.944282407407</v>
      </c>
      <c r="C326">
        <v>80</v>
      </c>
      <c r="D326">
        <v>79.946823120000005</v>
      </c>
      <c r="E326">
        <v>50</v>
      </c>
      <c r="F326">
        <v>14.998966217</v>
      </c>
      <c r="G326">
        <v>1340.8695068</v>
      </c>
      <c r="H326">
        <v>1338.3127440999999</v>
      </c>
      <c r="I326">
        <v>1321.4876709</v>
      </c>
      <c r="J326">
        <v>1317.5240478999999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27.205093000000002</v>
      </c>
      <c r="B327" s="1">
        <f>DATE(2010,5,28) + TIME(4,55,20)</f>
        <v>40326.205092592594</v>
      </c>
      <c r="C327">
        <v>80</v>
      </c>
      <c r="D327">
        <v>79.946800232000001</v>
      </c>
      <c r="E327">
        <v>50</v>
      </c>
      <c r="F327">
        <v>14.998970032000001</v>
      </c>
      <c r="G327">
        <v>1340.8616943</v>
      </c>
      <c r="H327">
        <v>1338.307251</v>
      </c>
      <c r="I327">
        <v>1321.4882812000001</v>
      </c>
      <c r="J327">
        <v>1317.5245361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27.469175</v>
      </c>
      <c r="B328" s="1">
        <f>DATE(2010,5,28) + TIME(11,15,36)</f>
        <v>40326.469166666669</v>
      </c>
      <c r="C328">
        <v>80</v>
      </c>
      <c r="D328">
        <v>79.946777343999997</v>
      </c>
      <c r="E328">
        <v>50</v>
      </c>
      <c r="F328">
        <v>14.998973846</v>
      </c>
      <c r="G328">
        <v>1340.8538818</v>
      </c>
      <c r="H328">
        <v>1338.3017577999999</v>
      </c>
      <c r="I328">
        <v>1321.4888916</v>
      </c>
      <c r="J328">
        <v>1317.5250243999999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27.737110000000001</v>
      </c>
      <c r="B329" s="1">
        <f>DATE(2010,5,28) + TIME(17,41,26)</f>
        <v>40326.73710648148</v>
      </c>
      <c r="C329">
        <v>80</v>
      </c>
      <c r="D329">
        <v>79.946754455999994</v>
      </c>
      <c r="E329">
        <v>50</v>
      </c>
      <c r="F329">
        <v>14.998978615</v>
      </c>
      <c r="G329">
        <v>1340.8459473</v>
      </c>
      <c r="H329">
        <v>1338.2961425999999</v>
      </c>
      <c r="I329">
        <v>1321.4895019999999</v>
      </c>
      <c r="J329">
        <v>1317.5255127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28.009509999999999</v>
      </c>
      <c r="B330" s="1">
        <f>DATE(2010,5,29) + TIME(0,13,41)</f>
        <v>40327.009502314817</v>
      </c>
      <c r="C330">
        <v>80</v>
      </c>
      <c r="D330">
        <v>79.946731567</v>
      </c>
      <c r="E330">
        <v>50</v>
      </c>
      <c r="F330">
        <v>14.99898243</v>
      </c>
      <c r="G330">
        <v>1340.8378906</v>
      </c>
      <c r="H330">
        <v>1338.2905272999999</v>
      </c>
      <c r="I330">
        <v>1321.4901123</v>
      </c>
      <c r="J330">
        <v>1317.526001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28.287099999999999</v>
      </c>
      <c r="B331" s="1">
        <f>DATE(2010,5,29) + TIME(6,53,25)</f>
        <v>40327.287094907406</v>
      </c>
      <c r="C331">
        <v>80</v>
      </c>
      <c r="D331">
        <v>79.946708678999997</v>
      </c>
      <c r="E331">
        <v>50</v>
      </c>
      <c r="F331">
        <v>14.998986243999999</v>
      </c>
      <c r="G331">
        <v>1340.8298339999999</v>
      </c>
      <c r="H331">
        <v>1338.2849120999999</v>
      </c>
      <c r="I331">
        <v>1321.4908447</v>
      </c>
      <c r="J331">
        <v>1317.5264893000001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28.428692999999999</v>
      </c>
      <c r="B332" s="1">
        <f>DATE(2010,5,29) + TIME(10,17,19)</f>
        <v>40327.42869212963</v>
      </c>
      <c r="C332">
        <v>80</v>
      </c>
      <c r="D332">
        <v>79.946685790999993</v>
      </c>
      <c r="E332">
        <v>50</v>
      </c>
      <c r="F332">
        <v>14.998989105</v>
      </c>
      <c r="G332">
        <v>1340.8225098</v>
      </c>
      <c r="H332">
        <v>1338.2799072</v>
      </c>
      <c r="I332">
        <v>1321.4913329999999</v>
      </c>
      <c r="J332">
        <v>1317.5268555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28.570284999999998</v>
      </c>
      <c r="B333" s="1">
        <f>DATE(2010,5,29) + TIME(13,41,12)</f>
        <v>40327.570277777777</v>
      </c>
      <c r="C333">
        <v>80</v>
      </c>
      <c r="D333">
        <v>79.946670531999999</v>
      </c>
      <c r="E333">
        <v>50</v>
      </c>
      <c r="F333">
        <v>14.998991966</v>
      </c>
      <c r="G333">
        <v>1340.8178711</v>
      </c>
      <c r="H333">
        <v>1338.2766113</v>
      </c>
      <c r="I333">
        <v>1321.4918213000001</v>
      </c>
      <c r="J333">
        <v>1317.5272216999999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28.711877000000001</v>
      </c>
      <c r="B334" s="1">
        <f>DATE(2010,5,29) + TIME(17,5,6)</f>
        <v>40327.711875000001</v>
      </c>
      <c r="C334">
        <v>80</v>
      </c>
      <c r="D334">
        <v>79.946655273000005</v>
      </c>
      <c r="E334">
        <v>50</v>
      </c>
      <c r="F334">
        <v>14.998993874</v>
      </c>
      <c r="G334">
        <v>1340.8135986</v>
      </c>
      <c r="H334">
        <v>1338.2735596</v>
      </c>
      <c r="I334">
        <v>1321.4921875</v>
      </c>
      <c r="J334">
        <v>1317.5275879000001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28.853469</v>
      </c>
      <c r="B335" s="1">
        <f>DATE(2010,5,29) + TIME(20,28,59)</f>
        <v>40327.853460648148</v>
      </c>
      <c r="C335">
        <v>80</v>
      </c>
      <c r="D335">
        <v>79.946640015</v>
      </c>
      <c r="E335">
        <v>50</v>
      </c>
      <c r="F335">
        <v>14.998996735</v>
      </c>
      <c r="G335">
        <v>1340.8094481999999</v>
      </c>
      <c r="H335">
        <v>1338.2706298999999</v>
      </c>
      <c r="I335">
        <v>1321.4925536999999</v>
      </c>
      <c r="J335">
        <v>1317.527832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28.994820000000001</v>
      </c>
      <c r="B336" s="1">
        <f>DATE(2010,5,29) + TIME(23,52,32)</f>
        <v>40327.994814814818</v>
      </c>
      <c r="C336">
        <v>80</v>
      </c>
      <c r="D336">
        <v>79.946624756000006</v>
      </c>
      <c r="E336">
        <v>50</v>
      </c>
      <c r="F336">
        <v>14.998998642</v>
      </c>
      <c r="G336">
        <v>1340.8054199000001</v>
      </c>
      <c r="H336">
        <v>1338.2677002</v>
      </c>
      <c r="I336">
        <v>1321.4929199000001</v>
      </c>
      <c r="J336">
        <v>1317.5280762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29.135829999999999</v>
      </c>
      <c r="B337" s="1">
        <f>DATE(2010,5,30) + TIME(3,15,35)</f>
        <v>40328.135821759257</v>
      </c>
      <c r="C337">
        <v>80</v>
      </c>
      <c r="D337">
        <v>79.946617126000007</v>
      </c>
      <c r="E337">
        <v>50</v>
      </c>
      <c r="F337">
        <v>14.999001503000001</v>
      </c>
      <c r="G337">
        <v>1340.8013916</v>
      </c>
      <c r="H337">
        <v>1338.2648925999999</v>
      </c>
      <c r="I337">
        <v>1321.4932861</v>
      </c>
      <c r="J337">
        <v>1317.5283202999999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29.276581</v>
      </c>
      <c r="B338" s="1">
        <f>DATE(2010,5,30) + TIME(6,38,16)</f>
        <v>40328.276574074072</v>
      </c>
      <c r="C338">
        <v>80</v>
      </c>
      <c r="D338">
        <v>79.946601868000002</v>
      </c>
      <c r="E338">
        <v>50</v>
      </c>
      <c r="F338">
        <v>14.99900341</v>
      </c>
      <c r="G338">
        <v>1340.7972411999999</v>
      </c>
      <c r="H338">
        <v>1338.2619629000001</v>
      </c>
      <c r="I338">
        <v>1321.4935303</v>
      </c>
      <c r="J338">
        <v>1317.5285644999999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29.417155000000001</v>
      </c>
      <c r="B339" s="1">
        <f>DATE(2010,5,30) + TIME(10,0,42)</f>
        <v>40328.41715277778</v>
      </c>
      <c r="C339">
        <v>80</v>
      </c>
      <c r="D339">
        <v>79.946594238000003</v>
      </c>
      <c r="E339">
        <v>50</v>
      </c>
      <c r="F339">
        <v>14.999005318</v>
      </c>
      <c r="G339">
        <v>1340.7933350000001</v>
      </c>
      <c r="H339">
        <v>1338.2591553</v>
      </c>
      <c r="I339">
        <v>1321.4938964999999</v>
      </c>
      <c r="J339">
        <v>1317.5288086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29.557607999999998</v>
      </c>
      <c r="B340" s="1">
        <f>DATE(2010,5,30) + TIME(13,22,57)</f>
        <v>40328.557604166665</v>
      </c>
      <c r="C340">
        <v>80</v>
      </c>
      <c r="D340">
        <v>79.946578978999995</v>
      </c>
      <c r="E340">
        <v>50</v>
      </c>
      <c r="F340">
        <v>14.999008179</v>
      </c>
      <c r="G340">
        <v>1340.7893065999999</v>
      </c>
      <c r="H340">
        <v>1338.2563477000001</v>
      </c>
      <c r="I340">
        <v>1321.4942627</v>
      </c>
      <c r="J340">
        <v>1317.5291748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29.698035999999998</v>
      </c>
      <c r="B341" s="1">
        <f>DATE(2010,5,30) + TIME(16,45,10)</f>
        <v>40328.69803240741</v>
      </c>
      <c r="C341">
        <v>80</v>
      </c>
      <c r="D341">
        <v>79.946571349999999</v>
      </c>
      <c r="E341">
        <v>50</v>
      </c>
      <c r="F341">
        <v>14.999010086</v>
      </c>
      <c r="G341">
        <v>1340.7854004000001</v>
      </c>
      <c r="H341">
        <v>1338.2535399999999</v>
      </c>
      <c r="I341">
        <v>1321.4946289</v>
      </c>
      <c r="J341">
        <v>1317.5294189000001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29.838463999999998</v>
      </c>
      <c r="B342" s="1">
        <f>DATE(2010,5,30) + TIME(20,7,23)</f>
        <v>40328.838460648149</v>
      </c>
      <c r="C342">
        <v>80</v>
      </c>
      <c r="D342">
        <v>79.946556091000005</v>
      </c>
      <c r="E342">
        <v>50</v>
      </c>
      <c r="F342">
        <v>14.999011993</v>
      </c>
      <c r="G342">
        <v>1340.7814940999999</v>
      </c>
      <c r="H342">
        <v>1338.2507324000001</v>
      </c>
      <c r="I342">
        <v>1321.4949951000001</v>
      </c>
      <c r="J342">
        <v>1317.5296631000001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29.978891000000001</v>
      </c>
      <c r="B343" s="1">
        <f>DATE(2010,5,30) + TIME(23,29,36)</f>
        <v>40328.978888888887</v>
      </c>
      <c r="C343">
        <v>80</v>
      </c>
      <c r="D343">
        <v>79.946548461999996</v>
      </c>
      <c r="E343">
        <v>50</v>
      </c>
      <c r="F343">
        <v>14.999014854</v>
      </c>
      <c r="G343">
        <v>1340.7775879000001</v>
      </c>
      <c r="H343">
        <v>1338.2480469</v>
      </c>
      <c r="I343">
        <v>1321.4952393000001</v>
      </c>
      <c r="J343">
        <v>1317.5299072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30.119319000000001</v>
      </c>
      <c r="B344" s="1">
        <f>DATE(2010,5,31) + TIME(2,51,49)</f>
        <v>40329.119317129633</v>
      </c>
      <c r="C344">
        <v>80</v>
      </c>
      <c r="D344">
        <v>79.946540833</v>
      </c>
      <c r="E344">
        <v>50</v>
      </c>
      <c r="F344">
        <v>14.999016762</v>
      </c>
      <c r="G344">
        <v>1340.7736815999999</v>
      </c>
      <c r="H344">
        <v>1338.2452393000001</v>
      </c>
      <c r="I344">
        <v>1321.4956055</v>
      </c>
      <c r="J344">
        <v>1317.5301514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30.259747000000001</v>
      </c>
      <c r="B345" s="1">
        <f>DATE(2010,5,31) + TIME(6,14,2)</f>
        <v>40329.259745370371</v>
      </c>
      <c r="C345">
        <v>80</v>
      </c>
      <c r="D345">
        <v>79.946525574000006</v>
      </c>
      <c r="E345">
        <v>50</v>
      </c>
      <c r="F345">
        <v>14.999018669</v>
      </c>
      <c r="G345">
        <v>1340.7697754000001</v>
      </c>
      <c r="H345">
        <v>1338.2424315999999</v>
      </c>
      <c r="I345">
        <v>1321.4959716999999</v>
      </c>
      <c r="J345">
        <v>1317.5303954999999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30.400175000000001</v>
      </c>
      <c r="B346" s="1">
        <f>DATE(2010,5,31) + TIME(9,36,15)</f>
        <v>40329.400173611109</v>
      </c>
      <c r="C346">
        <v>80</v>
      </c>
      <c r="D346">
        <v>79.946517943999993</v>
      </c>
      <c r="E346">
        <v>50</v>
      </c>
      <c r="F346">
        <v>14.999020575999999</v>
      </c>
      <c r="G346">
        <v>1340.7658690999999</v>
      </c>
      <c r="H346">
        <v>1338.2397461</v>
      </c>
      <c r="I346">
        <v>1321.4963379000001</v>
      </c>
      <c r="J346">
        <v>1317.5306396000001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30.540602</v>
      </c>
      <c r="B347" s="1">
        <f>DATE(2010,5,31) + TIME(12,58,28)</f>
        <v>40329.540601851855</v>
      </c>
      <c r="C347">
        <v>80</v>
      </c>
      <c r="D347">
        <v>79.946510314999998</v>
      </c>
      <c r="E347">
        <v>50</v>
      </c>
      <c r="F347">
        <v>14.999022483999999</v>
      </c>
      <c r="G347">
        <v>1340.7620850000001</v>
      </c>
      <c r="H347">
        <v>1338.2370605000001</v>
      </c>
      <c r="I347">
        <v>1321.4967041</v>
      </c>
      <c r="J347">
        <v>1317.5308838000001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30.68103</v>
      </c>
      <c r="B348" s="1">
        <f>DATE(2010,5,31) + TIME(16,20,41)</f>
        <v>40329.681030092594</v>
      </c>
      <c r="C348">
        <v>80</v>
      </c>
      <c r="D348">
        <v>79.946495056000003</v>
      </c>
      <c r="E348">
        <v>50</v>
      </c>
      <c r="F348">
        <v>14.999025345</v>
      </c>
      <c r="G348">
        <v>1340.7581786999999</v>
      </c>
      <c r="H348">
        <v>1338.2342529</v>
      </c>
      <c r="I348">
        <v>1321.4970702999999</v>
      </c>
      <c r="J348">
        <v>1317.53125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30.961886</v>
      </c>
      <c r="B349" s="1">
        <f>DATE(2010,5,31) + TIME(23,5,6)</f>
        <v>40329.961875000001</v>
      </c>
      <c r="C349">
        <v>80</v>
      </c>
      <c r="D349">
        <v>79.946495056000003</v>
      </c>
      <c r="E349">
        <v>50</v>
      </c>
      <c r="F349">
        <v>14.999028206</v>
      </c>
      <c r="G349">
        <v>1340.7539062000001</v>
      </c>
      <c r="H349">
        <v>1338.2312012</v>
      </c>
      <c r="I349">
        <v>1321.4974365</v>
      </c>
      <c r="J349">
        <v>1317.5314940999999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31</v>
      </c>
      <c r="B350" s="1">
        <f>DATE(2010,6,1) + TIME(0,0,0)</f>
        <v>40330</v>
      </c>
      <c r="C350">
        <v>80</v>
      </c>
      <c r="D350">
        <v>79.946479796999995</v>
      </c>
      <c r="E350">
        <v>50</v>
      </c>
      <c r="F350">
        <v>14.999029159999999</v>
      </c>
      <c r="G350">
        <v>1340.7492675999999</v>
      </c>
      <c r="H350">
        <v>1338.2282714999999</v>
      </c>
      <c r="I350">
        <v>1321.4976807</v>
      </c>
      <c r="J350">
        <v>1317.5316161999999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31.281783000000001</v>
      </c>
      <c r="B351" s="1">
        <f>DATE(2010,6,1) + TIME(6,45,46)</f>
        <v>40330.281782407408</v>
      </c>
      <c r="C351">
        <v>80</v>
      </c>
      <c r="D351">
        <v>79.946472168</v>
      </c>
      <c r="E351">
        <v>50</v>
      </c>
      <c r="F351">
        <v>14.999032974</v>
      </c>
      <c r="G351">
        <v>1340.7454834</v>
      </c>
      <c r="H351">
        <v>1338.2252197</v>
      </c>
      <c r="I351">
        <v>1321.4981689000001</v>
      </c>
      <c r="J351">
        <v>1317.5321045000001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31.567798</v>
      </c>
      <c r="B352" s="1">
        <f>DATE(2010,6,1) + TIME(13,37,37)</f>
        <v>40330.567789351851</v>
      </c>
      <c r="C352">
        <v>80</v>
      </c>
      <c r="D352">
        <v>79.946456909000005</v>
      </c>
      <c r="E352">
        <v>50</v>
      </c>
      <c r="F352">
        <v>14.999036789</v>
      </c>
      <c r="G352">
        <v>1340.7382812000001</v>
      </c>
      <c r="H352">
        <v>1338.2200928</v>
      </c>
      <c r="I352">
        <v>1321.4989014</v>
      </c>
      <c r="J352">
        <v>1317.5325928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31.858142000000001</v>
      </c>
      <c r="B353" s="1">
        <f>DATE(2010,6,1) + TIME(20,35,43)</f>
        <v>40330.858136574076</v>
      </c>
      <c r="C353">
        <v>80</v>
      </c>
      <c r="D353">
        <v>79.946441649999997</v>
      </c>
      <c r="E353">
        <v>50</v>
      </c>
      <c r="F353">
        <v>14.999040603999999</v>
      </c>
      <c r="G353">
        <v>1340.7307129000001</v>
      </c>
      <c r="H353">
        <v>1338.2148437999999</v>
      </c>
      <c r="I353">
        <v>1321.4996338000001</v>
      </c>
      <c r="J353">
        <v>1317.5330810999999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32.153528000000001</v>
      </c>
      <c r="B354" s="1">
        <f>DATE(2010,6,2) + TIME(3,41,4)</f>
        <v>40331.15351851852</v>
      </c>
      <c r="C354">
        <v>80</v>
      </c>
      <c r="D354">
        <v>79.946426392000006</v>
      </c>
      <c r="E354">
        <v>50</v>
      </c>
      <c r="F354">
        <v>14.999044418</v>
      </c>
      <c r="G354">
        <v>1340.7231445</v>
      </c>
      <c r="H354">
        <v>1338.2094727000001</v>
      </c>
      <c r="I354">
        <v>1321.5003661999999</v>
      </c>
      <c r="J354">
        <v>1317.5336914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32.454773000000003</v>
      </c>
      <c r="B355" s="1">
        <f>DATE(2010,6,2) + TIME(10,54,52)</f>
        <v>40331.454768518517</v>
      </c>
      <c r="C355">
        <v>80</v>
      </c>
      <c r="D355">
        <v>79.946403502999999</v>
      </c>
      <c r="E355">
        <v>50</v>
      </c>
      <c r="F355">
        <v>14.999049187000001</v>
      </c>
      <c r="G355">
        <v>1340.7154541</v>
      </c>
      <c r="H355">
        <v>1338.2039795000001</v>
      </c>
      <c r="I355">
        <v>1321.5010986</v>
      </c>
      <c r="J355">
        <v>1317.5343018000001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32.607987000000001</v>
      </c>
      <c r="B356" s="1">
        <f>DATE(2010,6,2) + TIME(14,35,30)</f>
        <v>40331.607986111114</v>
      </c>
      <c r="C356">
        <v>80</v>
      </c>
      <c r="D356">
        <v>79.946388244999994</v>
      </c>
      <c r="E356">
        <v>50</v>
      </c>
      <c r="F356">
        <v>14.999051094</v>
      </c>
      <c r="G356">
        <v>1340.7084961</v>
      </c>
      <c r="H356">
        <v>1338.1992187999999</v>
      </c>
      <c r="I356">
        <v>1321.5017089999999</v>
      </c>
      <c r="J356">
        <v>1317.5347899999999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32.761201999999997</v>
      </c>
      <c r="B357" s="1">
        <f>DATE(2010,6,2) + TIME(18,16,7)</f>
        <v>40331.761192129627</v>
      </c>
      <c r="C357">
        <v>80</v>
      </c>
      <c r="D357">
        <v>79.946372986</v>
      </c>
      <c r="E357">
        <v>50</v>
      </c>
      <c r="F357">
        <v>14.999053955000001</v>
      </c>
      <c r="G357">
        <v>1340.7041016000001</v>
      </c>
      <c r="H357">
        <v>1338.1960449000001</v>
      </c>
      <c r="I357">
        <v>1321.5021973</v>
      </c>
      <c r="J357">
        <v>1317.5351562000001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32.914416000000003</v>
      </c>
      <c r="B358" s="1">
        <f>DATE(2010,6,2) + TIME(21,56,45)</f>
        <v>40331.914409722223</v>
      </c>
      <c r="C358">
        <v>80</v>
      </c>
      <c r="D358">
        <v>79.946357727000006</v>
      </c>
      <c r="E358">
        <v>50</v>
      </c>
      <c r="F358">
        <v>14.999055862000001</v>
      </c>
      <c r="G358">
        <v>1340.7000731999999</v>
      </c>
      <c r="H358">
        <v>1338.1931152</v>
      </c>
      <c r="I358">
        <v>1321.5026855000001</v>
      </c>
      <c r="J358">
        <v>1317.5354004000001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33.067185000000002</v>
      </c>
      <c r="B359" s="1">
        <f>DATE(2010,6,3) + TIME(1,36,44)</f>
        <v>40332.067175925928</v>
      </c>
      <c r="C359">
        <v>80</v>
      </c>
      <c r="D359">
        <v>79.946350097999996</v>
      </c>
      <c r="E359">
        <v>50</v>
      </c>
      <c r="F359">
        <v>14.999058722999999</v>
      </c>
      <c r="G359">
        <v>1340.6961670000001</v>
      </c>
      <c r="H359">
        <v>1338.1903076000001</v>
      </c>
      <c r="I359">
        <v>1321.5030518000001</v>
      </c>
      <c r="J359">
        <v>1317.5357666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33.219552999999998</v>
      </c>
      <c r="B360" s="1">
        <f>DATE(2010,6,3) + TIME(5,16,9)</f>
        <v>40332.219548611109</v>
      </c>
      <c r="C360">
        <v>80</v>
      </c>
      <c r="D360">
        <v>79.946342467999997</v>
      </c>
      <c r="E360">
        <v>50</v>
      </c>
      <c r="F360">
        <v>14.999060631000001</v>
      </c>
      <c r="G360">
        <v>1340.6922606999999</v>
      </c>
      <c r="H360">
        <v>1338.1875</v>
      </c>
      <c r="I360">
        <v>1321.503418</v>
      </c>
      <c r="J360">
        <v>1317.5360106999999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33.371614000000001</v>
      </c>
      <c r="B361" s="1">
        <f>DATE(2010,6,3) + TIME(8,55,7)</f>
        <v>40332.371608796297</v>
      </c>
      <c r="C361">
        <v>80</v>
      </c>
      <c r="D361">
        <v>79.946327209000003</v>
      </c>
      <c r="E361">
        <v>50</v>
      </c>
      <c r="F361">
        <v>14.999062538</v>
      </c>
      <c r="G361">
        <v>1340.6883545000001</v>
      </c>
      <c r="H361">
        <v>1338.1846923999999</v>
      </c>
      <c r="I361">
        <v>1321.5039062000001</v>
      </c>
      <c r="J361">
        <v>1317.5363769999999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33.523459000000003</v>
      </c>
      <c r="B362" s="1">
        <f>DATE(2010,6,3) + TIME(12,33,46)</f>
        <v>40332.523449074077</v>
      </c>
      <c r="C362">
        <v>80</v>
      </c>
      <c r="D362">
        <v>79.946319579999994</v>
      </c>
      <c r="E362">
        <v>50</v>
      </c>
      <c r="F362">
        <v>14.999065398999999</v>
      </c>
      <c r="G362">
        <v>1340.6845702999999</v>
      </c>
      <c r="H362">
        <v>1338.1820068</v>
      </c>
      <c r="I362">
        <v>1321.5042725000001</v>
      </c>
      <c r="J362">
        <v>1317.5366211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33.675164000000002</v>
      </c>
      <c r="B363" s="1">
        <f>DATE(2010,6,3) + TIME(16,12,14)</f>
        <v>40332.675162037034</v>
      </c>
      <c r="C363">
        <v>80</v>
      </c>
      <c r="D363">
        <v>79.946311950999998</v>
      </c>
      <c r="E363">
        <v>50</v>
      </c>
      <c r="F363">
        <v>14.999067307000001</v>
      </c>
      <c r="G363">
        <v>1340.6807861</v>
      </c>
      <c r="H363">
        <v>1338.1793213000001</v>
      </c>
      <c r="I363">
        <v>1321.5046387</v>
      </c>
      <c r="J363">
        <v>1317.5368652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33.826805999999998</v>
      </c>
      <c r="B364" s="1">
        <f>DATE(2010,6,3) + TIME(19,50,36)</f>
        <v>40332.826805555553</v>
      </c>
      <c r="C364">
        <v>80</v>
      </c>
      <c r="D364">
        <v>79.946304321</v>
      </c>
      <c r="E364">
        <v>50</v>
      </c>
      <c r="F364">
        <v>14.999069214</v>
      </c>
      <c r="G364">
        <v>1340.6770019999999</v>
      </c>
      <c r="H364">
        <v>1338.1766356999999</v>
      </c>
      <c r="I364">
        <v>1321.5050048999999</v>
      </c>
      <c r="J364">
        <v>1317.5372314000001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33.978448999999998</v>
      </c>
      <c r="B365" s="1">
        <f>DATE(2010,6,3) + TIME(23,28,57)</f>
        <v>40332.978437500002</v>
      </c>
      <c r="C365">
        <v>80</v>
      </c>
      <c r="D365">
        <v>79.946296692000004</v>
      </c>
      <c r="E365">
        <v>50</v>
      </c>
      <c r="F365">
        <v>14.999072075000001</v>
      </c>
      <c r="G365">
        <v>1340.6732178</v>
      </c>
      <c r="H365">
        <v>1338.1739502</v>
      </c>
      <c r="I365">
        <v>1321.5053711</v>
      </c>
      <c r="J365">
        <v>1317.5374756000001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34.130091999999998</v>
      </c>
      <c r="B366" s="1">
        <f>DATE(2010,6,4) + TIME(3,7,19)</f>
        <v>40333.13008101852</v>
      </c>
      <c r="C366">
        <v>80</v>
      </c>
      <c r="D366">
        <v>79.946289062000005</v>
      </c>
      <c r="E366">
        <v>50</v>
      </c>
      <c r="F366">
        <v>14.999073982000001</v>
      </c>
      <c r="G366">
        <v>1340.6694336</v>
      </c>
      <c r="H366">
        <v>1338.1712646000001</v>
      </c>
      <c r="I366">
        <v>1321.5058594</v>
      </c>
      <c r="J366">
        <v>1317.5378418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34.281734</v>
      </c>
      <c r="B367" s="1">
        <f>DATE(2010,6,4) + TIME(6,45,41)</f>
        <v>40333.281724537039</v>
      </c>
      <c r="C367">
        <v>80</v>
      </c>
      <c r="D367">
        <v>79.946281432999996</v>
      </c>
      <c r="E367">
        <v>50</v>
      </c>
      <c r="F367">
        <v>14.99907589</v>
      </c>
      <c r="G367">
        <v>1340.6657714999999</v>
      </c>
      <c r="H367">
        <v>1338.1685791</v>
      </c>
      <c r="I367">
        <v>1321.5062256000001</v>
      </c>
      <c r="J367">
        <v>1317.5380858999999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34.433377</v>
      </c>
      <c r="B368" s="1">
        <f>DATE(2010,6,4) + TIME(10,24,3)</f>
        <v>40333.433368055557</v>
      </c>
      <c r="C368">
        <v>80</v>
      </c>
      <c r="D368">
        <v>79.946273804</v>
      </c>
      <c r="E368">
        <v>50</v>
      </c>
      <c r="F368">
        <v>14.999077797</v>
      </c>
      <c r="G368">
        <v>1340.6621094</v>
      </c>
      <c r="H368">
        <v>1338.1660156</v>
      </c>
      <c r="I368">
        <v>1321.5065918</v>
      </c>
      <c r="J368">
        <v>1317.5383300999999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34.58502</v>
      </c>
      <c r="B369" s="1">
        <f>DATE(2010,6,4) + TIME(14,2,25)</f>
        <v>40333.585011574076</v>
      </c>
      <c r="C369">
        <v>80</v>
      </c>
      <c r="D369">
        <v>79.946266174000002</v>
      </c>
      <c r="E369">
        <v>50</v>
      </c>
      <c r="F369">
        <v>14.999079704</v>
      </c>
      <c r="G369">
        <v>1340.6583252</v>
      </c>
      <c r="H369">
        <v>1338.1633300999999</v>
      </c>
      <c r="I369">
        <v>1321.5069579999999</v>
      </c>
      <c r="J369">
        <v>1317.5386963000001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34.736662000000003</v>
      </c>
      <c r="B370" s="1">
        <f>DATE(2010,6,4) + TIME(17,40,47)</f>
        <v>40333.736655092594</v>
      </c>
      <c r="C370">
        <v>80</v>
      </c>
      <c r="D370">
        <v>79.946250915999997</v>
      </c>
      <c r="E370">
        <v>50</v>
      </c>
      <c r="F370">
        <v>14.999081611999999</v>
      </c>
      <c r="G370">
        <v>1340.6546631000001</v>
      </c>
      <c r="H370">
        <v>1338.1607666</v>
      </c>
      <c r="I370">
        <v>1321.5073242000001</v>
      </c>
      <c r="J370">
        <v>1317.5389404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34.888305000000003</v>
      </c>
      <c r="B371" s="1">
        <f>DATE(2010,6,4) + TIME(21,19,9)</f>
        <v>40333.888298611113</v>
      </c>
      <c r="C371">
        <v>80</v>
      </c>
      <c r="D371">
        <v>79.946243285999998</v>
      </c>
      <c r="E371">
        <v>50</v>
      </c>
      <c r="F371">
        <v>14.999084473</v>
      </c>
      <c r="G371">
        <v>1340.651001</v>
      </c>
      <c r="H371">
        <v>1338.1580810999999</v>
      </c>
      <c r="I371">
        <v>1321.5078125</v>
      </c>
      <c r="J371">
        <v>1317.5393065999999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35.191589999999998</v>
      </c>
      <c r="B372" s="1">
        <f>DATE(2010,6,5) + TIME(4,35,53)</f>
        <v>40334.19158564815</v>
      </c>
      <c r="C372">
        <v>80</v>
      </c>
      <c r="D372">
        <v>79.946243285999998</v>
      </c>
      <c r="E372">
        <v>50</v>
      </c>
      <c r="F372">
        <v>14.999087334</v>
      </c>
      <c r="G372">
        <v>1340.6468506000001</v>
      </c>
      <c r="H372">
        <v>1338.1550293</v>
      </c>
      <c r="I372">
        <v>1321.5083007999999</v>
      </c>
      <c r="J372">
        <v>1317.5396728999999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35.495899999999999</v>
      </c>
      <c r="B373" s="1">
        <f>DATE(2010,6,5) + TIME(11,54,5)</f>
        <v>40334.495891203704</v>
      </c>
      <c r="C373">
        <v>80</v>
      </c>
      <c r="D373">
        <v>79.946235657000003</v>
      </c>
      <c r="E373">
        <v>50</v>
      </c>
      <c r="F373">
        <v>14.999091148</v>
      </c>
      <c r="G373">
        <v>1340.6398925999999</v>
      </c>
      <c r="H373">
        <v>1338.1501464999999</v>
      </c>
      <c r="I373">
        <v>1321.5089111</v>
      </c>
      <c r="J373">
        <v>1317.5401611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35.804057</v>
      </c>
      <c r="B374" s="1">
        <f>DATE(2010,6,5) + TIME(19,17,50)</f>
        <v>40334.804050925923</v>
      </c>
      <c r="C374">
        <v>80</v>
      </c>
      <c r="D374">
        <v>79.946220397999994</v>
      </c>
      <c r="E374">
        <v>50</v>
      </c>
      <c r="F374">
        <v>14.999094962999999</v>
      </c>
      <c r="G374">
        <v>1340.6325684000001</v>
      </c>
      <c r="H374">
        <v>1338.1450195</v>
      </c>
      <c r="I374">
        <v>1321.5097656</v>
      </c>
      <c r="J374">
        <v>1317.5407714999999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36.116767000000003</v>
      </c>
      <c r="B375" s="1">
        <f>DATE(2010,6,6) + TIME(2,48,8)</f>
        <v>40335.116759259261</v>
      </c>
      <c r="C375">
        <v>80</v>
      </c>
      <c r="D375">
        <v>79.946205139</v>
      </c>
      <c r="E375">
        <v>50</v>
      </c>
      <c r="F375">
        <v>14.999098778</v>
      </c>
      <c r="G375">
        <v>1340.6253661999999</v>
      </c>
      <c r="H375">
        <v>1338.1398925999999</v>
      </c>
      <c r="I375">
        <v>1321.5106201000001</v>
      </c>
      <c r="J375">
        <v>1317.5413818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36.434775000000002</v>
      </c>
      <c r="B376" s="1">
        <f>DATE(2010,6,6) + TIME(10,26,4)</f>
        <v>40335.43476851852</v>
      </c>
      <c r="C376">
        <v>80</v>
      </c>
      <c r="D376">
        <v>79.946189880000006</v>
      </c>
      <c r="E376">
        <v>50</v>
      </c>
      <c r="F376">
        <v>14.999102592</v>
      </c>
      <c r="G376">
        <v>1340.6179199000001</v>
      </c>
      <c r="H376">
        <v>1338.1346435999999</v>
      </c>
      <c r="I376">
        <v>1321.5114745999999</v>
      </c>
      <c r="J376">
        <v>1317.5419922000001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36.758890000000001</v>
      </c>
      <c r="B377" s="1">
        <f>DATE(2010,6,6) + TIME(18,12,48)</f>
        <v>40335.758888888886</v>
      </c>
      <c r="C377">
        <v>80</v>
      </c>
      <c r="D377">
        <v>79.946174622000001</v>
      </c>
      <c r="E377">
        <v>50</v>
      </c>
      <c r="F377">
        <v>14.999107361</v>
      </c>
      <c r="G377">
        <v>1340.6104736</v>
      </c>
      <c r="H377">
        <v>1338.1293945</v>
      </c>
      <c r="I377">
        <v>1321.5123291</v>
      </c>
      <c r="J377">
        <v>1317.5426024999999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36.923575</v>
      </c>
      <c r="B378" s="1">
        <f>DATE(2010,6,6) + TIME(22,9,56)</f>
        <v>40335.923564814817</v>
      </c>
      <c r="C378">
        <v>80</v>
      </c>
      <c r="D378">
        <v>79.946159363000007</v>
      </c>
      <c r="E378">
        <v>50</v>
      </c>
      <c r="F378">
        <v>14.999109268</v>
      </c>
      <c r="G378">
        <v>1340.6037598</v>
      </c>
      <c r="H378">
        <v>1338.1247559000001</v>
      </c>
      <c r="I378">
        <v>1321.5130615</v>
      </c>
      <c r="J378">
        <v>1317.5432129000001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37.087915000000002</v>
      </c>
      <c r="B379" s="1">
        <f>DATE(2010,6,7) + TIME(2,6,35)</f>
        <v>40336.087905092594</v>
      </c>
      <c r="C379">
        <v>80</v>
      </c>
      <c r="D379">
        <v>79.946144103999998</v>
      </c>
      <c r="E379">
        <v>50</v>
      </c>
      <c r="F379">
        <v>14.999112129</v>
      </c>
      <c r="G379">
        <v>1340.5994873</v>
      </c>
      <c r="H379">
        <v>1338.1217041</v>
      </c>
      <c r="I379">
        <v>1321.5136719</v>
      </c>
      <c r="J379">
        <v>1317.5437012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37.251683</v>
      </c>
      <c r="B380" s="1">
        <f>DATE(2010,6,7) + TIME(6,2,25)</f>
        <v>40336.25167824074</v>
      </c>
      <c r="C380">
        <v>80</v>
      </c>
      <c r="D380">
        <v>79.946136475000003</v>
      </c>
      <c r="E380">
        <v>50</v>
      </c>
      <c r="F380">
        <v>14.999114037</v>
      </c>
      <c r="G380">
        <v>1340.5955810999999</v>
      </c>
      <c r="H380">
        <v>1338.1187743999999</v>
      </c>
      <c r="I380">
        <v>1321.5141602000001</v>
      </c>
      <c r="J380">
        <v>1317.5440673999999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37.414963999999998</v>
      </c>
      <c r="B381" s="1">
        <f>DATE(2010,6,7) + TIME(9,57,32)</f>
        <v>40336.414953703701</v>
      </c>
      <c r="C381">
        <v>80</v>
      </c>
      <c r="D381">
        <v>79.946128845000004</v>
      </c>
      <c r="E381">
        <v>50</v>
      </c>
      <c r="F381">
        <v>14.999115944</v>
      </c>
      <c r="G381">
        <v>1340.5917969</v>
      </c>
      <c r="H381">
        <v>1338.1160889</v>
      </c>
      <c r="I381">
        <v>1321.5145264</v>
      </c>
      <c r="J381">
        <v>1317.5443115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37.577863000000001</v>
      </c>
      <c r="B382" s="1">
        <f>DATE(2010,6,7) + TIME(13,52,7)</f>
        <v>40336.5778587963</v>
      </c>
      <c r="C382">
        <v>80</v>
      </c>
      <c r="D382">
        <v>79.946121215999995</v>
      </c>
      <c r="E382">
        <v>50</v>
      </c>
      <c r="F382">
        <v>14.999118805</v>
      </c>
      <c r="G382">
        <v>1340.5880127</v>
      </c>
      <c r="H382">
        <v>1338.1134033000001</v>
      </c>
      <c r="I382">
        <v>1321.5150146000001</v>
      </c>
      <c r="J382">
        <v>1317.5446777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37.740481000000003</v>
      </c>
      <c r="B383" s="1">
        <f>DATE(2010,6,7) + TIME(17,46,17)</f>
        <v>40336.740474537037</v>
      </c>
      <c r="C383">
        <v>80</v>
      </c>
      <c r="D383">
        <v>79.946113585999996</v>
      </c>
      <c r="E383">
        <v>50</v>
      </c>
      <c r="F383">
        <v>14.999120712</v>
      </c>
      <c r="G383">
        <v>1340.5842285000001</v>
      </c>
      <c r="H383">
        <v>1338.1107178</v>
      </c>
      <c r="I383">
        <v>1321.5155029</v>
      </c>
      <c r="J383">
        <v>1317.5450439000001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37.902917000000002</v>
      </c>
      <c r="B384" s="1">
        <f>DATE(2010,6,7) + TIME(21,40,12)</f>
        <v>40336.902916666666</v>
      </c>
      <c r="C384">
        <v>80</v>
      </c>
      <c r="D384">
        <v>79.946105957</v>
      </c>
      <c r="E384">
        <v>50</v>
      </c>
      <c r="F384">
        <v>14.99912262</v>
      </c>
      <c r="G384">
        <v>1340.5805664</v>
      </c>
      <c r="H384">
        <v>1338.1080322</v>
      </c>
      <c r="I384">
        <v>1321.5158690999999</v>
      </c>
      <c r="J384">
        <v>1317.5452881000001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38.065241</v>
      </c>
      <c r="B385" s="1">
        <f>DATE(2010,6,8) + TIME(1,33,56)</f>
        <v>40337.06523148148</v>
      </c>
      <c r="C385">
        <v>80</v>
      </c>
      <c r="D385">
        <v>79.946098328000005</v>
      </c>
      <c r="E385">
        <v>50</v>
      </c>
      <c r="F385">
        <v>14.999125481</v>
      </c>
      <c r="G385">
        <v>1340.5769043</v>
      </c>
      <c r="H385">
        <v>1338.1054687999999</v>
      </c>
      <c r="I385">
        <v>1321.5163574000001</v>
      </c>
      <c r="J385">
        <v>1317.5456543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38.227564999999998</v>
      </c>
      <c r="B386" s="1">
        <f>DATE(2010,6,8) + TIME(5,27,41)</f>
        <v>40337.22755787037</v>
      </c>
      <c r="C386">
        <v>80</v>
      </c>
      <c r="D386">
        <v>79.946090698000006</v>
      </c>
      <c r="E386">
        <v>50</v>
      </c>
      <c r="F386">
        <v>14.999127388</v>
      </c>
      <c r="G386">
        <v>1340.5732422000001</v>
      </c>
      <c r="H386">
        <v>1338.1027832</v>
      </c>
      <c r="I386">
        <v>1321.5168457</v>
      </c>
      <c r="J386">
        <v>1317.5460204999999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38.389888999999997</v>
      </c>
      <c r="B387" s="1">
        <f>DATE(2010,6,8) + TIME(9,21,26)</f>
        <v>40337.389884259261</v>
      </c>
      <c r="C387">
        <v>80</v>
      </c>
      <c r="D387">
        <v>79.946083068999997</v>
      </c>
      <c r="E387">
        <v>50</v>
      </c>
      <c r="F387">
        <v>14.999129294999999</v>
      </c>
      <c r="G387">
        <v>1340.5695800999999</v>
      </c>
      <c r="H387">
        <v>1338.1002197</v>
      </c>
      <c r="I387">
        <v>1321.5172118999999</v>
      </c>
      <c r="J387">
        <v>1317.5462646000001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38.552213000000002</v>
      </c>
      <c r="B388" s="1">
        <f>DATE(2010,6,8) + TIME(13,15,11)</f>
        <v>40337.552210648151</v>
      </c>
      <c r="C388">
        <v>80</v>
      </c>
      <c r="D388">
        <v>79.946075438999998</v>
      </c>
      <c r="E388">
        <v>50</v>
      </c>
      <c r="F388">
        <v>14.999131202999999</v>
      </c>
      <c r="G388">
        <v>1340.5660399999999</v>
      </c>
      <c r="H388">
        <v>1338.0976562000001</v>
      </c>
      <c r="I388">
        <v>1321.5177002</v>
      </c>
      <c r="J388">
        <v>1317.5466309000001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38.714537</v>
      </c>
      <c r="B389" s="1">
        <f>DATE(2010,6,8) + TIME(17,8,55)</f>
        <v>40337.714525462965</v>
      </c>
      <c r="C389">
        <v>80</v>
      </c>
      <c r="D389">
        <v>79.946067810000002</v>
      </c>
      <c r="E389">
        <v>50</v>
      </c>
      <c r="F389">
        <v>14.999133110000001</v>
      </c>
      <c r="G389">
        <v>1340.5623779</v>
      </c>
      <c r="H389">
        <v>1338.0950928</v>
      </c>
      <c r="I389">
        <v>1321.5180664</v>
      </c>
      <c r="J389">
        <v>1317.5469971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38.876860999999998</v>
      </c>
      <c r="B390" s="1">
        <f>DATE(2010,6,8) + TIME(21,2,40)</f>
        <v>40337.876851851855</v>
      </c>
      <c r="C390">
        <v>80</v>
      </c>
      <c r="D390">
        <v>79.946067810000002</v>
      </c>
      <c r="E390">
        <v>50</v>
      </c>
      <c r="F390">
        <v>14.999135017</v>
      </c>
      <c r="G390">
        <v>1340.5588379000001</v>
      </c>
      <c r="H390">
        <v>1338.0924072</v>
      </c>
      <c r="I390">
        <v>1321.5185547000001</v>
      </c>
      <c r="J390">
        <v>1317.5472411999999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39.039183999999999</v>
      </c>
      <c r="B391" s="1">
        <f>DATE(2010,6,9) + TIME(0,56,25)</f>
        <v>40338.039178240739</v>
      </c>
      <c r="C391">
        <v>80</v>
      </c>
      <c r="D391">
        <v>79.946060181000007</v>
      </c>
      <c r="E391">
        <v>50</v>
      </c>
      <c r="F391">
        <v>14.999137878000001</v>
      </c>
      <c r="G391">
        <v>1340.5552978999999</v>
      </c>
      <c r="H391">
        <v>1338.0898437999999</v>
      </c>
      <c r="I391">
        <v>1321.519043</v>
      </c>
      <c r="J391">
        <v>1317.5476074000001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39.201507999999997</v>
      </c>
      <c r="B392" s="1">
        <f>DATE(2010,6,9) + TIME(4,50,10)</f>
        <v>40338.201504629629</v>
      </c>
      <c r="C392">
        <v>80</v>
      </c>
      <c r="D392">
        <v>79.946052550999994</v>
      </c>
      <c r="E392">
        <v>50</v>
      </c>
      <c r="F392">
        <v>14.999139786000001</v>
      </c>
      <c r="G392">
        <v>1340.5517577999999</v>
      </c>
      <c r="H392">
        <v>1338.0872803</v>
      </c>
      <c r="I392">
        <v>1321.5195312000001</v>
      </c>
      <c r="J392">
        <v>1317.5479736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39.526156</v>
      </c>
      <c r="B393" s="1">
        <f>DATE(2010,6,9) + TIME(12,37,39)</f>
        <v>40338.526145833333</v>
      </c>
      <c r="C393">
        <v>80</v>
      </c>
      <c r="D393">
        <v>79.946060181000007</v>
      </c>
      <c r="E393">
        <v>50</v>
      </c>
      <c r="F393">
        <v>14.999142646999999</v>
      </c>
      <c r="G393">
        <v>1340.5477295000001</v>
      </c>
      <c r="H393">
        <v>1338.0843506000001</v>
      </c>
      <c r="I393">
        <v>1321.5200195</v>
      </c>
      <c r="J393">
        <v>1317.5483397999999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39.851993</v>
      </c>
      <c r="B394" s="1">
        <f>DATE(2010,6,9) + TIME(20,26,52)</f>
        <v>40338.851990740739</v>
      </c>
      <c r="C394">
        <v>80</v>
      </c>
      <c r="D394">
        <v>79.946052550999994</v>
      </c>
      <c r="E394">
        <v>50</v>
      </c>
      <c r="F394">
        <v>14.999146461</v>
      </c>
      <c r="G394">
        <v>1340.5410156</v>
      </c>
      <c r="H394">
        <v>1338.0795897999999</v>
      </c>
      <c r="I394">
        <v>1321.520874</v>
      </c>
      <c r="J394">
        <v>1317.5489502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40.181601000000001</v>
      </c>
      <c r="B395" s="1">
        <f>DATE(2010,6,10) + TIME(4,21,30)</f>
        <v>40339.181597222225</v>
      </c>
      <c r="C395">
        <v>80</v>
      </c>
      <c r="D395">
        <v>79.946044921999999</v>
      </c>
      <c r="E395">
        <v>50</v>
      </c>
      <c r="F395">
        <v>14.999150276</v>
      </c>
      <c r="G395">
        <v>1340.5341797000001</v>
      </c>
      <c r="H395">
        <v>1338.074707</v>
      </c>
      <c r="I395">
        <v>1321.5217285000001</v>
      </c>
      <c r="J395">
        <v>1317.5496826000001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40.515729999999998</v>
      </c>
      <c r="B396" s="1">
        <f>DATE(2010,6,10) + TIME(12,22,39)</f>
        <v>40339.515729166669</v>
      </c>
      <c r="C396">
        <v>80</v>
      </c>
      <c r="D396">
        <v>79.946029663000004</v>
      </c>
      <c r="E396">
        <v>50</v>
      </c>
      <c r="F396">
        <v>14.999154090999999</v>
      </c>
      <c r="G396">
        <v>1340.5272216999999</v>
      </c>
      <c r="H396">
        <v>1338.0697021000001</v>
      </c>
      <c r="I396">
        <v>1321.5227050999999</v>
      </c>
      <c r="J396">
        <v>1317.550293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40.855167000000002</v>
      </c>
      <c r="B397" s="1">
        <f>DATE(2010,6,10) + TIME(20,31,26)</f>
        <v>40339.855162037034</v>
      </c>
      <c r="C397">
        <v>80</v>
      </c>
      <c r="D397">
        <v>79.946022033999995</v>
      </c>
      <c r="E397">
        <v>50</v>
      </c>
      <c r="F397">
        <v>14.999157906000001</v>
      </c>
      <c r="G397">
        <v>1340.5201416</v>
      </c>
      <c r="H397">
        <v>1338.0645752</v>
      </c>
      <c r="I397">
        <v>1321.5236815999999</v>
      </c>
      <c r="J397">
        <v>1317.5510254000001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41.200752999999999</v>
      </c>
      <c r="B398" s="1">
        <f>DATE(2010,6,11) + TIME(4,49,5)</f>
        <v>40340.200752314813</v>
      </c>
      <c r="C398">
        <v>80</v>
      </c>
      <c r="D398">
        <v>79.946014403999996</v>
      </c>
      <c r="E398">
        <v>50</v>
      </c>
      <c r="F398">
        <v>14.99916172</v>
      </c>
      <c r="G398">
        <v>1340.5130615</v>
      </c>
      <c r="H398">
        <v>1338.0594481999999</v>
      </c>
      <c r="I398">
        <v>1321.5246582</v>
      </c>
      <c r="J398">
        <v>1317.5517577999999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41.376843999999998</v>
      </c>
      <c r="B399" s="1">
        <f>DATE(2010,6,11) + TIME(9,2,39)</f>
        <v>40340.376840277779</v>
      </c>
      <c r="C399">
        <v>80</v>
      </c>
      <c r="D399">
        <v>79.945999146000005</v>
      </c>
      <c r="E399">
        <v>50</v>
      </c>
      <c r="F399">
        <v>14.999164581</v>
      </c>
      <c r="G399">
        <v>1340.5067139</v>
      </c>
      <c r="H399">
        <v>1338.0549315999999</v>
      </c>
      <c r="I399">
        <v>1321.5255127</v>
      </c>
      <c r="J399">
        <v>1317.5523682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41.552934999999998</v>
      </c>
      <c r="B400" s="1">
        <f>DATE(2010,6,11) + TIME(13,16,13)</f>
        <v>40340.552928240744</v>
      </c>
      <c r="C400">
        <v>80</v>
      </c>
      <c r="D400">
        <v>79.945991516000007</v>
      </c>
      <c r="E400">
        <v>50</v>
      </c>
      <c r="F400">
        <v>14.999166489</v>
      </c>
      <c r="G400">
        <v>1340.5025635</v>
      </c>
      <c r="H400">
        <v>1338.0518798999999</v>
      </c>
      <c r="I400">
        <v>1321.5261230000001</v>
      </c>
      <c r="J400">
        <v>1317.5528564000001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41.728853000000001</v>
      </c>
      <c r="B401" s="1">
        <f>DATE(2010,6,11) + TIME(17,29,32)</f>
        <v>40340.728842592594</v>
      </c>
      <c r="C401">
        <v>80</v>
      </c>
      <c r="D401">
        <v>79.945983886999997</v>
      </c>
      <c r="E401">
        <v>50</v>
      </c>
      <c r="F401">
        <v>14.999169350000001</v>
      </c>
      <c r="G401">
        <v>1340.4987793</v>
      </c>
      <c r="H401">
        <v>1338.0491943</v>
      </c>
      <c r="I401">
        <v>1321.5267334</v>
      </c>
      <c r="J401">
        <v>1317.5533447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41.904201</v>
      </c>
      <c r="B402" s="1">
        <f>DATE(2010,6,11) + TIME(21,42,2)</f>
        <v>40340.904189814813</v>
      </c>
      <c r="C402">
        <v>80</v>
      </c>
      <c r="D402">
        <v>79.945976256999998</v>
      </c>
      <c r="E402">
        <v>50</v>
      </c>
      <c r="F402">
        <v>14.999171257</v>
      </c>
      <c r="G402">
        <v>1340.4951172000001</v>
      </c>
      <c r="H402">
        <v>1338.0465088000001</v>
      </c>
      <c r="I402">
        <v>1321.5272216999999</v>
      </c>
      <c r="J402">
        <v>1317.5537108999999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42.079084000000002</v>
      </c>
      <c r="B403" s="1">
        <f>DATE(2010,6,12) + TIME(1,53,52)</f>
        <v>40341.079074074078</v>
      </c>
      <c r="C403">
        <v>80</v>
      </c>
      <c r="D403">
        <v>79.945976256999998</v>
      </c>
      <c r="E403">
        <v>50</v>
      </c>
      <c r="F403">
        <v>14.999173164</v>
      </c>
      <c r="G403">
        <v>1340.4915771000001</v>
      </c>
      <c r="H403">
        <v>1338.0438231999999</v>
      </c>
      <c r="I403">
        <v>1321.5277100000001</v>
      </c>
      <c r="J403">
        <v>1317.5540771000001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42.253610999999999</v>
      </c>
      <c r="B404" s="1">
        <f>DATE(2010,6,12) + TIME(6,5,12)</f>
        <v>40341.253611111111</v>
      </c>
      <c r="C404">
        <v>80</v>
      </c>
      <c r="D404">
        <v>79.945968628000003</v>
      </c>
      <c r="E404">
        <v>50</v>
      </c>
      <c r="F404">
        <v>14.999176025000001</v>
      </c>
      <c r="G404">
        <v>1340.4879149999999</v>
      </c>
      <c r="H404">
        <v>1338.0412598</v>
      </c>
      <c r="I404">
        <v>1321.5281981999999</v>
      </c>
      <c r="J404">
        <v>1317.5544434000001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42.427886000000001</v>
      </c>
      <c r="B405" s="1">
        <f>DATE(2010,6,12) + TIME(10,16,9)</f>
        <v>40341.427881944444</v>
      </c>
      <c r="C405">
        <v>80</v>
      </c>
      <c r="D405">
        <v>79.945960998999993</v>
      </c>
      <c r="E405">
        <v>50</v>
      </c>
      <c r="F405">
        <v>14.999177933</v>
      </c>
      <c r="G405">
        <v>1340.484375</v>
      </c>
      <c r="H405">
        <v>1338.0386963000001</v>
      </c>
      <c r="I405">
        <v>1321.5286865</v>
      </c>
      <c r="J405">
        <v>1317.5548096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42.602012000000002</v>
      </c>
      <c r="B406" s="1">
        <f>DATE(2010,6,12) + TIME(14,26,53)</f>
        <v>40341.602002314816</v>
      </c>
      <c r="C406">
        <v>80</v>
      </c>
      <c r="D406">
        <v>79.945960998999993</v>
      </c>
      <c r="E406">
        <v>50</v>
      </c>
      <c r="F406">
        <v>14.99917984</v>
      </c>
      <c r="G406">
        <v>1340.4808350000001</v>
      </c>
      <c r="H406">
        <v>1338.0361327999999</v>
      </c>
      <c r="I406">
        <v>1321.5291748</v>
      </c>
      <c r="J406">
        <v>1317.5551757999999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42.776088999999999</v>
      </c>
      <c r="B407" s="1">
        <f>DATE(2010,6,12) + TIME(18,37,34)</f>
        <v>40341.776087962964</v>
      </c>
      <c r="C407">
        <v>80</v>
      </c>
      <c r="D407">
        <v>79.945953368999994</v>
      </c>
      <c r="E407">
        <v>50</v>
      </c>
      <c r="F407">
        <v>14.999181747</v>
      </c>
      <c r="G407">
        <v>1340.4774170000001</v>
      </c>
      <c r="H407">
        <v>1338.0335693</v>
      </c>
      <c r="I407">
        <v>1321.5296631000001</v>
      </c>
      <c r="J407">
        <v>1317.5555420000001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42.950166000000003</v>
      </c>
      <c r="B408" s="1">
        <f>DATE(2010,6,12) + TIME(22,48,14)</f>
        <v>40341.950162037036</v>
      </c>
      <c r="C408">
        <v>80</v>
      </c>
      <c r="D408">
        <v>79.945953368999994</v>
      </c>
      <c r="E408">
        <v>50</v>
      </c>
      <c r="F408">
        <v>14.999183655</v>
      </c>
      <c r="G408">
        <v>1340.4738769999999</v>
      </c>
      <c r="H408">
        <v>1338.0310059000001</v>
      </c>
      <c r="I408">
        <v>1321.5302733999999</v>
      </c>
      <c r="J408">
        <v>1317.5559082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43.124243999999997</v>
      </c>
      <c r="B409" s="1">
        <f>DATE(2010,6,13) + TIME(2,58,54)</f>
        <v>40342.124236111114</v>
      </c>
      <c r="C409">
        <v>80</v>
      </c>
      <c r="D409">
        <v>79.945945739999999</v>
      </c>
      <c r="E409">
        <v>50</v>
      </c>
      <c r="F409">
        <v>14.999186516</v>
      </c>
      <c r="G409">
        <v>1340.4704589999999</v>
      </c>
      <c r="H409">
        <v>1338.0285644999999</v>
      </c>
      <c r="I409">
        <v>1321.5307617000001</v>
      </c>
      <c r="J409">
        <v>1317.5562743999999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43.298321000000001</v>
      </c>
      <c r="B410" s="1">
        <f>DATE(2010,6,13) + TIME(7,9,34)</f>
        <v>40342.298310185186</v>
      </c>
      <c r="C410">
        <v>80</v>
      </c>
      <c r="D410">
        <v>79.945945739999999</v>
      </c>
      <c r="E410">
        <v>50</v>
      </c>
      <c r="F410">
        <v>14.999188423</v>
      </c>
      <c r="G410">
        <v>1340.4670410000001</v>
      </c>
      <c r="H410">
        <v>1338.026001</v>
      </c>
      <c r="I410">
        <v>1321.53125</v>
      </c>
      <c r="J410">
        <v>1317.5566406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43.472397999999998</v>
      </c>
      <c r="B411" s="1">
        <f>DATE(2010,6,13) + TIME(11,20,15)</f>
        <v>40342.472395833334</v>
      </c>
      <c r="C411">
        <v>80</v>
      </c>
      <c r="D411">
        <v>79.945945739999999</v>
      </c>
      <c r="E411">
        <v>50</v>
      </c>
      <c r="F411">
        <v>14.999190330999999</v>
      </c>
      <c r="G411">
        <v>1340.463501</v>
      </c>
      <c r="H411">
        <v>1338.0235596</v>
      </c>
      <c r="I411">
        <v>1321.5317382999999</v>
      </c>
      <c r="J411">
        <v>1317.5570068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43.646475000000002</v>
      </c>
      <c r="B412" s="1">
        <f>DATE(2010,6,13) + TIME(15,30,55)</f>
        <v>40342.646469907406</v>
      </c>
      <c r="C412">
        <v>80</v>
      </c>
      <c r="D412">
        <v>79.94593811</v>
      </c>
      <c r="E412">
        <v>50</v>
      </c>
      <c r="F412">
        <v>14.999192237999999</v>
      </c>
      <c r="G412">
        <v>1340.4600829999999</v>
      </c>
      <c r="H412">
        <v>1338.0209961</v>
      </c>
      <c r="I412">
        <v>1321.5323486</v>
      </c>
      <c r="J412">
        <v>1317.5573730000001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43.820552999999997</v>
      </c>
      <c r="B413" s="1">
        <f>DATE(2010,6,13) + TIME(19,41,35)</f>
        <v>40342.820543981485</v>
      </c>
      <c r="C413">
        <v>80</v>
      </c>
      <c r="D413">
        <v>79.94593811</v>
      </c>
      <c r="E413">
        <v>50</v>
      </c>
      <c r="F413">
        <v>14.999194145000001</v>
      </c>
      <c r="G413">
        <v>1340.4567870999999</v>
      </c>
      <c r="H413">
        <v>1338.0185547000001</v>
      </c>
      <c r="I413">
        <v>1321.5328368999999</v>
      </c>
      <c r="J413">
        <v>1317.5577393000001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44.168706999999998</v>
      </c>
      <c r="B414" s="1">
        <f>DATE(2010,6,14) + TIME(4,2,56)</f>
        <v>40343.168703703705</v>
      </c>
      <c r="C414">
        <v>80</v>
      </c>
      <c r="D414">
        <v>79.945945739999999</v>
      </c>
      <c r="E414">
        <v>50</v>
      </c>
      <c r="F414">
        <v>14.99919796</v>
      </c>
      <c r="G414">
        <v>1340.4528809000001</v>
      </c>
      <c r="H414">
        <v>1338.015625</v>
      </c>
      <c r="I414">
        <v>1321.5334473</v>
      </c>
      <c r="J414">
        <v>1317.5582274999999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44.517066999999997</v>
      </c>
      <c r="B415" s="1">
        <f>DATE(2010,6,14) + TIME(12,24,34)</f>
        <v>40343.517060185186</v>
      </c>
      <c r="C415">
        <v>80</v>
      </c>
      <c r="D415">
        <v>79.94593811</v>
      </c>
      <c r="E415">
        <v>50</v>
      </c>
      <c r="F415">
        <v>14.999200821000001</v>
      </c>
      <c r="G415">
        <v>1340.4465332</v>
      </c>
      <c r="H415">
        <v>1338.0109863</v>
      </c>
      <c r="I415">
        <v>1321.5343018000001</v>
      </c>
      <c r="J415">
        <v>1317.5588379000001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44.869543999999998</v>
      </c>
      <c r="B416" s="1">
        <f>DATE(2010,6,14) + TIME(20,52,8)</f>
        <v>40343.869537037041</v>
      </c>
      <c r="C416">
        <v>80</v>
      </c>
      <c r="D416">
        <v>79.94593811</v>
      </c>
      <c r="E416">
        <v>50</v>
      </c>
      <c r="F416">
        <v>14.999204636</v>
      </c>
      <c r="G416">
        <v>1340.4399414</v>
      </c>
      <c r="H416">
        <v>1338.0062256000001</v>
      </c>
      <c r="I416">
        <v>1321.5354004000001</v>
      </c>
      <c r="J416">
        <v>1317.5596923999999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45.226961000000003</v>
      </c>
      <c r="B417" s="1">
        <f>DATE(2010,6,15) + TIME(5,26,49)</f>
        <v>40344.226956018516</v>
      </c>
      <c r="C417">
        <v>80</v>
      </c>
      <c r="D417">
        <v>79.945930481000005</v>
      </c>
      <c r="E417">
        <v>50</v>
      </c>
      <c r="F417">
        <v>14.999208449999999</v>
      </c>
      <c r="G417">
        <v>1340.4332274999999</v>
      </c>
      <c r="H417">
        <v>1338.0014647999999</v>
      </c>
      <c r="I417">
        <v>1321.536499</v>
      </c>
      <c r="J417">
        <v>1317.5604248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45.590187</v>
      </c>
      <c r="B418" s="1">
        <f>DATE(2010,6,15) + TIME(14,9,52)</f>
        <v>40344.590185185189</v>
      </c>
      <c r="C418">
        <v>80</v>
      </c>
      <c r="D418">
        <v>79.945930481000005</v>
      </c>
      <c r="E418">
        <v>50</v>
      </c>
      <c r="F418">
        <v>14.999212265000001</v>
      </c>
      <c r="G418">
        <v>1340.4265137</v>
      </c>
      <c r="H418">
        <v>1337.9964600000001</v>
      </c>
      <c r="I418">
        <v>1321.5375977000001</v>
      </c>
      <c r="J418">
        <v>1317.5612793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45.960149999999999</v>
      </c>
      <c r="B419" s="1">
        <f>DATE(2010,6,15) + TIME(23,2,36)</f>
        <v>40344.960138888891</v>
      </c>
      <c r="C419">
        <v>80</v>
      </c>
      <c r="D419">
        <v>79.945922851999995</v>
      </c>
      <c r="E419">
        <v>50</v>
      </c>
      <c r="F419">
        <v>14.99921608</v>
      </c>
      <c r="G419">
        <v>1340.4196777</v>
      </c>
      <c r="H419">
        <v>1337.9915771000001</v>
      </c>
      <c r="I419">
        <v>1321.5386963000001</v>
      </c>
      <c r="J419">
        <v>1317.5621338000001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46.147705999999999</v>
      </c>
      <c r="B420" s="1">
        <f>DATE(2010,6,16) + TIME(3,32,41)</f>
        <v>40345.147696759261</v>
      </c>
      <c r="C420">
        <v>80</v>
      </c>
      <c r="D420">
        <v>79.945915221999996</v>
      </c>
      <c r="E420">
        <v>50</v>
      </c>
      <c r="F420">
        <v>14.999218941000001</v>
      </c>
      <c r="G420">
        <v>1340.4135742000001</v>
      </c>
      <c r="H420">
        <v>1337.9873047000001</v>
      </c>
      <c r="I420">
        <v>1321.5396728999999</v>
      </c>
      <c r="J420">
        <v>1317.5628661999999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46.335262</v>
      </c>
      <c r="B421" s="1">
        <f>DATE(2010,6,16) + TIME(8,2,46)</f>
        <v>40345.33525462963</v>
      </c>
      <c r="C421">
        <v>80</v>
      </c>
      <c r="D421">
        <v>79.945907593000001</v>
      </c>
      <c r="E421">
        <v>50</v>
      </c>
      <c r="F421">
        <v>14.999221801999999</v>
      </c>
      <c r="G421">
        <v>1340.409668</v>
      </c>
      <c r="H421">
        <v>1337.984375</v>
      </c>
      <c r="I421">
        <v>1321.5404053</v>
      </c>
      <c r="J421">
        <v>1317.5633545000001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46.522818999999998</v>
      </c>
      <c r="B422" s="1">
        <f>DATE(2010,6,16) + TIME(12,32,51)</f>
        <v>40345.522812499999</v>
      </c>
      <c r="C422">
        <v>80</v>
      </c>
      <c r="D422">
        <v>79.945899963000002</v>
      </c>
      <c r="E422">
        <v>50</v>
      </c>
      <c r="F422">
        <v>14.999223709000001</v>
      </c>
      <c r="G422">
        <v>1340.4060059000001</v>
      </c>
      <c r="H422">
        <v>1337.9816894999999</v>
      </c>
      <c r="I422">
        <v>1321.5411377</v>
      </c>
      <c r="J422">
        <v>1317.5638428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46.709941999999998</v>
      </c>
      <c r="B423" s="1">
        <f>DATE(2010,6,16) + TIME(17,2,18)</f>
        <v>40345.709930555553</v>
      </c>
      <c r="C423">
        <v>80</v>
      </c>
      <c r="D423">
        <v>79.945899963000002</v>
      </c>
      <c r="E423">
        <v>50</v>
      </c>
      <c r="F423">
        <v>14.999225616</v>
      </c>
      <c r="G423">
        <v>1340.4025879000001</v>
      </c>
      <c r="H423">
        <v>1337.9790039</v>
      </c>
      <c r="I423">
        <v>1321.541626</v>
      </c>
      <c r="J423">
        <v>1317.5642089999999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46.896577000000001</v>
      </c>
      <c r="B424" s="1">
        <f>DATE(2010,6,16) + TIME(21,31,4)</f>
        <v>40345.896574074075</v>
      </c>
      <c r="C424">
        <v>80</v>
      </c>
      <c r="D424">
        <v>79.945892334000007</v>
      </c>
      <c r="E424">
        <v>50</v>
      </c>
      <c r="F424">
        <v>14.999228477000001</v>
      </c>
      <c r="G424">
        <v>1340.3990478999999</v>
      </c>
      <c r="H424">
        <v>1337.9765625</v>
      </c>
      <c r="I424">
        <v>1321.5422363</v>
      </c>
      <c r="J424">
        <v>1317.5646973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47.082846000000004</v>
      </c>
      <c r="B425" s="1">
        <f>DATE(2010,6,17) + TIME(1,59,17)</f>
        <v>40346.082835648151</v>
      </c>
      <c r="C425">
        <v>80</v>
      </c>
      <c r="D425">
        <v>79.945892334000007</v>
      </c>
      <c r="E425">
        <v>50</v>
      </c>
      <c r="F425">
        <v>14.999230385000001</v>
      </c>
      <c r="G425">
        <v>1340.3956298999999</v>
      </c>
      <c r="H425">
        <v>1337.973999</v>
      </c>
      <c r="I425">
        <v>1321.5428466999999</v>
      </c>
      <c r="J425">
        <v>1317.5650635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47.268866000000003</v>
      </c>
      <c r="B426" s="1">
        <f>DATE(2010,6,17) + TIME(6,27,10)</f>
        <v>40346.268865740742</v>
      </c>
      <c r="C426">
        <v>80</v>
      </c>
      <c r="D426">
        <v>79.945892334000007</v>
      </c>
      <c r="E426">
        <v>50</v>
      </c>
      <c r="F426">
        <v>14.999232292</v>
      </c>
      <c r="G426">
        <v>1340.3922118999999</v>
      </c>
      <c r="H426">
        <v>1337.9715576000001</v>
      </c>
      <c r="I426">
        <v>1321.543457</v>
      </c>
      <c r="J426">
        <v>1317.5655518000001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47.454754999999999</v>
      </c>
      <c r="B427" s="1">
        <f>DATE(2010,6,17) + TIME(10,54,50)</f>
        <v>40346.454745370371</v>
      </c>
      <c r="C427">
        <v>80</v>
      </c>
      <c r="D427">
        <v>79.945892334000007</v>
      </c>
      <c r="E427">
        <v>50</v>
      </c>
      <c r="F427">
        <v>14.999235153000001</v>
      </c>
      <c r="G427">
        <v>1340.3889160000001</v>
      </c>
      <c r="H427">
        <v>1337.9689940999999</v>
      </c>
      <c r="I427">
        <v>1321.5440673999999</v>
      </c>
      <c r="J427">
        <v>1317.565918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47.640602999999999</v>
      </c>
      <c r="B428" s="1">
        <f>DATE(2010,6,17) + TIME(15,22,28)</f>
        <v>40346.640601851854</v>
      </c>
      <c r="C428">
        <v>80</v>
      </c>
      <c r="D428">
        <v>79.945884704999997</v>
      </c>
      <c r="E428">
        <v>50</v>
      </c>
      <c r="F428">
        <v>14.999237061000001</v>
      </c>
      <c r="G428">
        <v>1340.3854980000001</v>
      </c>
      <c r="H428">
        <v>1337.9665527</v>
      </c>
      <c r="I428">
        <v>1321.5445557</v>
      </c>
      <c r="J428">
        <v>1317.5662841999999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47.826452000000003</v>
      </c>
      <c r="B429" s="1">
        <f>DATE(2010,6,17) + TIME(19,50,5)</f>
        <v>40346.82644675926</v>
      </c>
      <c r="C429">
        <v>80</v>
      </c>
      <c r="D429">
        <v>79.945884704999997</v>
      </c>
      <c r="E429">
        <v>50</v>
      </c>
      <c r="F429">
        <v>14.999238968</v>
      </c>
      <c r="G429">
        <v>1340.3822021000001</v>
      </c>
      <c r="H429">
        <v>1337.9641113</v>
      </c>
      <c r="I429">
        <v>1321.5451660000001</v>
      </c>
      <c r="J429">
        <v>1317.5667725000001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48.012300000000003</v>
      </c>
      <c r="B430" s="1">
        <f>DATE(2010,6,18) + TIME(0,17,42)</f>
        <v>40347.012291666666</v>
      </c>
      <c r="C430">
        <v>80</v>
      </c>
      <c r="D430">
        <v>79.945884704999997</v>
      </c>
      <c r="E430">
        <v>50</v>
      </c>
      <c r="F430">
        <v>14.999240875</v>
      </c>
      <c r="G430">
        <v>1340.3789062000001</v>
      </c>
      <c r="H430">
        <v>1337.9616699000001</v>
      </c>
      <c r="I430">
        <v>1321.5457764</v>
      </c>
      <c r="J430">
        <v>1317.5671387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48.198148000000003</v>
      </c>
      <c r="B431" s="1">
        <f>DATE(2010,6,18) + TIME(4,45,19)</f>
        <v>40347.198136574072</v>
      </c>
      <c r="C431">
        <v>80</v>
      </c>
      <c r="D431">
        <v>79.945884704999997</v>
      </c>
      <c r="E431">
        <v>50</v>
      </c>
      <c r="F431">
        <v>14.999242783</v>
      </c>
      <c r="G431">
        <v>1340.3756103999999</v>
      </c>
      <c r="H431">
        <v>1337.9592285000001</v>
      </c>
      <c r="I431">
        <v>1321.5463867000001</v>
      </c>
      <c r="J431">
        <v>1317.5676269999999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48.383996000000003</v>
      </c>
      <c r="B432" s="1">
        <f>DATE(2010,6,18) + TIME(9,12,57)</f>
        <v>40347.383993055555</v>
      </c>
      <c r="C432">
        <v>80</v>
      </c>
      <c r="D432">
        <v>79.945884704999997</v>
      </c>
      <c r="E432">
        <v>50</v>
      </c>
      <c r="F432">
        <v>14.999244689999999</v>
      </c>
      <c r="G432">
        <v>1340.3723144999999</v>
      </c>
      <c r="H432">
        <v>1337.9569091999999</v>
      </c>
      <c r="I432">
        <v>1321.5469971</v>
      </c>
      <c r="J432">
        <v>1317.5679932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48.569844000000003</v>
      </c>
      <c r="B433" s="1">
        <f>DATE(2010,6,18) + TIME(13,40,34)</f>
        <v>40347.569837962961</v>
      </c>
      <c r="C433">
        <v>80</v>
      </c>
      <c r="D433">
        <v>79.945884704999997</v>
      </c>
      <c r="E433">
        <v>50</v>
      </c>
      <c r="F433">
        <v>14.999247551</v>
      </c>
      <c r="G433">
        <v>1340.3690185999999</v>
      </c>
      <c r="H433">
        <v>1337.9544678</v>
      </c>
      <c r="I433">
        <v>1321.5476074000001</v>
      </c>
      <c r="J433">
        <v>1317.5684814000001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48.755692000000003</v>
      </c>
      <c r="B434" s="1">
        <f>DATE(2010,6,18) + TIME(18,8,11)</f>
        <v>40347.755682870367</v>
      </c>
      <c r="C434">
        <v>80</v>
      </c>
      <c r="D434">
        <v>79.945884704999997</v>
      </c>
      <c r="E434">
        <v>50</v>
      </c>
      <c r="F434">
        <v>14.999249458</v>
      </c>
      <c r="G434">
        <v>1340.3657227000001</v>
      </c>
      <c r="H434">
        <v>1337.9520264</v>
      </c>
      <c r="I434">
        <v>1321.5482178</v>
      </c>
      <c r="J434">
        <v>1317.5688477000001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49.127388000000003</v>
      </c>
      <c r="B435" s="1">
        <f>DATE(2010,6,19) + TIME(3,3,26)</f>
        <v>40348.127384259256</v>
      </c>
      <c r="C435">
        <v>80</v>
      </c>
      <c r="D435">
        <v>79.945892334000007</v>
      </c>
      <c r="E435">
        <v>50</v>
      </c>
      <c r="F435">
        <v>14.999252319</v>
      </c>
      <c r="G435">
        <v>1340.3620605000001</v>
      </c>
      <c r="H435">
        <v>1337.9492187999999</v>
      </c>
      <c r="I435">
        <v>1321.5488281</v>
      </c>
      <c r="J435">
        <v>1317.5693358999999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49.499918999999998</v>
      </c>
      <c r="B436" s="1">
        <f>DATE(2010,6,19) + TIME(11,59,53)</f>
        <v>40348.499918981484</v>
      </c>
      <c r="C436">
        <v>80</v>
      </c>
      <c r="D436">
        <v>79.945892334000007</v>
      </c>
      <c r="E436">
        <v>50</v>
      </c>
      <c r="F436">
        <v>14.999256133999999</v>
      </c>
      <c r="G436">
        <v>1340.355957</v>
      </c>
      <c r="H436">
        <v>1337.9448242000001</v>
      </c>
      <c r="I436">
        <v>1321.5499268000001</v>
      </c>
      <c r="J436">
        <v>1317.5701904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49.876955000000002</v>
      </c>
      <c r="B437" s="1">
        <f>DATE(2010,6,19) + TIME(21,2,48)</f>
        <v>40348.876944444448</v>
      </c>
      <c r="C437">
        <v>80</v>
      </c>
      <c r="D437">
        <v>79.945892334000007</v>
      </c>
      <c r="E437">
        <v>50</v>
      </c>
      <c r="F437">
        <v>14.999259949000001</v>
      </c>
      <c r="G437">
        <v>1340.3496094</v>
      </c>
      <c r="H437">
        <v>1337.9401855000001</v>
      </c>
      <c r="I437">
        <v>1321.5511475000001</v>
      </c>
      <c r="J437">
        <v>1317.5710449000001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50.259394999999998</v>
      </c>
      <c r="B438" s="1">
        <f>DATE(2010,6,20) + TIME(6,13,31)</f>
        <v>40349.259386574071</v>
      </c>
      <c r="C438">
        <v>80</v>
      </c>
      <c r="D438">
        <v>79.945892334000007</v>
      </c>
      <c r="E438">
        <v>50</v>
      </c>
      <c r="F438">
        <v>14.999263763</v>
      </c>
      <c r="G438">
        <v>1340.3431396000001</v>
      </c>
      <c r="H438">
        <v>1337.9354248</v>
      </c>
      <c r="I438">
        <v>1321.5524902</v>
      </c>
      <c r="J438">
        <v>1317.5720214999999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50.648187999999998</v>
      </c>
      <c r="B439" s="1">
        <f>DATE(2010,6,20) + TIME(15,33,23)</f>
        <v>40349.648182870369</v>
      </c>
      <c r="C439">
        <v>80</v>
      </c>
      <c r="D439">
        <v>79.945899963000002</v>
      </c>
      <c r="E439">
        <v>50</v>
      </c>
      <c r="F439">
        <v>14.999267578</v>
      </c>
      <c r="G439">
        <v>1340.3366699000001</v>
      </c>
      <c r="H439">
        <v>1337.9306641000001</v>
      </c>
      <c r="I439">
        <v>1321.5537108999999</v>
      </c>
      <c r="J439">
        <v>1317.572876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51.044193</v>
      </c>
      <c r="B440" s="1">
        <f>DATE(2010,6,21) + TIME(1,3,38)</f>
        <v>40350.044189814813</v>
      </c>
      <c r="C440">
        <v>80</v>
      </c>
      <c r="D440">
        <v>79.945899963000002</v>
      </c>
      <c r="E440">
        <v>50</v>
      </c>
      <c r="F440">
        <v>14.999272346</v>
      </c>
      <c r="G440">
        <v>1340.3302002</v>
      </c>
      <c r="H440">
        <v>1337.9259033000001</v>
      </c>
      <c r="I440">
        <v>1321.5550536999999</v>
      </c>
      <c r="J440">
        <v>1317.5738524999999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51.244278999999999</v>
      </c>
      <c r="B441" s="1">
        <f>DATE(2010,6,21) + TIME(5,51,45)</f>
        <v>40350.244270833333</v>
      </c>
      <c r="C441">
        <v>80</v>
      </c>
      <c r="D441">
        <v>79.945884704999997</v>
      </c>
      <c r="E441">
        <v>50</v>
      </c>
      <c r="F441">
        <v>14.999274253999999</v>
      </c>
      <c r="G441">
        <v>1340.3243408000001</v>
      </c>
      <c r="H441">
        <v>1337.9217529</v>
      </c>
      <c r="I441">
        <v>1321.5561522999999</v>
      </c>
      <c r="J441">
        <v>1317.574707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51.444366000000002</v>
      </c>
      <c r="B442" s="1">
        <f>DATE(2010,6,21) + TIME(10,39,53)</f>
        <v>40350.444363425922</v>
      </c>
      <c r="C442">
        <v>80</v>
      </c>
      <c r="D442">
        <v>79.945884704999997</v>
      </c>
      <c r="E442">
        <v>50</v>
      </c>
      <c r="F442">
        <v>14.999277115</v>
      </c>
      <c r="G442">
        <v>1340.3205565999999</v>
      </c>
      <c r="H442">
        <v>1337.9188231999999</v>
      </c>
      <c r="I442">
        <v>1321.5570068</v>
      </c>
      <c r="J442">
        <v>1317.5753173999999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51.644219999999997</v>
      </c>
      <c r="B443" s="1">
        <f>DATE(2010,6,21) + TIME(15,27,40)</f>
        <v>40350.644212962965</v>
      </c>
      <c r="C443">
        <v>80</v>
      </c>
      <c r="D443">
        <v>79.945884704999997</v>
      </c>
      <c r="E443">
        <v>50</v>
      </c>
      <c r="F443">
        <v>14.999279976</v>
      </c>
      <c r="G443">
        <v>1340.3170166</v>
      </c>
      <c r="H443">
        <v>1337.9162598</v>
      </c>
      <c r="I443">
        <v>1321.5577393000001</v>
      </c>
      <c r="J443">
        <v>1317.5758057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51.843477999999998</v>
      </c>
      <c r="B444" s="1">
        <f>DATE(2010,6,21) + TIME(20,14,36)</f>
        <v>40350.843472222223</v>
      </c>
      <c r="C444">
        <v>80</v>
      </c>
      <c r="D444">
        <v>79.945877074999999</v>
      </c>
      <c r="E444">
        <v>50</v>
      </c>
      <c r="F444">
        <v>14.999281883</v>
      </c>
      <c r="G444">
        <v>1340.3137207</v>
      </c>
      <c r="H444">
        <v>1337.9136963000001</v>
      </c>
      <c r="I444">
        <v>1321.5584716999999</v>
      </c>
      <c r="J444">
        <v>1317.5762939000001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52.042271999999997</v>
      </c>
      <c r="B445" s="1">
        <f>DATE(2010,6,22) + TIME(1,0,52)</f>
        <v>40351.042268518519</v>
      </c>
      <c r="C445">
        <v>80</v>
      </c>
      <c r="D445">
        <v>79.945877074999999</v>
      </c>
      <c r="E445">
        <v>50</v>
      </c>
      <c r="F445">
        <v>14.999284744000001</v>
      </c>
      <c r="G445">
        <v>1340.3104248</v>
      </c>
      <c r="H445">
        <v>1337.9112548999999</v>
      </c>
      <c r="I445">
        <v>1321.559082</v>
      </c>
      <c r="J445">
        <v>1317.5767822</v>
      </c>
      <c r="K445">
        <v>2400</v>
      </c>
      <c r="L445">
        <v>0</v>
      </c>
      <c r="M445">
        <v>0</v>
      </c>
      <c r="N445">
        <v>2400</v>
      </c>
    </row>
    <row r="446" spans="1:14" x14ac:dyDescent="0.25">
      <c r="A446">
        <v>52.240732999999999</v>
      </c>
      <c r="B446" s="1">
        <f>DATE(2010,6,22) + TIME(5,46,39)</f>
        <v>40351.240729166668</v>
      </c>
      <c r="C446">
        <v>80</v>
      </c>
      <c r="D446">
        <v>79.945877074999999</v>
      </c>
      <c r="E446">
        <v>50</v>
      </c>
      <c r="F446">
        <v>14.999286652</v>
      </c>
      <c r="G446">
        <v>1340.3071289</v>
      </c>
      <c r="H446">
        <v>1337.9088135</v>
      </c>
      <c r="I446">
        <v>1321.5598144999999</v>
      </c>
      <c r="J446">
        <v>1317.5772704999999</v>
      </c>
      <c r="K446">
        <v>2400</v>
      </c>
      <c r="L446">
        <v>0</v>
      </c>
      <c r="M446">
        <v>0</v>
      </c>
      <c r="N446">
        <v>2400</v>
      </c>
    </row>
    <row r="447" spans="1:14" x14ac:dyDescent="0.25">
      <c r="A447">
        <v>52.438991000000001</v>
      </c>
      <c r="B447" s="1">
        <f>DATE(2010,6,22) + TIME(10,32,8)</f>
        <v>40351.438981481479</v>
      </c>
      <c r="C447">
        <v>80</v>
      </c>
      <c r="D447">
        <v>79.945884704999997</v>
      </c>
      <c r="E447">
        <v>50</v>
      </c>
      <c r="F447">
        <v>14.999288559</v>
      </c>
      <c r="G447">
        <v>1340.3038329999999</v>
      </c>
      <c r="H447">
        <v>1337.9063721</v>
      </c>
      <c r="I447">
        <v>1321.5604248</v>
      </c>
      <c r="J447">
        <v>1317.5777588000001</v>
      </c>
      <c r="K447">
        <v>2400</v>
      </c>
      <c r="L447">
        <v>0</v>
      </c>
      <c r="M447">
        <v>0</v>
      </c>
      <c r="N447">
        <v>2400</v>
      </c>
    </row>
    <row r="448" spans="1:14" x14ac:dyDescent="0.25">
      <c r="A448">
        <v>52.637174000000002</v>
      </c>
      <c r="B448" s="1">
        <f>DATE(2010,6,22) + TIME(15,17,31)</f>
        <v>40351.637164351851</v>
      </c>
      <c r="C448">
        <v>80</v>
      </c>
      <c r="D448">
        <v>79.945884704999997</v>
      </c>
      <c r="E448">
        <v>50</v>
      </c>
      <c r="F448">
        <v>14.99929142</v>
      </c>
      <c r="G448">
        <v>1340.3006591999999</v>
      </c>
      <c r="H448">
        <v>1337.9040527</v>
      </c>
      <c r="I448">
        <v>1321.5611572</v>
      </c>
      <c r="J448">
        <v>1317.5782471</v>
      </c>
      <c r="K448">
        <v>2400</v>
      </c>
      <c r="L448">
        <v>0</v>
      </c>
      <c r="M448">
        <v>0</v>
      </c>
      <c r="N448">
        <v>2400</v>
      </c>
    </row>
    <row r="449" spans="1:14" x14ac:dyDescent="0.25">
      <c r="A449">
        <v>52.835355999999997</v>
      </c>
      <c r="B449" s="1">
        <f>DATE(2010,6,22) + TIME(20,2,54)</f>
        <v>40351.835347222222</v>
      </c>
      <c r="C449">
        <v>80</v>
      </c>
      <c r="D449">
        <v>79.945884704999997</v>
      </c>
      <c r="E449">
        <v>50</v>
      </c>
      <c r="F449">
        <v>14.999293327</v>
      </c>
      <c r="G449">
        <v>1340.2974853999999</v>
      </c>
      <c r="H449">
        <v>1337.9016113</v>
      </c>
      <c r="I449">
        <v>1321.5617675999999</v>
      </c>
      <c r="J449">
        <v>1317.5786132999999</v>
      </c>
      <c r="K449">
        <v>2400</v>
      </c>
      <c r="L449">
        <v>0</v>
      </c>
      <c r="M449">
        <v>0</v>
      </c>
      <c r="N449">
        <v>2400</v>
      </c>
    </row>
    <row r="450" spans="1:14" x14ac:dyDescent="0.25">
      <c r="A450">
        <v>53.033538</v>
      </c>
      <c r="B450" s="1">
        <f>DATE(2010,6,23) + TIME(0,48,17)</f>
        <v>40352.033530092594</v>
      </c>
      <c r="C450">
        <v>80</v>
      </c>
      <c r="D450">
        <v>79.945884704999997</v>
      </c>
      <c r="E450">
        <v>50</v>
      </c>
      <c r="F450">
        <v>14.999295235</v>
      </c>
      <c r="G450">
        <v>1340.2941894999999</v>
      </c>
      <c r="H450">
        <v>1337.8992920000001</v>
      </c>
      <c r="I450">
        <v>1321.5625</v>
      </c>
      <c r="J450">
        <v>1317.5791016000001</v>
      </c>
      <c r="K450">
        <v>2400</v>
      </c>
      <c r="L450">
        <v>0</v>
      </c>
      <c r="M450">
        <v>0</v>
      </c>
      <c r="N450">
        <v>2400</v>
      </c>
    </row>
    <row r="451" spans="1:14" x14ac:dyDescent="0.25">
      <c r="A451">
        <v>53.231720000000003</v>
      </c>
      <c r="B451" s="1">
        <f>DATE(2010,6,23) + TIME(5,33,40)</f>
        <v>40352.231712962966</v>
      </c>
      <c r="C451">
        <v>80</v>
      </c>
      <c r="D451">
        <v>79.945884704999997</v>
      </c>
      <c r="E451">
        <v>50</v>
      </c>
      <c r="F451">
        <v>14.999298096</v>
      </c>
      <c r="G451">
        <v>1340.2910156</v>
      </c>
      <c r="H451">
        <v>1337.8968506000001</v>
      </c>
      <c r="I451">
        <v>1321.5632324000001</v>
      </c>
      <c r="J451">
        <v>1317.5795897999999</v>
      </c>
      <c r="K451">
        <v>2400</v>
      </c>
      <c r="L451">
        <v>0</v>
      </c>
      <c r="M451">
        <v>0</v>
      </c>
      <c r="N451">
        <v>2400</v>
      </c>
    </row>
    <row r="452" spans="1:14" x14ac:dyDescent="0.25">
      <c r="A452">
        <v>53.429901999999998</v>
      </c>
      <c r="B452" s="1">
        <f>DATE(2010,6,23) + TIME(10,19,3)</f>
        <v>40352.429895833331</v>
      </c>
      <c r="C452">
        <v>80</v>
      </c>
      <c r="D452">
        <v>79.945884704999997</v>
      </c>
      <c r="E452">
        <v>50</v>
      </c>
      <c r="F452">
        <v>14.999300003</v>
      </c>
      <c r="G452">
        <v>1340.2878418</v>
      </c>
      <c r="H452">
        <v>1337.8945312000001</v>
      </c>
      <c r="I452">
        <v>1321.5638428</v>
      </c>
      <c r="J452">
        <v>1317.5800781</v>
      </c>
      <c r="K452">
        <v>2400</v>
      </c>
      <c r="L452">
        <v>0</v>
      </c>
      <c r="M452">
        <v>0</v>
      </c>
      <c r="N452">
        <v>2400</v>
      </c>
    </row>
    <row r="453" spans="1:14" x14ac:dyDescent="0.25">
      <c r="A453">
        <v>53.628084000000001</v>
      </c>
      <c r="B453" s="1">
        <f>DATE(2010,6,23) + TIME(15,4,26)</f>
        <v>40352.628078703703</v>
      </c>
      <c r="C453">
        <v>80</v>
      </c>
      <c r="D453">
        <v>79.945884704999997</v>
      </c>
      <c r="E453">
        <v>50</v>
      </c>
      <c r="F453">
        <v>14.99930191</v>
      </c>
      <c r="G453">
        <v>1340.284668</v>
      </c>
      <c r="H453">
        <v>1337.8922118999999</v>
      </c>
      <c r="I453">
        <v>1321.5645752</v>
      </c>
      <c r="J453">
        <v>1317.5805664</v>
      </c>
      <c r="K453">
        <v>2400</v>
      </c>
      <c r="L453">
        <v>0</v>
      </c>
      <c r="M453">
        <v>0</v>
      </c>
      <c r="N453">
        <v>2400</v>
      </c>
    </row>
    <row r="454" spans="1:14" x14ac:dyDescent="0.25">
      <c r="A454">
        <v>53.826267000000001</v>
      </c>
      <c r="B454" s="1">
        <f>DATE(2010,6,23) + TIME(19,49,49)</f>
        <v>40352.826261574075</v>
      </c>
      <c r="C454">
        <v>80</v>
      </c>
      <c r="D454">
        <v>79.945892334000007</v>
      </c>
      <c r="E454">
        <v>50</v>
      </c>
      <c r="F454">
        <v>14.999304771</v>
      </c>
      <c r="G454">
        <v>1340.2816161999999</v>
      </c>
      <c r="H454">
        <v>1337.8898925999999</v>
      </c>
      <c r="I454">
        <v>1321.5653076000001</v>
      </c>
      <c r="J454">
        <v>1317.5811768000001</v>
      </c>
      <c r="K454">
        <v>2400</v>
      </c>
      <c r="L454">
        <v>0</v>
      </c>
      <c r="M454">
        <v>0</v>
      </c>
      <c r="N454">
        <v>2400</v>
      </c>
    </row>
    <row r="455" spans="1:14" x14ac:dyDescent="0.25">
      <c r="A455">
        <v>54.222631</v>
      </c>
      <c r="B455" s="1">
        <f>DATE(2010,6,24) + TIME(5,20,35)</f>
        <v>40353.222627314812</v>
      </c>
      <c r="C455">
        <v>80</v>
      </c>
      <c r="D455">
        <v>79.945907593000001</v>
      </c>
      <c r="E455">
        <v>50</v>
      </c>
      <c r="F455">
        <v>14.999308586</v>
      </c>
      <c r="G455">
        <v>1340.2779541</v>
      </c>
      <c r="H455">
        <v>1337.8870850000001</v>
      </c>
      <c r="I455">
        <v>1321.5660399999999</v>
      </c>
      <c r="J455">
        <v>1317.5816649999999</v>
      </c>
      <c r="K455">
        <v>2400</v>
      </c>
      <c r="L455">
        <v>0</v>
      </c>
      <c r="M455">
        <v>0</v>
      </c>
      <c r="N455">
        <v>2400</v>
      </c>
    </row>
    <row r="456" spans="1:14" x14ac:dyDescent="0.25">
      <c r="A456">
        <v>54.619228</v>
      </c>
      <c r="B456" s="1">
        <f>DATE(2010,6,24) + TIME(14,51,41)</f>
        <v>40353.61922453704</v>
      </c>
      <c r="C456">
        <v>80</v>
      </c>
      <c r="D456">
        <v>79.945915221999996</v>
      </c>
      <c r="E456">
        <v>50</v>
      </c>
      <c r="F456">
        <v>14.999312400999999</v>
      </c>
      <c r="G456">
        <v>1340.2720947</v>
      </c>
      <c r="H456">
        <v>1337.8828125</v>
      </c>
      <c r="I456">
        <v>1321.5673827999999</v>
      </c>
      <c r="J456">
        <v>1317.5825195</v>
      </c>
      <c r="K456">
        <v>2400</v>
      </c>
      <c r="L456">
        <v>0</v>
      </c>
      <c r="M456">
        <v>0</v>
      </c>
      <c r="N456">
        <v>2400</v>
      </c>
    </row>
    <row r="457" spans="1:14" x14ac:dyDescent="0.25">
      <c r="A457">
        <v>55.020529000000003</v>
      </c>
      <c r="B457" s="1">
        <f>DATE(2010,6,25) + TIME(0,29,33)</f>
        <v>40354.020520833335</v>
      </c>
      <c r="C457">
        <v>80</v>
      </c>
      <c r="D457">
        <v>79.945915221999996</v>
      </c>
      <c r="E457">
        <v>50</v>
      </c>
      <c r="F457">
        <v>14.999316216</v>
      </c>
      <c r="G457">
        <v>1340.2659911999999</v>
      </c>
      <c r="H457">
        <v>1337.8782959</v>
      </c>
      <c r="I457">
        <v>1321.5688477000001</v>
      </c>
      <c r="J457">
        <v>1317.5836182</v>
      </c>
      <c r="K457">
        <v>2400</v>
      </c>
      <c r="L457">
        <v>0</v>
      </c>
      <c r="M457">
        <v>0</v>
      </c>
      <c r="N457">
        <v>2400</v>
      </c>
    </row>
    <row r="458" spans="1:14" x14ac:dyDescent="0.25">
      <c r="A458">
        <v>55.427492000000001</v>
      </c>
      <c r="B458" s="1">
        <f>DATE(2010,6,25) + TIME(10,15,35)</f>
        <v>40354.427488425928</v>
      </c>
      <c r="C458">
        <v>80</v>
      </c>
      <c r="D458">
        <v>79.945922851999995</v>
      </c>
      <c r="E458">
        <v>50</v>
      </c>
      <c r="F458">
        <v>14.999320984000001</v>
      </c>
      <c r="G458">
        <v>1340.2598877</v>
      </c>
      <c r="H458">
        <v>1337.8736572</v>
      </c>
      <c r="I458">
        <v>1321.5703125</v>
      </c>
      <c r="J458">
        <v>1317.5845947</v>
      </c>
      <c r="K458">
        <v>2400</v>
      </c>
      <c r="L458">
        <v>0</v>
      </c>
      <c r="M458">
        <v>0</v>
      </c>
      <c r="N458">
        <v>2400</v>
      </c>
    </row>
    <row r="459" spans="1:14" x14ac:dyDescent="0.25">
      <c r="A459">
        <v>55.841135000000001</v>
      </c>
      <c r="B459" s="1">
        <f>DATE(2010,6,25) + TIME(20,11,14)</f>
        <v>40354.841134259259</v>
      </c>
      <c r="C459">
        <v>80</v>
      </c>
      <c r="D459">
        <v>79.945930481000005</v>
      </c>
      <c r="E459">
        <v>50</v>
      </c>
      <c r="F459">
        <v>14.999325752000001</v>
      </c>
      <c r="G459">
        <v>1340.2536620999999</v>
      </c>
      <c r="H459">
        <v>1337.8690185999999</v>
      </c>
      <c r="I459">
        <v>1321.5717772999999</v>
      </c>
      <c r="J459">
        <v>1317.5856934000001</v>
      </c>
      <c r="K459">
        <v>2400</v>
      </c>
      <c r="L459">
        <v>0</v>
      </c>
      <c r="M459">
        <v>0</v>
      </c>
      <c r="N459">
        <v>2400</v>
      </c>
    </row>
    <row r="460" spans="1:14" x14ac:dyDescent="0.25">
      <c r="A460">
        <v>56.262546999999998</v>
      </c>
      <c r="B460" s="1">
        <f>DATE(2010,6,26) + TIME(6,18,4)</f>
        <v>40355.262546296297</v>
      </c>
      <c r="C460">
        <v>80</v>
      </c>
      <c r="D460">
        <v>79.945930481000005</v>
      </c>
      <c r="E460">
        <v>50</v>
      </c>
      <c r="F460">
        <v>14.999330520999999</v>
      </c>
      <c r="G460">
        <v>1340.2473144999999</v>
      </c>
      <c r="H460">
        <v>1337.8643798999999</v>
      </c>
      <c r="I460">
        <v>1321.5732422000001</v>
      </c>
      <c r="J460">
        <v>1317.5867920000001</v>
      </c>
      <c r="K460">
        <v>2400</v>
      </c>
      <c r="L460">
        <v>0</v>
      </c>
      <c r="M460">
        <v>0</v>
      </c>
      <c r="N460">
        <v>2400</v>
      </c>
    </row>
    <row r="461" spans="1:14" x14ac:dyDescent="0.25">
      <c r="A461">
        <v>56.475144999999998</v>
      </c>
      <c r="B461" s="1">
        <f>DATE(2010,6,26) + TIME(11,24,12)</f>
        <v>40355.475138888891</v>
      </c>
      <c r="C461">
        <v>80</v>
      </c>
      <c r="D461">
        <v>79.945922851999995</v>
      </c>
      <c r="E461">
        <v>50</v>
      </c>
      <c r="F461">
        <v>14.999334335</v>
      </c>
      <c r="G461">
        <v>1340.2418213000001</v>
      </c>
      <c r="H461">
        <v>1337.8603516000001</v>
      </c>
      <c r="I461">
        <v>1321.574707</v>
      </c>
      <c r="J461">
        <v>1317.5877685999999</v>
      </c>
      <c r="K461">
        <v>2400</v>
      </c>
      <c r="L461">
        <v>0</v>
      </c>
      <c r="M461">
        <v>0</v>
      </c>
      <c r="N461">
        <v>2400</v>
      </c>
    </row>
    <row r="462" spans="1:14" x14ac:dyDescent="0.25">
      <c r="A462">
        <v>56.687744000000002</v>
      </c>
      <c r="B462" s="1">
        <f>DATE(2010,6,26) + TIME(16,30,21)</f>
        <v>40355.687743055554</v>
      </c>
      <c r="C462">
        <v>80</v>
      </c>
      <c r="D462">
        <v>79.945922851999995</v>
      </c>
      <c r="E462">
        <v>50</v>
      </c>
      <c r="F462">
        <v>14.999337196000001</v>
      </c>
      <c r="G462">
        <v>1340.2381591999999</v>
      </c>
      <c r="H462">
        <v>1337.8575439000001</v>
      </c>
      <c r="I462">
        <v>1321.5756836</v>
      </c>
      <c r="J462">
        <v>1317.5883789</v>
      </c>
      <c r="K462">
        <v>2400</v>
      </c>
      <c r="L462">
        <v>0</v>
      </c>
      <c r="M462">
        <v>0</v>
      </c>
      <c r="N462">
        <v>2400</v>
      </c>
    </row>
    <row r="463" spans="1:14" x14ac:dyDescent="0.25">
      <c r="A463">
        <v>56.900284999999997</v>
      </c>
      <c r="B463" s="1">
        <f>DATE(2010,6,26) + TIME(21,36,24)</f>
        <v>40355.900277777779</v>
      </c>
      <c r="C463">
        <v>80</v>
      </c>
      <c r="D463">
        <v>79.945922851999995</v>
      </c>
      <c r="E463">
        <v>50</v>
      </c>
      <c r="F463">
        <v>14.999340057</v>
      </c>
      <c r="G463">
        <v>1340.2347411999999</v>
      </c>
      <c r="H463">
        <v>1337.8549805</v>
      </c>
      <c r="I463">
        <v>1321.5764160000001</v>
      </c>
      <c r="J463">
        <v>1317.5889893000001</v>
      </c>
      <c r="K463">
        <v>2400</v>
      </c>
      <c r="L463">
        <v>0</v>
      </c>
      <c r="M463">
        <v>0</v>
      </c>
      <c r="N463">
        <v>2400</v>
      </c>
    </row>
    <row r="464" spans="1:14" x14ac:dyDescent="0.25">
      <c r="A464">
        <v>57.112215999999997</v>
      </c>
      <c r="B464" s="1">
        <f>DATE(2010,6,27) + TIME(2,41,35)</f>
        <v>40356.112210648149</v>
      </c>
      <c r="C464">
        <v>80</v>
      </c>
      <c r="D464">
        <v>79.945930481000005</v>
      </c>
      <c r="E464">
        <v>50</v>
      </c>
      <c r="F464">
        <v>14.999343872000001</v>
      </c>
      <c r="G464">
        <v>1340.2315673999999</v>
      </c>
      <c r="H464">
        <v>1337.8525391000001</v>
      </c>
      <c r="I464">
        <v>1321.5772704999999</v>
      </c>
      <c r="J464">
        <v>1317.5895995999999</v>
      </c>
      <c r="K464">
        <v>2400</v>
      </c>
      <c r="L464">
        <v>0</v>
      </c>
      <c r="M464">
        <v>0</v>
      </c>
      <c r="N464">
        <v>2400</v>
      </c>
    </row>
    <row r="465" spans="1:14" x14ac:dyDescent="0.25">
      <c r="A465">
        <v>57.323670999999997</v>
      </c>
      <c r="B465" s="1">
        <f>DATE(2010,6,27) + TIME(7,46,5)</f>
        <v>40356.32366898148</v>
      </c>
      <c r="C465">
        <v>80</v>
      </c>
      <c r="D465">
        <v>79.945930481000005</v>
      </c>
      <c r="E465">
        <v>50</v>
      </c>
      <c r="F465">
        <v>14.999346732999999</v>
      </c>
      <c r="G465">
        <v>1340.2283935999999</v>
      </c>
      <c r="H465">
        <v>1337.8502197</v>
      </c>
      <c r="I465">
        <v>1321.5780029</v>
      </c>
      <c r="J465">
        <v>1317.5900879000001</v>
      </c>
      <c r="K465">
        <v>2400</v>
      </c>
      <c r="L465">
        <v>0</v>
      </c>
      <c r="M465">
        <v>0</v>
      </c>
      <c r="N465">
        <v>2400</v>
      </c>
    </row>
    <row r="466" spans="1:14" x14ac:dyDescent="0.25">
      <c r="A466">
        <v>57.534785999999997</v>
      </c>
      <c r="B466" s="1">
        <f>DATE(2010,6,27) + TIME(12,50,5)</f>
        <v>40356.534780092596</v>
      </c>
      <c r="C466">
        <v>80</v>
      </c>
      <c r="D466">
        <v>79.945930481000005</v>
      </c>
      <c r="E466">
        <v>50</v>
      </c>
      <c r="F466">
        <v>14.999349594</v>
      </c>
      <c r="G466">
        <v>1340.2252197</v>
      </c>
      <c r="H466">
        <v>1337.8477783000001</v>
      </c>
      <c r="I466">
        <v>1321.5788574000001</v>
      </c>
      <c r="J466">
        <v>1317.5906981999999</v>
      </c>
      <c r="K466">
        <v>2400</v>
      </c>
      <c r="L466">
        <v>0</v>
      </c>
      <c r="M466">
        <v>0</v>
      </c>
      <c r="N466">
        <v>2400</v>
      </c>
    </row>
    <row r="467" spans="1:14" x14ac:dyDescent="0.25">
      <c r="A467">
        <v>57.745694999999998</v>
      </c>
      <c r="B467" s="1">
        <f>DATE(2010,6,27) + TIME(17,53,48)</f>
        <v>40356.745694444442</v>
      </c>
      <c r="C467">
        <v>80</v>
      </c>
      <c r="D467">
        <v>79.94593811</v>
      </c>
      <c r="E467">
        <v>50</v>
      </c>
      <c r="F467">
        <v>14.999353408999999</v>
      </c>
      <c r="G467">
        <v>1340.2220459</v>
      </c>
      <c r="H467">
        <v>1337.8454589999999</v>
      </c>
      <c r="I467">
        <v>1321.5795897999999</v>
      </c>
      <c r="J467">
        <v>1317.5911865</v>
      </c>
      <c r="K467">
        <v>2400</v>
      </c>
      <c r="L467">
        <v>0</v>
      </c>
      <c r="M467">
        <v>0</v>
      </c>
      <c r="N467">
        <v>2400</v>
      </c>
    </row>
    <row r="468" spans="1:14" x14ac:dyDescent="0.25">
      <c r="A468">
        <v>57.956527999999999</v>
      </c>
      <c r="B468" s="1">
        <f>DATE(2010,6,27) + TIME(22,57,23)</f>
        <v>40356.956516203703</v>
      </c>
      <c r="C468">
        <v>80</v>
      </c>
      <c r="D468">
        <v>79.94593811</v>
      </c>
      <c r="E468">
        <v>50</v>
      </c>
      <c r="F468">
        <v>14.99935627</v>
      </c>
      <c r="G468">
        <v>1340.2189940999999</v>
      </c>
      <c r="H468">
        <v>1337.8431396000001</v>
      </c>
      <c r="I468">
        <v>1321.5804443</v>
      </c>
      <c r="J468">
        <v>1317.5917969</v>
      </c>
      <c r="K468">
        <v>2400</v>
      </c>
      <c r="L468">
        <v>0</v>
      </c>
      <c r="M468">
        <v>0</v>
      </c>
      <c r="N468">
        <v>2400</v>
      </c>
    </row>
    <row r="469" spans="1:14" x14ac:dyDescent="0.25">
      <c r="A469">
        <v>58.167361</v>
      </c>
      <c r="B469" s="1">
        <f>DATE(2010,6,28) + TIME(4,0,59)</f>
        <v>40357.167349537034</v>
      </c>
      <c r="C469">
        <v>80</v>
      </c>
      <c r="D469">
        <v>79.94593811</v>
      </c>
      <c r="E469">
        <v>50</v>
      </c>
      <c r="F469">
        <v>14.999359131</v>
      </c>
      <c r="G469">
        <v>1340.2159423999999</v>
      </c>
      <c r="H469">
        <v>1337.8408202999999</v>
      </c>
      <c r="I469">
        <v>1321.5811768000001</v>
      </c>
      <c r="J469">
        <v>1317.5922852000001</v>
      </c>
      <c r="K469">
        <v>2400</v>
      </c>
      <c r="L469">
        <v>0</v>
      </c>
      <c r="M469">
        <v>0</v>
      </c>
      <c r="N469">
        <v>2400</v>
      </c>
    </row>
    <row r="470" spans="1:14" x14ac:dyDescent="0.25">
      <c r="A470">
        <v>58.378194000000001</v>
      </c>
      <c r="B470" s="1">
        <f>DATE(2010,6,28) + TIME(9,4,35)</f>
        <v>40357.378182870372</v>
      </c>
      <c r="C470">
        <v>80</v>
      </c>
      <c r="D470">
        <v>79.945945739999999</v>
      </c>
      <c r="E470">
        <v>50</v>
      </c>
      <c r="F470">
        <v>14.999362946</v>
      </c>
      <c r="G470">
        <v>1340.2127685999999</v>
      </c>
      <c r="H470">
        <v>1337.838501</v>
      </c>
      <c r="I470">
        <v>1321.5820312000001</v>
      </c>
      <c r="J470">
        <v>1317.5928954999999</v>
      </c>
      <c r="K470">
        <v>2400</v>
      </c>
      <c r="L470">
        <v>0</v>
      </c>
      <c r="M470">
        <v>0</v>
      </c>
      <c r="N470">
        <v>2400</v>
      </c>
    </row>
    <row r="471" spans="1:14" x14ac:dyDescent="0.25">
      <c r="A471">
        <v>58.589027000000002</v>
      </c>
      <c r="B471" s="1">
        <f>DATE(2010,6,28) + TIME(14,8,11)</f>
        <v>40357.589016203703</v>
      </c>
      <c r="C471">
        <v>80</v>
      </c>
      <c r="D471">
        <v>79.945945739999999</v>
      </c>
      <c r="E471">
        <v>50</v>
      </c>
      <c r="F471">
        <v>14.999366759999999</v>
      </c>
      <c r="G471">
        <v>1340.2097168</v>
      </c>
      <c r="H471">
        <v>1337.8361815999999</v>
      </c>
      <c r="I471">
        <v>1321.5828856999999</v>
      </c>
      <c r="J471">
        <v>1317.5933838000001</v>
      </c>
      <c r="K471">
        <v>2400</v>
      </c>
      <c r="L471">
        <v>0</v>
      </c>
      <c r="M471">
        <v>0</v>
      </c>
      <c r="N471">
        <v>2400</v>
      </c>
    </row>
    <row r="472" spans="1:14" x14ac:dyDescent="0.25">
      <c r="A472">
        <v>58.799860000000002</v>
      </c>
      <c r="B472" s="1">
        <f>DATE(2010,6,28) + TIME(19,11,47)</f>
        <v>40357.799849537034</v>
      </c>
      <c r="C472">
        <v>80</v>
      </c>
      <c r="D472">
        <v>79.945953368999994</v>
      </c>
      <c r="E472">
        <v>50</v>
      </c>
      <c r="F472">
        <v>14.999369621</v>
      </c>
      <c r="G472">
        <v>1340.2066649999999</v>
      </c>
      <c r="H472">
        <v>1337.8338623</v>
      </c>
      <c r="I472">
        <v>1321.5836182</v>
      </c>
      <c r="J472">
        <v>1317.5939940999999</v>
      </c>
      <c r="K472">
        <v>2400</v>
      </c>
      <c r="L472">
        <v>0</v>
      </c>
      <c r="M472">
        <v>0</v>
      </c>
      <c r="N472">
        <v>2400</v>
      </c>
    </row>
    <row r="473" spans="1:14" x14ac:dyDescent="0.25">
      <c r="A473">
        <v>59.010693000000003</v>
      </c>
      <c r="B473" s="1">
        <f>DATE(2010,6,29) + TIME(0,15,23)</f>
        <v>40358.010682870372</v>
      </c>
      <c r="C473">
        <v>80</v>
      </c>
      <c r="D473">
        <v>79.945953368999994</v>
      </c>
      <c r="E473">
        <v>50</v>
      </c>
      <c r="F473">
        <v>14.999373436000001</v>
      </c>
      <c r="G473">
        <v>1340.2037353999999</v>
      </c>
      <c r="H473">
        <v>1337.8316649999999</v>
      </c>
      <c r="I473">
        <v>1321.5844727000001</v>
      </c>
      <c r="J473">
        <v>1317.5946045000001</v>
      </c>
      <c r="K473">
        <v>2400</v>
      </c>
      <c r="L473">
        <v>0</v>
      </c>
      <c r="M473">
        <v>0</v>
      </c>
      <c r="N473">
        <v>2400</v>
      </c>
    </row>
    <row r="474" spans="1:14" x14ac:dyDescent="0.25">
      <c r="A474">
        <v>59.221525999999997</v>
      </c>
      <c r="B474" s="1">
        <f>DATE(2010,6,29) + TIME(5,18,59)</f>
        <v>40358.221516203703</v>
      </c>
      <c r="C474">
        <v>80</v>
      </c>
      <c r="D474">
        <v>79.945960998999993</v>
      </c>
      <c r="E474">
        <v>50</v>
      </c>
      <c r="F474">
        <v>14.999377251</v>
      </c>
      <c r="G474">
        <v>1340.2006836</v>
      </c>
      <c r="H474">
        <v>1337.8293457</v>
      </c>
      <c r="I474">
        <v>1321.5853271000001</v>
      </c>
      <c r="J474">
        <v>1317.5950928</v>
      </c>
      <c r="K474">
        <v>2400</v>
      </c>
      <c r="L474">
        <v>0</v>
      </c>
      <c r="M474">
        <v>0</v>
      </c>
      <c r="N474">
        <v>2400</v>
      </c>
    </row>
    <row r="475" spans="1:14" x14ac:dyDescent="0.25">
      <c r="A475">
        <v>59.643191999999999</v>
      </c>
      <c r="B475" s="1">
        <f>DATE(2010,6,29) + TIME(15,26,11)</f>
        <v>40358.643182870372</v>
      </c>
      <c r="C475">
        <v>80</v>
      </c>
      <c r="D475">
        <v>79.945976256999998</v>
      </c>
      <c r="E475">
        <v>50</v>
      </c>
      <c r="F475">
        <v>14.999383926</v>
      </c>
      <c r="G475">
        <v>1340.1971435999999</v>
      </c>
      <c r="H475">
        <v>1337.8266602000001</v>
      </c>
      <c r="I475">
        <v>1321.5861815999999</v>
      </c>
      <c r="J475">
        <v>1317.5957031</v>
      </c>
      <c r="K475">
        <v>2400</v>
      </c>
      <c r="L475">
        <v>0</v>
      </c>
      <c r="M475">
        <v>0</v>
      </c>
      <c r="N475">
        <v>2400</v>
      </c>
    </row>
    <row r="476" spans="1:14" x14ac:dyDescent="0.25">
      <c r="A476">
        <v>60.065876000000003</v>
      </c>
      <c r="B476" s="1">
        <f>DATE(2010,6,30) + TIME(1,34,51)</f>
        <v>40359.065868055557</v>
      </c>
      <c r="C476">
        <v>80</v>
      </c>
      <c r="D476">
        <v>79.945991516000007</v>
      </c>
      <c r="E476">
        <v>50</v>
      </c>
      <c r="F476">
        <v>14.999391556000001</v>
      </c>
      <c r="G476">
        <v>1340.1915283000001</v>
      </c>
      <c r="H476">
        <v>1337.8223877</v>
      </c>
      <c r="I476">
        <v>1321.5877685999999</v>
      </c>
      <c r="J476">
        <v>1317.5968018000001</v>
      </c>
      <c r="K476">
        <v>2400</v>
      </c>
      <c r="L476">
        <v>0</v>
      </c>
      <c r="M476">
        <v>0</v>
      </c>
      <c r="N476">
        <v>2400</v>
      </c>
    </row>
    <row r="477" spans="1:14" x14ac:dyDescent="0.25">
      <c r="A477">
        <v>60.493707000000001</v>
      </c>
      <c r="B477" s="1">
        <f>DATE(2010,6,30) + TIME(11,50,56)</f>
        <v>40359.493703703702</v>
      </c>
      <c r="C477">
        <v>80</v>
      </c>
      <c r="D477">
        <v>79.945999146000005</v>
      </c>
      <c r="E477">
        <v>50</v>
      </c>
      <c r="F477">
        <v>14.999399185</v>
      </c>
      <c r="G477">
        <v>1340.1856689000001</v>
      </c>
      <c r="H477">
        <v>1337.8181152</v>
      </c>
      <c r="I477">
        <v>1321.5894774999999</v>
      </c>
      <c r="J477">
        <v>1317.5980225000001</v>
      </c>
      <c r="K477">
        <v>2400</v>
      </c>
      <c r="L477">
        <v>0</v>
      </c>
      <c r="M477">
        <v>0</v>
      </c>
      <c r="N477">
        <v>2400</v>
      </c>
    </row>
    <row r="478" spans="1:14" x14ac:dyDescent="0.25">
      <c r="A478">
        <v>60.927754</v>
      </c>
      <c r="B478" s="1">
        <f>DATE(2010,6,30) + TIME(22,15,57)</f>
        <v>40359.927743055552</v>
      </c>
      <c r="C478">
        <v>80</v>
      </c>
      <c r="D478">
        <v>79.946006775000001</v>
      </c>
      <c r="E478">
        <v>50</v>
      </c>
      <c r="F478">
        <v>14.999408722</v>
      </c>
      <c r="G478">
        <v>1340.1796875</v>
      </c>
      <c r="H478">
        <v>1337.8135986</v>
      </c>
      <c r="I478">
        <v>1321.5911865</v>
      </c>
      <c r="J478">
        <v>1317.5991211</v>
      </c>
      <c r="K478">
        <v>2400</v>
      </c>
      <c r="L478">
        <v>0</v>
      </c>
      <c r="M478">
        <v>0</v>
      </c>
      <c r="N478">
        <v>2400</v>
      </c>
    </row>
    <row r="479" spans="1:14" x14ac:dyDescent="0.25">
      <c r="A479">
        <v>61</v>
      </c>
      <c r="B479" s="1">
        <f>DATE(2010,7,1) + TIME(0,0,0)</f>
        <v>40360</v>
      </c>
      <c r="C479">
        <v>80</v>
      </c>
      <c r="D479">
        <v>79.945999146000005</v>
      </c>
      <c r="E479">
        <v>50</v>
      </c>
      <c r="F479">
        <v>14.999411583000001</v>
      </c>
      <c r="G479">
        <v>1340.1760254000001</v>
      </c>
      <c r="H479">
        <v>1337.8111572</v>
      </c>
      <c r="I479">
        <v>1321.5922852000001</v>
      </c>
      <c r="J479">
        <v>1317.5998535000001</v>
      </c>
      <c r="K479">
        <v>2400</v>
      </c>
      <c r="L479">
        <v>0</v>
      </c>
      <c r="M479">
        <v>0</v>
      </c>
      <c r="N479">
        <v>2400</v>
      </c>
    </row>
    <row r="480" spans="1:14" x14ac:dyDescent="0.25">
      <c r="A480">
        <v>61.441395</v>
      </c>
      <c r="B480" s="1">
        <f>DATE(2010,7,1) + TIME(10,35,36)</f>
        <v>40360.441388888888</v>
      </c>
      <c r="C480">
        <v>80</v>
      </c>
      <c r="D480">
        <v>79.946014403999996</v>
      </c>
      <c r="E480">
        <v>50</v>
      </c>
      <c r="F480">
        <v>14.999422073</v>
      </c>
      <c r="G480">
        <v>1340.1723632999999</v>
      </c>
      <c r="H480">
        <v>1337.8081055</v>
      </c>
      <c r="I480">
        <v>1321.5933838000001</v>
      </c>
      <c r="J480">
        <v>1317.6007079999999</v>
      </c>
      <c r="K480">
        <v>2400</v>
      </c>
      <c r="L480">
        <v>0</v>
      </c>
      <c r="M480">
        <v>0</v>
      </c>
      <c r="N480">
        <v>2400</v>
      </c>
    </row>
    <row r="481" spans="1:14" x14ac:dyDescent="0.25">
      <c r="A481">
        <v>61.890700000000002</v>
      </c>
      <c r="B481" s="1">
        <f>DATE(2010,7,1) + TIME(21,22,36)</f>
        <v>40360.890694444446</v>
      </c>
      <c r="C481">
        <v>80</v>
      </c>
      <c r="D481">
        <v>79.946029663000004</v>
      </c>
      <c r="E481">
        <v>50</v>
      </c>
      <c r="F481">
        <v>14.999433517</v>
      </c>
      <c r="G481">
        <v>1340.166626</v>
      </c>
      <c r="H481">
        <v>1337.8037108999999</v>
      </c>
      <c r="I481">
        <v>1321.5950928</v>
      </c>
      <c r="J481">
        <v>1317.6018065999999</v>
      </c>
      <c r="K481">
        <v>2400</v>
      </c>
      <c r="L481">
        <v>0</v>
      </c>
      <c r="M481">
        <v>0</v>
      </c>
      <c r="N481">
        <v>2400</v>
      </c>
    </row>
    <row r="482" spans="1:14" x14ac:dyDescent="0.25">
      <c r="A482">
        <v>62.117252000000001</v>
      </c>
      <c r="B482" s="1">
        <f>DATE(2010,7,2) + TIME(2,48,50)</f>
        <v>40361.117245370369</v>
      </c>
      <c r="C482">
        <v>80</v>
      </c>
      <c r="D482">
        <v>79.946029663000004</v>
      </c>
      <c r="E482">
        <v>50</v>
      </c>
      <c r="F482">
        <v>14.999442101</v>
      </c>
      <c r="G482">
        <v>1340.1612548999999</v>
      </c>
      <c r="H482">
        <v>1337.7998047000001</v>
      </c>
      <c r="I482">
        <v>1321.5968018000001</v>
      </c>
      <c r="J482">
        <v>1317.6030272999999</v>
      </c>
      <c r="K482">
        <v>2400</v>
      </c>
      <c r="L482">
        <v>0</v>
      </c>
      <c r="M482">
        <v>0</v>
      </c>
      <c r="N482">
        <v>2400</v>
      </c>
    </row>
    <row r="483" spans="1:14" x14ac:dyDescent="0.25">
      <c r="A483">
        <v>62.343783000000002</v>
      </c>
      <c r="B483" s="1">
        <f>DATE(2010,7,2) + TIME(8,15,2)</f>
        <v>40361.343773148146</v>
      </c>
      <c r="C483">
        <v>80</v>
      </c>
      <c r="D483">
        <v>79.946029663000004</v>
      </c>
      <c r="E483">
        <v>50</v>
      </c>
      <c r="F483">
        <v>14.999450683999999</v>
      </c>
      <c r="G483">
        <v>1340.1577147999999</v>
      </c>
      <c r="H483">
        <v>1337.7971190999999</v>
      </c>
      <c r="I483">
        <v>1321.5979004000001</v>
      </c>
      <c r="J483">
        <v>1317.6037598</v>
      </c>
      <c r="K483">
        <v>2400</v>
      </c>
      <c r="L483">
        <v>0</v>
      </c>
      <c r="M483">
        <v>0</v>
      </c>
      <c r="N483">
        <v>2400</v>
      </c>
    </row>
    <row r="484" spans="1:14" x14ac:dyDescent="0.25">
      <c r="A484">
        <v>62.569623999999997</v>
      </c>
      <c r="B484" s="1">
        <f>DATE(2010,7,2) + TIME(13,40,15)</f>
        <v>40361.569618055553</v>
      </c>
      <c r="C484">
        <v>80</v>
      </c>
      <c r="D484">
        <v>79.946029663000004</v>
      </c>
      <c r="E484">
        <v>50</v>
      </c>
      <c r="F484">
        <v>14.999459267000001</v>
      </c>
      <c r="G484">
        <v>1340.1545410000001</v>
      </c>
      <c r="H484">
        <v>1337.7946777</v>
      </c>
      <c r="I484">
        <v>1321.5988769999999</v>
      </c>
      <c r="J484">
        <v>1317.6044922000001</v>
      </c>
      <c r="K484">
        <v>2400</v>
      </c>
      <c r="L484">
        <v>0</v>
      </c>
      <c r="M484">
        <v>0</v>
      </c>
      <c r="N484">
        <v>2400</v>
      </c>
    </row>
    <row r="485" spans="1:14" x14ac:dyDescent="0.25">
      <c r="A485">
        <v>62.794904000000002</v>
      </c>
      <c r="B485" s="1">
        <f>DATE(2010,7,2) + TIME(19,4,39)</f>
        <v>40361.794895833336</v>
      </c>
      <c r="C485">
        <v>80</v>
      </c>
      <c r="D485">
        <v>79.946037292</v>
      </c>
      <c r="E485">
        <v>50</v>
      </c>
      <c r="F485">
        <v>14.999468802999999</v>
      </c>
      <c r="G485">
        <v>1340.1514893000001</v>
      </c>
      <c r="H485">
        <v>1337.7922363</v>
      </c>
      <c r="I485">
        <v>1321.5998535000001</v>
      </c>
      <c r="J485">
        <v>1317.6051024999999</v>
      </c>
      <c r="K485">
        <v>2400</v>
      </c>
      <c r="L485">
        <v>0</v>
      </c>
      <c r="M485">
        <v>0</v>
      </c>
      <c r="N485">
        <v>2400</v>
      </c>
    </row>
    <row r="486" spans="1:14" x14ac:dyDescent="0.25">
      <c r="A486">
        <v>63.019770999999999</v>
      </c>
      <c r="B486" s="1">
        <f>DATE(2010,7,3) + TIME(0,28,28)</f>
        <v>40362.019768518519</v>
      </c>
      <c r="C486">
        <v>80</v>
      </c>
      <c r="D486">
        <v>79.946037292</v>
      </c>
      <c r="E486">
        <v>50</v>
      </c>
      <c r="F486">
        <v>14.99947834</v>
      </c>
      <c r="G486">
        <v>1340.1484375</v>
      </c>
      <c r="H486">
        <v>1337.7899170000001</v>
      </c>
      <c r="I486">
        <v>1321.6007079999999</v>
      </c>
      <c r="J486">
        <v>1317.6057129000001</v>
      </c>
      <c r="K486">
        <v>2400</v>
      </c>
      <c r="L486">
        <v>0</v>
      </c>
      <c r="M486">
        <v>0</v>
      </c>
      <c r="N486">
        <v>2400</v>
      </c>
    </row>
    <row r="487" spans="1:14" x14ac:dyDescent="0.25">
      <c r="A487">
        <v>63.244374000000001</v>
      </c>
      <c r="B487" s="1">
        <f>DATE(2010,7,3) + TIME(5,51,53)</f>
        <v>40362.244363425925</v>
      </c>
      <c r="C487">
        <v>80</v>
      </c>
      <c r="D487">
        <v>79.946044921999999</v>
      </c>
      <c r="E487">
        <v>50</v>
      </c>
      <c r="F487">
        <v>14.999487877</v>
      </c>
      <c r="G487">
        <v>1340.1453856999999</v>
      </c>
      <c r="H487">
        <v>1337.7875977000001</v>
      </c>
      <c r="I487">
        <v>1321.6016846</v>
      </c>
      <c r="J487">
        <v>1317.6063231999999</v>
      </c>
      <c r="K487">
        <v>2400</v>
      </c>
      <c r="L487">
        <v>0</v>
      </c>
      <c r="M487">
        <v>0</v>
      </c>
      <c r="N487">
        <v>2400</v>
      </c>
    </row>
    <row r="488" spans="1:14" x14ac:dyDescent="0.25">
      <c r="A488">
        <v>63.468859000000002</v>
      </c>
      <c r="B488" s="1">
        <f>DATE(2010,7,3) + TIME(11,15,9)</f>
        <v>40362.468854166669</v>
      </c>
      <c r="C488">
        <v>80</v>
      </c>
      <c r="D488">
        <v>79.946052550999994</v>
      </c>
      <c r="E488">
        <v>50</v>
      </c>
      <c r="F488">
        <v>14.999498366999999</v>
      </c>
      <c r="G488">
        <v>1340.1423339999999</v>
      </c>
      <c r="H488">
        <v>1337.7854004000001</v>
      </c>
      <c r="I488">
        <v>1321.6026611</v>
      </c>
      <c r="J488">
        <v>1317.6070557</v>
      </c>
      <c r="K488">
        <v>2400</v>
      </c>
      <c r="L488">
        <v>0</v>
      </c>
      <c r="M488">
        <v>0</v>
      </c>
      <c r="N488">
        <v>2400</v>
      </c>
    </row>
    <row r="489" spans="1:14" x14ac:dyDescent="0.25">
      <c r="A489">
        <v>63.693345000000001</v>
      </c>
      <c r="B489" s="1">
        <f>DATE(2010,7,3) + TIME(16,38,24)</f>
        <v>40362.693333333336</v>
      </c>
      <c r="C489">
        <v>80</v>
      </c>
      <c r="D489">
        <v>79.946052550999994</v>
      </c>
      <c r="E489">
        <v>50</v>
      </c>
      <c r="F489">
        <v>14.999509810999999</v>
      </c>
      <c r="G489">
        <v>1340.1394043</v>
      </c>
      <c r="H489">
        <v>1337.7830810999999</v>
      </c>
      <c r="I489">
        <v>1321.6036377</v>
      </c>
      <c r="J489">
        <v>1317.6076660000001</v>
      </c>
      <c r="K489">
        <v>2400</v>
      </c>
      <c r="L489">
        <v>0</v>
      </c>
      <c r="M489">
        <v>0</v>
      </c>
      <c r="N489">
        <v>2400</v>
      </c>
    </row>
    <row r="490" spans="1:14" x14ac:dyDescent="0.25">
      <c r="A490">
        <v>63.917830000000002</v>
      </c>
      <c r="B490" s="1">
        <f>DATE(2010,7,3) + TIME(22,1,40)</f>
        <v>40362.917824074073</v>
      </c>
      <c r="C490">
        <v>80</v>
      </c>
      <c r="D490">
        <v>79.946060181000007</v>
      </c>
      <c r="E490">
        <v>50</v>
      </c>
      <c r="F490">
        <v>14.999521254999999</v>
      </c>
      <c r="G490">
        <v>1340.1363524999999</v>
      </c>
      <c r="H490">
        <v>1337.7808838000001</v>
      </c>
      <c r="I490">
        <v>1321.6046143000001</v>
      </c>
      <c r="J490">
        <v>1317.6082764</v>
      </c>
      <c r="K490">
        <v>2400</v>
      </c>
      <c r="L490">
        <v>0</v>
      </c>
      <c r="M490">
        <v>0</v>
      </c>
      <c r="N490">
        <v>2400</v>
      </c>
    </row>
    <row r="491" spans="1:14" x14ac:dyDescent="0.25">
      <c r="A491">
        <v>64.142314999999996</v>
      </c>
      <c r="B491" s="1">
        <f>DATE(2010,7,4) + TIME(3,24,56)</f>
        <v>40363.142314814817</v>
      </c>
      <c r="C491">
        <v>80</v>
      </c>
      <c r="D491">
        <v>79.946067810000002</v>
      </c>
      <c r="E491">
        <v>50</v>
      </c>
      <c r="F491">
        <v>14.999533653</v>
      </c>
      <c r="G491">
        <v>1340.1334228999999</v>
      </c>
      <c r="H491">
        <v>1337.7785644999999</v>
      </c>
      <c r="I491">
        <v>1321.6055908000001</v>
      </c>
      <c r="J491">
        <v>1317.6090088000001</v>
      </c>
      <c r="K491">
        <v>2400</v>
      </c>
      <c r="L491">
        <v>0</v>
      </c>
      <c r="M491">
        <v>0</v>
      </c>
      <c r="N491">
        <v>2400</v>
      </c>
    </row>
    <row r="492" spans="1:14" x14ac:dyDescent="0.25">
      <c r="A492">
        <v>64.366800999999995</v>
      </c>
      <c r="B492" s="1">
        <f>DATE(2010,7,4) + TIME(8,48,11)</f>
        <v>40363.366793981484</v>
      </c>
      <c r="C492">
        <v>80</v>
      </c>
      <c r="D492">
        <v>79.946075438999998</v>
      </c>
      <c r="E492">
        <v>50</v>
      </c>
      <c r="F492">
        <v>14.999547005</v>
      </c>
      <c r="G492">
        <v>1340.1304932</v>
      </c>
      <c r="H492">
        <v>1337.7763672000001</v>
      </c>
      <c r="I492">
        <v>1321.6065673999999</v>
      </c>
      <c r="J492">
        <v>1317.6096190999999</v>
      </c>
      <c r="K492">
        <v>2400</v>
      </c>
      <c r="L492">
        <v>0</v>
      </c>
      <c r="M492">
        <v>0</v>
      </c>
      <c r="N492">
        <v>2400</v>
      </c>
    </row>
    <row r="493" spans="1:14" x14ac:dyDescent="0.25">
      <c r="A493">
        <v>64.591285999999997</v>
      </c>
      <c r="B493" s="1">
        <f>DATE(2010,7,4) + TIME(14,11,27)</f>
        <v>40363.591284722221</v>
      </c>
      <c r="C493">
        <v>80</v>
      </c>
      <c r="D493">
        <v>79.946075438999998</v>
      </c>
      <c r="E493">
        <v>50</v>
      </c>
      <c r="F493">
        <v>14.999561310000001</v>
      </c>
      <c r="G493">
        <v>1340.1275635</v>
      </c>
      <c r="H493">
        <v>1337.7741699000001</v>
      </c>
      <c r="I493">
        <v>1321.6075439000001</v>
      </c>
      <c r="J493">
        <v>1317.6102295000001</v>
      </c>
      <c r="K493">
        <v>2400</v>
      </c>
      <c r="L493">
        <v>0</v>
      </c>
      <c r="M493">
        <v>0</v>
      </c>
      <c r="N493">
        <v>2400</v>
      </c>
    </row>
    <row r="494" spans="1:14" x14ac:dyDescent="0.25">
      <c r="A494">
        <v>64.815770999999998</v>
      </c>
      <c r="B494" s="1">
        <f>DATE(2010,7,4) + TIME(19,34,42)</f>
        <v>40363.815763888888</v>
      </c>
      <c r="C494">
        <v>80</v>
      </c>
      <c r="D494">
        <v>79.946083068999997</v>
      </c>
      <c r="E494">
        <v>50</v>
      </c>
      <c r="F494">
        <v>14.999576569</v>
      </c>
      <c r="G494">
        <v>1340.1246338000001</v>
      </c>
      <c r="H494">
        <v>1337.7718506000001</v>
      </c>
      <c r="I494">
        <v>1321.6085204999999</v>
      </c>
      <c r="J494">
        <v>1317.6109618999999</v>
      </c>
      <c r="K494">
        <v>2400</v>
      </c>
      <c r="L494">
        <v>0</v>
      </c>
      <c r="M494">
        <v>0</v>
      </c>
      <c r="N494">
        <v>2400</v>
      </c>
    </row>
    <row r="495" spans="1:14" x14ac:dyDescent="0.25">
      <c r="A495">
        <v>65.264741999999998</v>
      </c>
      <c r="B495" s="1">
        <f>DATE(2010,7,5) + TIME(6,21,13)</f>
        <v>40364.264733796299</v>
      </c>
      <c r="C495">
        <v>80</v>
      </c>
      <c r="D495">
        <v>79.946105957</v>
      </c>
      <c r="E495">
        <v>50</v>
      </c>
      <c r="F495">
        <v>14.999602318000001</v>
      </c>
      <c r="G495">
        <v>1340.1212158000001</v>
      </c>
      <c r="H495">
        <v>1337.7691649999999</v>
      </c>
      <c r="I495">
        <v>1321.6094971</v>
      </c>
      <c r="J495">
        <v>1317.6116943</v>
      </c>
      <c r="K495">
        <v>2400</v>
      </c>
      <c r="L495">
        <v>0</v>
      </c>
      <c r="M495">
        <v>0</v>
      </c>
      <c r="N495">
        <v>2400</v>
      </c>
    </row>
    <row r="496" spans="1:14" x14ac:dyDescent="0.25">
      <c r="A496">
        <v>65.714523999999997</v>
      </c>
      <c r="B496" s="1">
        <f>DATE(2010,7,5) + TIME(17,8,54)</f>
        <v>40364.714513888888</v>
      </c>
      <c r="C496">
        <v>80</v>
      </c>
      <c r="D496">
        <v>79.946121215999995</v>
      </c>
      <c r="E496">
        <v>50</v>
      </c>
      <c r="F496">
        <v>14.999634743</v>
      </c>
      <c r="G496">
        <v>1340.1158447</v>
      </c>
      <c r="H496">
        <v>1337.7651367000001</v>
      </c>
      <c r="I496">
        <v>1321.6114502</v>
      </c>
      <c r="J496">
        <v>1317.6129149999999</v>
      </c>
      <c r="K496">
        <v>2400</v>
      </c>
      <c r="L496">
        <v>0</v>
      </c>
      <c r="M496">
        <v>0</v>
      </c>
      <c r="N496">
        <v>2400</v>
      </c>
    </row>
    <row r="497" spans="1:14" x14ac:dyDescent="0.25">
      <c r="A497">
        <v>66.169649000000007</v>
      </c>
      <c r="B497" s="1">
        <f>DATE(2010,7,6) + TIME(4,4,17)</f>
        <v>40365.169641203705</v>
      </c>
      <c r="C497">
        <v>80</v>
      </c>
      <c r="D497">
        <v>79.946136475000003</v>
      </c>
      <c r="E497">
        <v>50</v>
      </c>
      <c r="F497">
        <v>14.999672889999999</v>
      </c>
      <c r="G497">
        <v>1340.1101074000001</v>
      </c>
      <c r="H497">
        <v>1337.7608643000001</v>
      </c>
      <c r="I497">
        <v>1321.6135254000001</v>
      </c>
      <c r="J497">
        <v>1317.6142577999999</v>
      </c>
      <c r="K497">
        <v>2400</v>
      </c>
      <c r="L497">
        <v>0</v>
      </c>
      <c r="M497">
        <v>0</v>
      </c>
      <c r="N497">
        <v>2400</v>
      </c>
    </row>
    <row r="498" spans="1:14" x14ac:dyDescent="0.25">
      <c r="A498">
        <v>66.631264000000002</v>
      </c>
      <c r="B498" s="1">
        <f>DATE(2010,7,6) + TIME(15,9,1)</f>
        <v>40365.631261574075</v>
      </c>
      <c r="C498">
        <v>80</v>
      </c>
      <c r="D498">
        <v>79.946151732999994</v>
      </c>
      <c r="E498">
        <v>50</v>
      </c>
      <c r="F498">
        <v>14.999716759</v>
      </c>
      <c r="G498">
        <v>1340.1043701000001</v>
      </c>
      <c r="H498">
        <v>1337.7565918</v>
      </c>
      <c r="I498">
        <v>1321.6156006000001</v>
      </c>
      <c r="J498">
        <v>1317.6157227000001</v>
      </c>
      <c r="K498">
        <v>2400</v>
      </c>
      <c r="L498">
        <v>0</v>
      </c>
      <c r="M498">
        <v>0</v>
      </c>
      <c r="N498">
        <v>2400</v>
      </c>
    </row>
    <row r="499" spans="1:14" x14ac:dyDescent="0.25">
      <c r="A499">
        <v>67.100581000000005</v>
      </c>
      <c r="B499" s="1">
        <f>DATE(2010,7,7) + TIME(2,24,50)</f>
        <v>40366.100578703707</v>
      </c>
      <c r="C499">
        <v>80</v>
      </c>
      <c r="D499">
        <v>79.946159363000007</v>
      </c>
      <c r="E499">
        <v>50</v>
      </c>
      <c r="F499">
        <v>14.999769211</v>
      </c>
      <c r="G499">
        <v>1340.0986327999999</v>
      </c>
      <c r="H499">
        <v>1337.7521973</v>
      </c>
      <c r="I499">
        <v>1321.6176757999999</v>
      </c>
      <c r="J499">
        <v>1317.6170654</v>
      </c>
      <c r="K499">
        <v>2400</v>
      </c>
      <c r="L499">
        <v>0</v>
      </c>
      <c r="M499">
        <v>0</v>
      </c>
      <c r="N499">
        <v>2400</v>
      </c>
    </row>
    <row r="500" spans="1:14" x14ac:dyDescent="0.25">
      <c r="A500">
        <v>67.575761999999997</v>
      </c>
      <c r="B500" s="1">
        <f>DATE(2010,7,7) + TIME(13,49,5)</f>
        <v>40366.575752314813</v>
      </c>
      <c r="C500">
        <v>80</v>
      </c>
      <c r="D500">
        <v>79.946174622000001</v>
      </c>
      <c r="E500">
        <v>50</v>
      </c>
      <c r="F500">
        <v>14.999830246</v>
      </c>
      <c r="G500">
        <v>1340.0927733999999</v>
      </c>
      <c r="H500">
        <v>1337.7476807</v>
      </c>
      <c r="I500">
        <v>1321.6198730000001</v>
      </c>
      <c r="J500">
        <v>1317.6185303</v>
      </c>
      <c r="K500">
        <v>2400</v>
      </c>
      <c r="L500">
        <v>0</v>
      </c>
      <c r="M500">
        <v>0</v>
      </c>
      <c r="N500">
        <v>2400</v>
      </c>
    </row>
    <row r="501" spans="1:14" x14ac:dyDescent="0.25">
      <c r="A501">
        <v>67.816124000000002</v>
      </c>
      <c r="B501" s="1">
        <f>DATE(2010,7,7) + TIME(19,35,13)</f>
        <v>40366.816122685188</v>
      </c>
      <c r="C501">
        <v>80</v>
      </c>
      <c r="D501">
        <v>79.946174622000001</v>
      </c>
      <c r="E501">
        <v>50</v>
      </c>
      <c r="F501">
        <v>14.999874115000001</v>
      </c>
      <c r="G501">
        <v>1340.0876464999999</v>
      </c>
      <c r="H501">
        <v>1337.7440185999999</v>
      </c>
      <c r="I501">
        <v>1321.6219481999999</v>
      </c>
      <c r="J501">
        <v>1317.6198730000001</v>
      </c>
      <c r="K501">
        <v>2400</v>
      </c>
      <c r="L501">
        <v>0</v>
      </c>
      <c r="M501">
        <v>0</v>
      </c>
      <c r="N501">
        <v>2400</v>
      </c>
    </row>
    <row r="502" spans="1:14" x14ac:dyDescent="0.25">
      <c r="A502">
        <v>68.056486000000007</v>
      </c>
      <c r="B502" s="1">
        <f>DATE(2010,7,8) + TIME(1,21,20)</f>
        <v>40367.056481481479</v>
      </c>
      <c r="C502">
        <v>80</v>
      </c>
      <c r="D502">
        <v>79.946182250999996</v>
      </c>
      <c r="E502">
        <v>50</v>
      </c>
      <c r="F502">
        <v>14.999919890999999</v>
      </c>
      <c r="G502">
        <v>1340.0842285000001</v>
      </c>
      <c r="H502">
        <v>1337.7413329999999</v>
      </c>
      <c r="I502">
        <v>1321.6232910000001</v>
      </c>
      <c r="J502">
        <v>1317.6208495999999</v>
      </c>
      <c r="K502">
        <v>2400</v>
      </c>
      <c r="L502">
        <v>0</v>
      </c>
      <c r="M502">
        <v>0</v>
      </c>
      <c r="N502">
        <v>2400</v>
      </c>
    </row>
    <row r="503" spans="1:14" x14ac:dyDescent="0.25">
      <c r="A503">
        <v>68.296847999999997</v>
      </c>
      <c r="B503" s="1">
        <f>DATE(2010,7,8) + TIME(7,7,27)</f>
        <v>40367.296840277777</v>
      </c>
      <c r="C503">
        <v>80</v>
      </c>
      <c r="D503">
        <v>79.946182250999996</v>
      </c>
      <c r="E503">
        <v>50</v>
      </c>
      <c r="F503">
        <v>14.999966621</v>
      </c>
      <c r="G503">
        <v>1340.0811768000001</v>
      </c>
      <c r="H503">
        <v>1337.7388916</v>
      </c>
      <c r="I503">
        <v>1321.6245117000001</v>
      </c>
      <c r="J503">
        <v>1317.621582</v>
      </c>
      <c r="K503">
        <v>2400</v>
      </c>
      <c r="L503">
        <v>0</v>
      </c>
      <c r="M503">
        <v>0</v>
      </c>
      <c r="N503">
        <v>2400</v>
      </c>
    </row>
    <row r="504" spans="1:14" x14ac:dyDescent="0.25">
      <c r="A504">
        <v>68.536716999999996</v>
      </c>
      <c r="B504" s="1">
        <f>DATE(2010,7,8) + TIME(12,52,52)</f>
        <v>40367.536712962959</v>
      </c>
      <c r="C504">
        <v>80</v>
      </c>
      <c r="D504">
        <v>79.946189880000006</v>
      </c>
      <c r="E504">
        <v>50</v>
      </c>
      <c r="F504">
        <v>15.000016212</v>
      </c>
      <c r="G504">
        <v>1340.078125</v>
      </c>
      <c r="H504">
        <v>1337.7365723</v>
      </c>
      <c r="I504">
        <v>1321.6256103999999</v>
      </c>
      <c r="J504">
        <v>1317.6223144999999</v>
      </c>
      <c r="K504">
        <v>2400</v>
      </c>
      <c r="L504">
        <v>0</v>
      </c>
      <c r="M504">
        <v>0</v>
      </c>
      <c r="N504">
        <v>2400</v>
      </c>
    </row>
    <row r="505" spans="1:14" x14ac:dyDescent="0.25">
      <c r="A505">
        <v>68.776084999999995</v>
      </c>
      <c r="B505" s="1">
        <f>DATE(2010,7,8) + TIME(18,37,33)</f>
        <v>40367.776076388887</v>
      </c>
      <c r="C505">
        <v>80</v>
      </c>
      <c r="D505">
        <v>79.946197510000005</v>
      </c>
      <c r="E505">
        <v>50</v>
      </c>
      <c r="F505">
        <v>15.000068665000001</v>
      </c>
      <c r="G505">
        <v>1340.0751952999999</v>
      </c>
      <c r="H505">
        <v>1337.7342529</v>
      </c>
      <c r="I505">
        <v>1321.6268310999999</v>
      </c>
      <c r="J505">
        <v>1317.6231689000001</v>
      </c>
      <c r="K505">
        <v>2400</v>
      </c>
      <c r="L505">
        <v>0</v>
      </c>
      <c r="M505">
        <v>0</v>
      </c>
      <c r="N505">
        <v>2400</v>
      </c>
    </row>
    <row r="506" spans="1:14" x14ac:dyDescent="0.25">
      <c r="A506">
        <v>69.015119999999996</v>
      </c>
      <c r="B506" s="1">
        <f>DATE(2010,7,9) + TIME(0,21,46)</f>
        <v>40368.015115740738</v>
      </c>
      <c r="C506">
        <v>80</v>
      </c>
      <c r="D506">
        <v>79.946205139</v>
      </c>
      <c r="E506">
        <v>50</v>
      </c>
      <c r="F506">
        <v>15.000124931</v>
      </c>
      <c r="G506">
        <v>1340.0721435999999</v>
      </c>
      <c r="H506">
        <v>1337.7320557</v>
      </c>
      <c r="I506">
        <v>1321.6279297000001</v>
      </c>
      <c r="J506">
        <v>1317.6239014</v>
      </c>
      <c r="K506">
        <v>2400</v>
      </c>
      <c r="L506">
        <v>0</v>
      </c>
      <c r="M506">
        <v>0</v>
      </c>
      <c r="N506">
        <v>2400</v>
      </c>
    </row>
    <row r="507" spans="1:14" x14ac:dyDescent="0.25">
      <c r="A507">
        <v>69.253986999999995</v>
      </c>
      <c r="B507" s="1">
        <f>DATE(2010,7,9) + TIME(6,5,44)</f>
        <v>40368.253981481481</v>
      </c>
      <c r="C507">
        <v>80</v>
      </c>
      <c r="D507">
        <v>79.946212768999999</v>
      </c>
      <c r="E507">
        <v>50</v>
      </c>
      <c r="F507">
        <v>15.000184059</v>
      </c>
      <c r="G507">
        <v>1340.0693358999999</v>
      </c>
      <c r="H507">
        <v>1337.7297363</v>
      </c>
      <c r="I507">
        <v>1321.6291504000001</v>
      </c>
      <c r="J507">
        <v>1317.6246338000001</v>
      </c>
      <c r="K507">
        <v>2400</v>
      </c>
      <c r="L507">
        <v>0</v>
      </c>
      <c r="M507">
        <v>0</v>
      </c>
      <c r="N507">
        <v>2400</v>
      </c>
    </row>
    <row r="508" spans="1:14" x14ac:dyDescent="0.25">
      <c r="A508">
        <v>69.492846999999998</v>
      </c>
      <c r="B508" s="1">
        <f>DATE(2010,7,9) + TIME(11,49,41)</f>
        <v>40368.492835648147</v>
      </c>
      <c r="C508">
        <v>80</v>
      </c>
      <c r="D508">
        <v>79.946220397999994</v>
      </c>
      <c r="E508">
        <v>50</v>
      </c>
      <c r="F508">
        <v>15.000247955000001</v>
      </c>
      <c r="G508">
        <v>1340.0664062000001</v>
      </c>
      <c r="H508">
        <v>1337.7275391000001</v>
      </c>
      <c r="I508">
        <v>1321.630249</v>
      </c>
      <c r="J508">
        <v>1317.6253661999999</v>
      </c>
      <c r="K508">
        <v>2400</v>
      </c>
      <c r="L508">
        <v>0</v>
      </c>
      <c r="M508">
        <v>0</v>
      </c>
      <c r="N508">
        <v>2400</v>
      </c>
    </row>
    <row r="509" spans="1:14" x14ac:dyDescent="0.25">
      <c r="A509">
        <v>69.731707</v>
      </c>
      <c r="B509" s="1">
        <f>DATE(2010,7,9) + TIME(17,33,39)</f>
        <v>40368.73170138889</v>
      </c>
      <c r="C509">
        <v>80</v>
      </c>
      <c r="D509">
        <v>79.946228027000004</v>
      </c>
      <c r="E509">
        <v>50</v>
      </c>
      <c r="F509">
        <v>15.00031662</v>
      </c>
      <c r="G509">
        <v>1340.0634766000001</v>
      </c>
      <c r="H509">
        <v>1337.7253418</v>
      </c>
      <c r="I509">
        <v>1321.6314697</v>
      </c>
      <c r="J509">
        <v>1317.6262207</v>
      </c>
      <c r="K509">
        <v>2400</v>
      </c>
      <c r="L509">
        <v>0</v>
      </c>
      <c r="M509">
        <v>0</v>
      </c>
      <c r="N509">
        <v>2400</v>
      </c>
    </row>
    <row r="510" spans="1:14" x14ac:dyDescent="0.25">
      <c r="A510">
        <v>69.970567000000003</v>
      </c>
      <c r="B510" s="1">
        <f>DATE(2010,7,9) + TIME(23,17,36)</f>
        <v>40368.970555555556</v>
      </c>
      <c r="C510">
        <v>80</v>
      </c>
      <c r="D510">
        <v>79.946235657000003</v>
      </c>
      <c r="E510">
        <v>50</v>
      </c>
      <c r="F510">
        <v>15.000389099</v>
      </c>
      <c r="G510">
        <v>1340.0606689000001</v>
      </c>
      <c r="H510">
        <v>1337.7231445</v>
      </c>
      <c r="I510">
        <v>1321.6326904</v>
      </c>
      <c r="J510">
        <v>1317.6269531</v>
      </c>
      <c r="K510">
        <v>2400</v>
      </c>
      <c r="L510">
        <v>0</v>
      </c>
      <c r="M510">
        <v>0</v>
      </c>
      <c r="N510">
        <v>2400</v>
      </c>
    </row>
    <row r="511" spans="1:14" x14ac:dyDescent="0.25">
      <c r="A511">
        <v>70.209427000000005</v>
      </c>
      <c r="B511" s="1">
        <f>DATE(2010,7,10) + TIME(5,1,34)</f>
        <v>40369.209421296298</v>
      </c>
      <c r="C511">
        <v>80</v>
      </c>
      <c r="D511">
        <v>79.946243285999998</v>
      </c>
      <c r="E511">
        <v>50</v>
      </c>
      <c r="F511">
        <v>15.0004673</v>
      </c>
      <c r="G511">
        <v>1340.0578613</v>
      </c>
      <c r="H511">
        <v>1337.7209473</v>
      </c>
      <c r="I511">
        <v>1321.6339111</v>
      </c>
      <c r="J511">
        <v>1317.6276855000001</v>
      </c>
      <c r="K511">
        <v>2400</v>
      </c>
      <c r="L511">
        <v>0</v>
      </c>
      <c r="M511">
        <v>0</v>
      </c>
      <c r="N511">
        <v>2400</v>
      </c>
    </row>
    <row r="512" spans="1:14" x14ac:dyDescent="0.25">
      <c r="A512">
        <v>70.448285999999996</v>
      </c>
      <c r="B512" s="1">
        <f>DATE(2010,7,10) + TIME(10,45,31)</f>
        <v>40369.448275462964</v>
      </c>
      <c r="C512">
        <v>80</v>
      </c>
      <c r="D512">
        <v>79.946250915999997</v>
      </c>
      <c r="E512">
        <v>50</v>
      </c>
      <c r="F512">
        <v>15.000551224000001</v>
      </c>
      <c r="G512">
        <v>1340.0549315999999</v>
      </c>
      <c r="H512">
        <v>1337.7188721</v>
      </c>
      <c r="I512">
        <v>1321.6350098</v>
      </c>
      <c r="J512">
        <v>1317.6285399999999</v>
      </c>
      <c r="K512">
        <v>2400</v>
      </c>
      <c r="L512">
        <v>0</v>
      </c>
      <c r="M512">
        <v>0</v>
      </c>
      <c r="N512">
        <v>2400</v>
      </c>
    </row>
    <row r="513" spans="1:14" x14ac:dyDescent="0.25">
      <c r="A513">
        <v>70.687145999999998</v>
      </c>
      <c r="B513" s="1">
        <f>DATE(2010,7,10) + TIME(16,29,29)</f>
        <v>40369.687141203707</v>
      </c>
      <c r="C513">
        <v>80</v>
      </c>
      <c r="D513">
        <v>79.946258545000006</v>
      </c>
      <c r="E513">
        <v>50</v>
      </c>
      <c r="F513">
        <v>15.000640869</v>
      </c>
      <c r="G513">
        <v>1340.052124</v>
      </c>
      <c r="H513">
        <v>1337.7166748</v>
      </c>
      <c r="I513">
        <v>1321.6362305</v>
      </c>
      <c r="J513">
        <v>1317.6292725000001</v>
      </c>
      <c r="K513">
        <v>2400</v>
      </c>
      <c r="L513">
        <v>0</v>
      </c>
      <c r="M513">
        <v>0</v>
      </c>
      <c r="N513">
        <v>2400</v>
      </c>
    </row>
    <row r="514" spans="1:14" x14ac:dyDescent="0.25">
      <c r="A514">
        <v>70.926006000000001</v>
      </c>
      <c r="B514" s="1">
        <f>DATE(2010,7,10) + TIME(22,13,26)</f>
        <v>40369.925995370373</v>
      </c>
      <c r="C514">
        <v>80</v>
      </c>
      <c r="D514">
        <v>79.946266174000002</v>
      </c>
      <c r="E514">
        <v>50</v>
      </c>
      <c r="F514">
        <v>15.000737190000001</v>
      </c>
      <c r="G514">
        <v>1340.0493164</v>
      </c>
      <c r="H514">
        <v>1337.7144774999999</v>
      </c>
      <c r="I514">
        <v>1321.6374512</v>
      </c>
      <c r="J514">
        <v>1317.6301269999999</v>
      </c>
      <c r="K514">
        <v>2400</v>
      </c>
      <c r="L514">
        <v>0</v>
      </c>
      <c r="M514">
        <v>0</v>
      </c>
      <c r="N514">
        <v>2400</v>
      </c>
    </row>
    <row r="515" spans="1:14" x14ac:dyDescent="0.25">
      <c r="A515">
        <v>71.403726000000006</v>
      </c>
      <c r="B515" s="1">
        <f>DATE(2010,7,11) + TIME(9,41,21)</f>
        <v>40370.403715277775</v>
      </c>
      <c r="C515">
        <v>80</v>
      </c>
      <c r="D515">
        <v>79.946296692000004</v>
      </c>
      <c r="E515">
        <v>50</v>
      </c>
      <c r="F515">
        <v>15.000905037000001</v>
      </c>
      <c r="G515">
        <v>1340.0460204999999</v>
      </c>
      <c r="H515">
        <v>1337.7119141000001</v>
      </c>
      <c r="I515">
        <v>1321.6387939000001</v>
      </c>
      <c r="J515">
        <v>1317.6309814000001</v>
      </c>
      <c r="K515">
        <v>2400</v>
      </c>
      <c r="L515">
        <v>0</v>
      </c>
      <c r="M515">
        <v>0</v>
      </c>
      <c r="N515">
        <v>2400</v>
      </c>
    </row>
    <row r="516" spans="1:14" x14ac:dyDescent="0.25">
      <c r="A516">
        <v>71.883070000000004</v>
      </c>
      <c r="B516" s="1">
        <f>DATE(2010,7,11) + TIME(21,11,37)</f>
        <v>40370.883067129631</v>
      </c>
      <c r="C516">
        <v>80</v>
      </c>
      <c r="D516">
        <v>79.946311950999998</v>
      </c>
      <c r="E516">
        <v>50</v>
      </c>
      <c r="F516">
        <v>15.001112938</v>
      </c>
      <c r="G516">
        <v>1340.0407714999999</v>
      </c>
      <c r="H516">
        <v>1337.7078856999999</v>
      </c>
      <c r="I516">
        <v>1321.6412353999999</v>
      </c>
      <c r="J516">
        <v>1317.6324463000001</v>
      </c>
      <c r="K516">
        <v>2400</v>
      </c>
      <c r="L516">
        <v>0</v>
      </c>
      <c r="M516">
        <v>0</v>
      </c>
      <c r="N516">
        <v>2400</v>
      </c>
    </row>
    <row r="517" spans="1:14" x14ac:dyDescent="0.25">
      <c r="A517">
        <v>72.368695000000002</v>
      </c>
      <c r="B517" s="1">
        <f>DATE(2010,7,12) + TIME(8,50,55)</f>
        <v>40371.368692129632</v>
      </c>
      <c r="C517">
        <v>80</v>
      </c>
      <c r="D517">
        <v>79.946327209000003</v>
      </c>
      <c r="E517">
        <v>50</v>
      </c>
      <c r="F517">
        <v>15.001360892999999</v>
      </c>
      <c r="G517">
        <v>1340.0354004000001</v>
      </c>
      <c r="H517">
        <v>1337.7037353999999</v>
      </c>
      <c r="I517">
        <v>1321.6437988</v>
      </c>
      <c r="J517">
        <v>1317.6341553</v>
      </c>
      <c r="K517">
        <v>2400</v>
      </c>
      <c r="L517">
        <v>0</v>
      </c>
      <c r="M517">
        <v>0</v>
      </c>
      <c r="N517">
        <v>2400</v>
      </c>
    </row>
    <row r="518" spans="1:14" x14ac:dyDescent="0.25">
      <c r="A518">
        <v>72.861844000000005</v>
      </c>
      <c r="B518" s="1">
        <f>DATE(2010,7,12) + TIME(20,41,3)</f>
        <v>40371.861840277779</v>
      </c>
      <c r="C518">
        <v>80</v>
      </c>
      <c r="D518">
        <v>79.946350097999996</v>
      </c>
      <c r="E518">
        <v>50</v>
      </c>
      <c r="F518">
        <v>15.001654625</v>
      </c>
      <c r="G518">
        <v>1340.0297852000001</v>
      </c>
      <c r="H518">
        <v>1337.6995850000001</v>
      </c>
      <c r="I518">
        <v>1321.6463623</v>
      </c>
      <c r="J518">
        <v>1317.6357422000001</v>
      </c>
      <c r="K518">
        <v>2400</v>
      </c>
      <c r="L518">
        <v>0</v>
      </c>
      <c r="M518">
        <v>0</v>
      </c>
      <c r="N518">
        <v>2400</v>
      </c>
    </row>
    <row r="519" spans="1:14" x14ac:dyDescent="0.25">
      <c r="A519">
        <v>73.363521000000006</v>
      </c>
      <c r="B519" s="1">
        <f>DATE(2010,7,13) + TIME(8,43,28)</f>
        <v>40372.363518518519</v>
      </c>
      <c r="C519">
        <v>80</v>
      </c>
      <c r="D519">
        <v>79.946365356000001</v>
      </c>
      <c r="E519">
        <v>50</v>
      </c>
      <c r="F519">
        <v>15.001999854999999</v>
      </c>
      <c r="G519">
        <v>1340.0241699000001</v>
      </c>
      <c r="H519">
        <v>1337.6951904</v>
      </c>
      <c r="I519">
        <v>1321.6490478999999</v>
      </c>
      <c r="J519">
        <v>1317.6375731999999</v>
      </c>
      <c r="K519">
        <v>2400</v>
      </c>
      <c r="L519">
        <v>0</v>
      </c>
      <c r="M519">
        <v>0</v>
      </c>
      <c r="N519">
        <v>2400</v>
      </c>
    </row>
    <row r="520" spans="1:14" x14ac:dyDescent="0.25">
      <c r="A520">
        <v>73.870232999999999</v>
      </c>
      <c r="B520" s="1">
        <f>DATE(2010,7,13) + TIME(20,53,8)</f>
        <v>40372.87023148148</v>
      </c>
      <c r="C520">
        <v>80</v>
      </c>
      <c r="D520">
        <v>79.946388244999994</v>
      </c>
      <c r="E520">
        <v>50</v>
      </c>
      <c r="F520">
        <v>15.002403258999999</v>
      </c>
      <c r="G520">
        <v>1340.0185547000001</v>
      </c>
      <c r="H520">
        <v>1337.690918</v>
      </c>
      <c r="I520">
        <v>1321.6518555</v>
      </c>
      <c r="J520">
        <v>1317.6392822</v>
      </c>
      <c r="K520">
        <v>2400</v>
      </c>
      <c r="L520">
        <v>0</v>
      </c>
      <c r="M520">
        <v>0</v>
      </c>
      <c r="N520">
        <v>2400</v>
      </c>
    </row>
    <row r="521" spans="1:14" x14ac:dyDescent="0.25">
      <c r="A521">
        <v>74.126063000000002</v>
      </c>
      <c r="B521" s="1">
        <f>DATE(2010,7,14) + TIME(3,1,31)</f>
        <v>40373.12605324074</v>
      </c>
      <c r="C521">
        <v>80</v>
      </c>
      <c r="D521">
        <v>79.946388244999994</v>
      </c>
      <c r="E521">
        <v>50</v>
      </c>
      <c r="F521">
        <v>15.00269413</v>
      </c>
      <c r="G521">
        <v>1340.0136719</v>
      </c>
      <c r="H521">
        <v>1337.6872559000001</v>
      </c>
      <c r="I521">
        <v>1321.6545410000001</v>
      </c>
      <c r="J521">
        <v>1317.6409911999999</v>
      </c>
      <c r="K521">
        <v>2400</v>
      </c>
      <c r="L521">
        <v>0</v>
      </c>
      <c r="M521">
        <v>0</v>
      </c>
      <c r="N521">
        <v>2400</v>
      </c>
    </row>
    <row r="522" spans="1:14" x14ac:dyDescent="0.25">
      <c r="A522">
        <v>74.381381000000005</v>
      </c>
      <c r="B522" s="1">
        <f>DATE(2010,7,14) + TIME(9,9,11)</f>
        <v>40373.381377314814</v>
      </c>
      <c r="C522">
        <v>80</v>
      </c>
      <c r="D522">
        <v>79.946388244999994</v>
      </c>
      <c r="E522">
        <v>50</v>
      </c>
      <c r="F522">
        <v>15.002993584</v>
      </c>
      <c r="G522">
        <v>1340.0102539</v>
      </c>
      <c r="H522">
        <v>1337.6846923999999</v>
      </c>
      <c r="I522">
        <v>1321.6561279</v>
      </c>
      <c r="J522">
        <v>1317.6420897999999</v>
      </c>
      <c r="K522">
        <v>2400</v>
      </c>
      <c r="L522">
        <v>0</v>
      </c>
      <c r="M522">
        <v>0</v>
      </c>
      <c r="N522">
        <v>2400</v>
      </c>
    </row>
    <row r="523" spans="1:14" x14ac:dyDescent="0.25">
      <c r="A523">
        <v>74.636055999999996</v>
      </c>
      <c r="B523" s="1">
        <f>DATE(2010,7,14) + TIME(15,15,55)</f>
        <v>40373.636053240742</v>
      </c>
      <c r="C523">
        <v>80</v>
      </c>
      <c r="D523">
        <v>79.946395874000004</v>
      </c>
      <c r="E523">
        <v>50</v>
      </c>
      <c r="F523">
        <v>15.003305435</v>
      </c>
      <c r="G523">
        <v>1340.0073242000001</v>
      </c>
      <c r="H523">
        <v>1337.682251</v>
      </c>
      <c r="I523">
        <v>1321.6577147999999</v>
      </c>
      <c r="J523">
        <v>1317.6429443</v>
      </c>
      <c r="K523">
        <v>2400</v>
      </c>
      <c r="L523">
        <v>0</v>
      </c>
      <c r="M523">
        <v>0</v>
      </c>
      <c r="N523">
        <v>2400</v>
      </c>
    </row>
    <row r="524" spans="1:14" x14ac:dyDescent="0.25">
      <c r="A524">
        <v>74.890247000000002</v>
      </c>
      <c r="B524" s="1">
        <f>DATE(2010,7,14) + TIME(21,21,57)</f>
        <v>40373.890243055554</v>
      </c>
      <c r="C524">
        <v>80</v>
      </c>
      <c r="D524">
        <v>79.946411132999998</v>
      </c>
      <c r="E524">
        <v>50</v>
      </c>
      <c r="F524">
        <v>15.003632545</v>
      </c>
      <c r="G524">
        <v>1340.0043945</v>
      </c>
      <c r="H524">
        <v>1337.6800536999999</v>
      </c>
      <c r="I524">
        <v>1321.6591797000001</v>
      </c>
      <c r="J524">
        <v>1317.6439209</v>
      </c>
      <c r="K524">
        <v>2400</v>
      </c>
      <c r="L524">
        <v>0</v>
      </c>
      <c r="M524">
        <v>0</v>
      </c>
      <c r="N524">
        <v>2400</v>
      </c>
    </row>
    <row r="525" spans="1:14" x14ac:dyDescent="0.25">
      <c r="A525">
        <v>75.144131000000002</v>
      </c>
      <c r="B525" s="1">
        <f>DATE(2010,7,15) + TIME(3,27,32)</f>
        <v>40374.144120370373</v>
      </c>
      <c r="C525">
        <v>80</v>
      </c>
      <c r="D525">
        <v>79.946418761999993</v>
      </c>
      <c r="E525">
        <v>50</v>
      </c>
      <c r="F525">
        <v>15.003977775999999</v>
      </c>
      <c r="G525">
        <v>1340.0015868999999</v>
      </c>
      <c r="H525">
        <v>1337.6778564000001</v>
      </c>
      <c r="I525">
        <v>1321.6606445</v>
      </c>
      <c r="J525">
        <v>1317.6448975000001</v>
      </c>
      <c r="K525">
        <v>2400</v>
      </c>
      <c r="L525">
        <v>0</v>
      </c>
      <c r="M525">
        <v>0</v>
      </c>
      <c r="N525">
        <v>2400</v>
      </c>
    </row>
    <row r="526" spans="1:14" x14ac:dyDescent="0.25">
      <c r="A526">
        <v>75.397885000000002</v>
      </c>
      <c r="B526" s="1">
        <f>DATE(2010,7,15) + TIME(9,32,57)</f>
        <v>40374.397881944446</v>
      </c>
      <c r="C526">
        <v>80</v>
      </c>
      <c r="D526">
        <v>79.946426392000006</v>
      </c>
      <c r="E526">
        <v>50</v>
      </c>
      <c r="F526">
        <v>15.004343033</v>
      </c>
      <c r="G526">
        <v>1339.9986572</v>
      </c>
      <c r="H526">
        <v>1337.6756591999999</v>
      </c>
      <c r="I526">
        <v>1321.6621094</v>
      </c>
      <c r="J526">
        <v>1317.6457519999999</v>
      </c>
      <c r="K526">
        <v>2400</v>
      </c>
      <c r="L526">
        <v>0</v>
      </c>
      <c r="M526">
        <v>0</v>
      </c>
      <c r="N526">
        <v>2400</v>
      </c>
    </row>
    <row r="527" spans="1:14" x14ac:dyDescent="0.25">
      <c r="A527">
        <v>75.651638000000005</v>
      </c>
      <c r="B527" s="1">
        <f>DATE(2010,7,15) + TIME(15,38,21)</f>
        <v>40374.651631944442</v>
      </c>
      <c r="C527">
        <v>80</v>
      </c>
      <c r="D527">
        <v>79.946434021000002</v>
      </c>
      <c r="E527">
        <v>50</v>
      </c>
      <c r="F527">
        <v>15.004733086</v>
      </c>
      <c r="G527">
        <v>1339.9958495999999</v>
      </c>
      <c r="H527">
        <v>1337.6734618999999</v>
      </c>
      <c r="I527">
        <v>1321.6635742000001</v>
      </c>
      <c r="J527">
        <v>1317.6467285000001</v>
      </c>
      <c r="K527">
        <v>2400</v>
      </c>
      <c r="L527">
        <v>0</v>
      </c>
      <c r="M527">
        <v>0</v>
      </c>
      <c r="N527">
        <v>2400</v>
      </c>
    </row>
    <row r="528" spans="1:14" x14ac:dyDescent="0.25">
      <c r="A528">
        <v>75.905392000000006</v>
      </c>
      <c r="B528" s="1">
        <f>DATE(2010,7,15) + TIME(21,43,45)</f>
        <v>40374.905381944445</v>
      </c>
      <c r="C528">
        <v>80</v>
      </c>
      <c r="D528">
        <v>79.946441649999997</v>
      </c>
      <c r="E528">
        <v>50</v>
      </c>
      <c r="F528">
        <v>15.005147934</v>
      </c>
      <c r="G528">
        <v>1339.9931641000001</v>
      </c>
      <c r="H528">
        <v>1337.6713867000001</v>
      </c>
      <c r="I528">
        <v>1321.6650391000001</v>
      </c>
      <c r="J528">
        <v>1317.6477050999999</v>
      </c>
      <c r="K528">
        <v>2400</v>
      </c>
      <c r="L528">
        <v>0</v>
      </c>
      <c r="M528">
        <v>0</v>
      </c>
      <c r="N528">
        <v>2400</v>
      </c>
    </row>
    <row r="529" spans="1:14" x14ac:dyDescent="0.25">
      <c r="A529">
        <v>76.159144999999995</v>
      </c>
      <c r="B529" s="1">
        <f>DATE(2010,7,16) + TIME(3,49,10)</f>
        <v>40375.159143518518</v>
      </c>
      <c r="C529">
        <v>80</v>
      </c>
      <c r="D529">
        <v>79.946456909000005</v>
      </c>
      <c r="E529">
        <v>50</v>
      </c>
      <c r="F529">
        <v>15.005591393</v>
      </c>
      <c r="G529">
        <v>1339.9903564000001</v>
      </c>
      <c r="H529">
        <v>1337.6691894999999</v>
      </c>
      <c r="I529">
        <v>1321.666626</v>
      </c>
      <c r="J529">
        <v>1317.6485596</v>
      </c>
      <c r="K529">
        <v>2400</v>
      </c>
      <c r="L529">
        <v>0</v>
      </c>
      <c r="M529">
        <v>0</v>
      </c>
      <c r="N529">
        <v>2400</v>
      </c>
    </row>
    <row r="530" spans="1:14" x14ac:dyDescent="0.25">
      <c r="A530">
        <v>76.412898999999996</v>
      </c>
      <c r="B530" s="1">
        <f>DATE(2010,7,16) + TIME(9,54,34)</f>
        <v>40375.412893518522</v>
      </c>
      <c r="C530">
        <v>80</v>
      </c>
      <c r="D530">
        <v>79.946464539000004</v>
      </c>
      <c r="E530">
        <v>50</v>
      </c>
      <c r="F530">
        <v>15.006064415000001</v>
      </c>
      <c r="G530">
        <v>1339.9875488</v>
      </c>
      <c r="H530">
        <v>1337.6671143000001</v>
      </c>
      <c r="I530">
        <v>1321.6680908000001</v>
      </c>
      <c r="J530">
        <v>1317.6495361</v>
      </c>
      <c r="K530">
        <v>2400</v>
      </c>
      <c r="L530">
        <v>0</v>
      </c>
      <c r="M530">
        <v>0</v>
      </c>
      <c r="N530">
        <v>2400</v>
      </c>
    </row>
    <row r="531" spans="1:14" x14ac:dyDescent="0.25">
      <c r="A531">
        <v>76.666652999999997</v>
      </c>
      <c r="B531" s="1">
        <f>DATE(2010,7,16) + TIME(15,59,58)</f>
        <v>40375.666643518518</v>
      </c>
      <c r="C531">
        <v>80</v>
      </c>
      <c r="D531">
        <v>79.946472168</v>
      </c>
      <c r="E531">
        <v>50</v>
      </c>
      <c r="F531">
        <v>15.006570816</v>
      </c>
      <c r="G531">
        <v>1339.9848632999999</v>
      </c>
      <c r="H531">
        <v>1337.6649170000001</v>
      </c>
      <c r="I531">
        <v>1321.6696777</v>
      </c>
      <c r="J531">
        <v>1317.6505127</v>
      </c>
      <c r="K531">
        <v>2400</v>
      </c>
      <c r="L531">
        <v>0</v>
      </c>
      <c r="M531">
        <v>0</v>
      </c>
      <c r="N531">
        <v>2400</v>
      </c>
    </row>
    <row r="532" spans="1:14" x14ac:dyDescent="0.25">
      <c r="A532">
        <v>76.920406</v>
      </c>
      <c r="B532" s="1">
        <f>DATE(2010,7,16) + TIME(22,5,23)</f>
        <v>40375.920405092591</v>
      </c>
      <c r="C532">
        <v>80</v>
      </c>
      <c r="D532">
        <v>79.946487426999994</v>
      </c>
      <c r="E532">
        <v>50</v>
      </c>
      <c r="F532">
        <v>15.007111548999999</v>
      </c>
      <c r="G532">
        <v>1339.9820557</v>
      </c>
      <c r="H532">
        <v>1337.6628418</v>
      </c>
      <c r="I532">
        <v>1321.6712646000001</v>
      </c>
      <c r="J532">
        <v>1317.6514893000001</v>
      </c>
      <c r="K532">
        <v>2400</v>
      </c>
      <c r="L532">
        <v>0</v>
      </c>
      <c r="M532">
        <v>0</v>
      </c>
      <c r="N532">
        <v>2400</v>
      </c>
    </row>
    <row r="533" spans="1:14" x14ac:dyDescent="0.25">
      <c r="A533">
        <v>77.427913000000004</v>
      </c>
      <c r="B533" s="1">
        <f>DATE(2010,7,17) + TIME(10,16,11)</f>
        <v>40376.427905092591</v>
      </c>
      <c r="C533">
        <v>80</v>
      </c>
      <c r="D533">
        <v>79.946510314999998</v>
      </c>
      <c r="E533">
        <v>50</v>
      </c>
      <c r="F533">
        <v>15.008048058</v>
      </c>
      <c r="G533">
        <v>1339.9788818</v>
      </c>
      <c r="H533">
        <v>1337.6602783000001</v>
      </c>
      <c r="I533">
        <v>1321.6728516000001</v>
      </c>
      <c r="J533">
        <v>1317.6524658000001</v>
      </c>
      <c r="K533">
        <v>2400</v>
      </c>
      <c r="L533">
        <v>0</v>
      </c>
      <c r="M533">
        <v>0</v>
      </c>
      <c r="N533">
        <v>2400</v>
      </c>
    </row>
    <row r="534" spans="1:14" x14ac:dyDescent="0.25">
      <c r="A534">
        <v>77.935792000000006</v>
      </c>
      <c r="B534" s="1">
        <f>DATE(2010,7,17) + TIME(22,27,32)</f>
        <v>40376.935787037037</v>
      </c>
      <c r="C534">
        <v>80</v>
      </c>
      <c r="D534">
        <v>79.946533203000001</v>
      </c>
      <c r="E534">
        <v>50</v>
      </c>
      <c r="F534">
        <v>15.009200096000001</v>
      </c>
      <c r="G534">
        <v>1339.9737548999999</v>
      </c>
      <c r="H534">
        <v>1337.6563721</v>
      </c>
      <c r="I534">
        <v>1321.6760254000001</v>
      </c>
      <c r="J534">
        <v>1317.6544189000001</v>
      </c>
      <c r="K534">
        <v>2400</v>
      </c>
      <c r="L534">
        <v>0</v>
      </c>
      <c r="M534">
        <v>0</v>
      </c>
      <c r="N534">
        <v>2400</v>
      </c>
    </row>
    <row r="535" spans="1:14" x14ac:dyDescent="0.25">
      <c r="A535">
        <v>78.449569999999994</v>
      </c>
      <c r="B535" s="1">
        <f>DATE(2010,7,18) + TIME(10,47,22)</f>
        <v>40377.449560185189</v>
      </c>
      <c r="C535">
        <v>80</v>
      </c>
      <c r="D535">
        <v>79.946556091000005</v>
      </c>
      <c r="E535">
        <v>50</v>
      </c>
      <c r="F535">
        <v>15.010572433</v>
      </c>
      <c r="G535">
        <v>1339.9685059000001</v>
      </c>
      <c r="H535">
        <v>1337.6523437999999</v>
      </c>
      <c r="I535">
        <v>1321.6793213000001</v>
      </c>
      <c r="J535">
        <v>1317.6564940999999</v>
      </c>
      <c r="K535">
        <v>2400</v>
      </c>
      <c r="L535">
        <v>0</v>
      </c>
      <c r="M535">
        <v>0</v>
      </c>
      <c r="N535">
        <v>2400</v>
      </c>
    </row>
    <row r="536" spans="1:14" x14ac:dyDescent="0.25">
      <c r="A536">
        <v>78.970555000000004</v>
      </c>
      <c r="B536" s="1">
        <f>DATE(2010,7,18) + TIME(23,17,35)</f>
        <v>40377.970543981479</v>
      </c>
      <c r="C536">
        <v>80</v>
      </c>
      <c r="D536">
        <v>79.946578978999995</v>
      </c>
      <c r="E536">
        <v>50</v>
      </c>
      <c r="F536">
        <v>15.01218605</v>
      </c>
      <c r="G536">
        <v>1339.9631348</v>
      </c>
      <c r="H536">
        <v>1337.6481934000001</v>
      </c>
      <c r="I536">
        <v>1321.6826172000001</v>
      </c>
      <c r="J536">
        <v>1317.6585693</v>
      </c>
      <c r="K536">
        <v>2400</v>
      </c>
      <c r="L536">
        <v>0</v>
      </c>
      <c r="M536">
        <v>0</v>
      </c>
      <c r="N536">
        <v>2400</v>
      </c>
    </row>
    <row r="537" spans="1:14" x14ac:dyDescent="0.25">
      <c r="A537">
        <v>79.500125999999995</v>
      </c>
      <c r="B537" s="1">
        <f>DATE(2010,7,19) + TIME(12,0,10)</f>
        <v>40378.500115740739</v>
      </c>
      <c r="C537">
        <v>80</v>
      </c>
      <c r="D537">
        <v>79.946601868000002</v>
      </c>
      <c r="E537">
        <v>50</v>
      </c>
      <c r="F537">
        <v>15.014071465000001</v>
      </c>
      <c r="G537">
        <v>1339.9577637</v>
      </c>
      <c r="H537">
        <v>1337.6439209</v>
      </c>
      <c r="I537">
        <v>1321.6861572</v>
      </c>
      <c r="J537">
        <v>1317.6606445</v>
      </c>
      <c r="K537">
        <v>2400</v>
      </c>
      <c r="L537">
        <v>0</v>
      </c>
      <c r="M537">
        <v>0</v>
      </c>
      <c r="N537">
        <v>2400</v>
      </c>
    </row>
    <row r="538" spans="1:14" x14ac:dyDescent="0.25">
      <c r="A538">
        <v>80.035383999999993</v>
      </c>
      <c r="B538" s="1">
        <f>DATE(2010,7,20) + TIME(0,50,57)</f>
        <v>40379.035381944443</v>
      </c>
      <c r="C538">
        <v>80</v>
      </c>
      <c r="D538">
        <v>79.946624756000006</v>
      </c>
      <c r="E538">
        <v>50</v>
      </c>
      <c r="F538">
        <v>15.016258240000001</v>
      </c>
      <c r="G538">
        <v>1339.9522704999999</v>
      </c>
      <c r="H538">
        <v>1337.6397704999999</v>
      </c>
      <c r="I538">
        <v>1321.6898193</v>
      </c>
      <c r="J538">
        <v>1317.6628418</v>
      </c>
      <c r="K538">
        <v>2400</v>
      </c>
      <c r="L538">
        <v>0</v>
      </c>
      <c r="M538">
        <v>0</v>
      </c>
      <c r="N538">
        <v>2400</v>
      </c>
    </row>
    <row r="539" spans="1:14" x14ac:dyDescent="0.25">
      <c r="A539">
        <v>80.576239999999999</v>
      </c>
      <c r="B539" s="1">
        <f>DATE(2010,7,20) + TIME(13,49,47)</f>
        <v>40379.576238425929</v>
      </c>
      <c r="C539">
        <v>80</v>
      </c>
      <c r="D539">
        <v>79.946647643999995</v>
      </c>
      <c r="E539">
        <v>50</v>
      </c>
      <c r="F539">
        <v>15.018788338</v>
      </c>
      <c r="G539">
        <v>1339.9467772999999</v>
      </c>
      <c r="H539">
        <v>1337.6354980000001</v>
      </c>
      <c r="I539">
        <v>1321.6934814000001</v>
      </c>
      <c r="J539">
        <v>1317.6651611</v>
      </c>
      <c r="K539">
        <v>2400</v>
      </c>
      <c r="L539">
        <v>0</v>
      </c>
      <c r="M539">
        <v>0</v>
      </c>
      <c r="N539">
        <v>2400</v>
      </c>
    </row>
    <row r="540" spans="1:14" x14ac:dyDescent="0.25">
      <c r="A540">
        <v>80.847254000000007</v>
      </c>
      <c r="B540" s="1">
        <f>DATE(2010,7,20) + TIME(20,20,2)</f>
        <v>40379.847245370373</v>
      </c>
      <c r="C540">
        <v>80</v>
      </c>
      <c r="D540">
        <v>79.946647643999995</v>
      </c>
      <c r="E540">
        <v>50</v>
      </c>
      <c r="F540">
        <v>15.020604133999999</v>
      </c>
      <c r="G540">
        <v>1339.9420166</v>
      </c>
      <c r="H540">
        <v>1337.6319579999999</v>
      </c>
      <c r="I540">
        <v>1321.6972656</v>
      </c>
      <c r="J540">
        <v>1317.6673584</v>
      </c>
      <c r="K540">
        <v>2400</v>
      </c>
      <c r="L540">
        <v>0</v>
      </c>
      <c r="M540">
        <v>0</v>
      </c>
      <c r="N540">
        <v>2400</v>
      </c>
    </row>
    <row r="541" spans="1:14" x14ac:dyDescent="0.25">
      <c r="A541">
        <v>81.117677999999998</v>
      </c>
      <c r="B541" s="1">
        <f>DATE(2010,7,21) + TIME(2,49,27)</f>
        <v>40380.117673611108</v>
      </c>
      <c r="C541">
        <v>80</v>
      </c>
      <c r="D541">
        <v>79.946655273000005</v>
      </c>
      <c r="E541">
        <v>50</v>
      </c>
      <c r="F541">
        <v>15.022458075999999</v>
      </c>
      <c r="G541">
        <v>1339.9388428</v>
      </c>
      <c r="H541">
        <v>1337.6293945</v>
      </c>
      <c r="I541">
        <v>1321.6993408000001</v>
      </c>
      <c r="J541">
        <v>1317.6687012</v>
      </c>
      <c r="K541">
        <v>2400</v>
      </c>
      <c r="L541">
        <v>0</v>
      </c>
      <c r="M541">
        <v>0</v>
      </c>
      <c r="N541">
        <v>2400</v>
      </c>
    </row>
    <row r="542" spans="1:14" x14ac:dyDescent="0.25">
      <c r="A542">
        <v>81.387668000000005</v>
      </c>
      <c r="B542" s="1">
        <f>DATE(2010,7,21) + TIME(9,18,14)</f>
        <v>40380.387662037036</v>
      </c>
      <c r="C542">
        <v>80</v>
      </c>
      <c r="D542">
        <v>79.946670531999999</v>
      </c>
      <c r="E542">
        <v>50</v>
      </c>
      <c r="F542">
        <v>15.024375916</v>
      </c>
      <c r="G542">
        <v>1339.9359131000001</v>
      </c>
      <c r="H542">
        <v>1337.6270752</v>
      </c>
      <c r="I542">
        <v>1321.7014160000001</v>
      </c>
      <c r="J542">
        <v>1317.6699219</v>
      </c>
      <c r="K542">
        <v>2400</v>
      </c>
      <c r="L542">
        <v>0</v>
      </c>
      <c r="M542">
        <v>0</v>
      </c>
      <c r="N542">
        <v>2400</v>
      </c>
    </row>
    <row r="543" spans="1:14" x14ac:dyDescent="0.25">
      <c r="A543">
        <v>81.657379000000006</v>
      </c>
      <c r="B543" s="1">
        <f>DATE(2010,7,21) + TIME(15,46,37)</f>
        <v>40380.657372685186</v>
      </c>
      <c r="C543">
        <v>80</v>
      </c>
      <c r="D543">
        <v>79.946678161999998</v>
      </c>
      <c r="E543">
        <v>50</v>
      </c>
      <c r="F543">
        <v>15.026375771</v>
      </c>
      <c r="G543">
        <v>1339.9331055</v>
      </c>
      <c r="H543">
        <v>1337.6248779</v>
      </c>
      <c r="I543">
        <v>1321.7033690999999</v>
      </c>
      <c r="J543">
        <v>1317.6711425999999</v>
      </c>
      <c r="K543">
        <v>2400</v>
      </c>
      <c r="L543">
        <v>0</v>
      </c>
      <c r="M543">
        <v>0</v>
      </c>
      <c r="N543">
        <v>2400</v>
      </c>
    </row>
    <row r="544" spans="1:14" x14ac:dyDescent="0.25">
      <c r="A544">
        <v>81.926987999999994</v>
      </c>
      <c r="B544" s="1">
        <f>DATE(2010,7,21) + TIME(22,14,51)</f>
        <v>40380.926979166667</v>
      </c>
      <c r="C544">
        <v>80</v>
      </c>
      <c r="D544">
        <v>79.946693420000003</v>
      </c>
      <c r="E544">
        <v>50</v>
      </c>
      <c r="F544">
        <v>15.028476715</v>
      </c>
      <c r="G544">
        <v>1339.9302978999999</v>
      </c>
      <c r="H544">
        <v>1337.6226807</v>
      </c>
      <c r="I544">
        <v>1321.7053223</v>
      </c>
      <c r="J544">
        <v>1317.6723632999999</v>
      </c>
      <c r="K544">
        <v>2400</v>
      </c>
      <c r="L544">
        <v>0</v>
      </c>
      <c r="M544">
        <v>0</v>
      </c>
      <c r="N544">
        <v>2400</v>
      </c>
    </row>
    <row r="545" spans="1:14" x14ac:dyDescent="0.25">
      <c r="A545">
        <v>82.196596999999997</v>
      </c>
      <c r="B545" s="1">
        <f>DATE(2010,7,22) + TIME(4,43,6)</f>
        <v>40381.196597222224</v>
      </c>
      <c r="C545">
        <v>80</v>
      </c>
      <c r="D545">
        <v>79.946701050000001</v>
      </c>
      <c r="E545">
        <v>50</v>
      </c>
      <c r="F545">
        <v>15.030694962</v>
      </c>
      <c r="G545">
        <v>1339.9276123</v>
      </c>
      <c r="H545">
        <v>1337.6206055</v>
      </c>
      <c r="I545">
        <v>1321.7073975000001</v>
      </c>
      <c r="J545">
        <v>1317.6735839999999</v>
      </c>
      <c r="K545">
        <v>2400</v>
      </c>
      <c r="L545">
        <v>0</v>
      </c>
      <c r="M545">
        <v>0</v>
      </c>
      <c r="N545">
        <v>2400</v>
      </c>
    </row>
    <row r="546" spans="1:14" x14ac:dyDescent="0.25">
      <c r="A546">
        <v>82.466206</v>
      </c>
      <c r="B546" s="1">
        <f>DATE(2010,7,22) + TIME(11,11,20)</f>
        <v>40381.466203703705</v>
      </c>
      <c r="C546">
        <v>80</v>
      </c>
      <c r="D546">
        <v>79.946716308999996</v>
      </c>
      <c r="E546">
        <v>50</v>
      </c>
      <c r="F546">
        <v>15.033043860999999</v>
      </c>
      <c r="G546">
        <v>1339.9248047000001</v>
      </c>
      <c r="H546">
        <v>1337.6184082</v>
      </c>
      <c r="I546">
        <v>1321.7094727000001</v>
      </c>
      <c r="J546">
        <v>1317.6748047000001</v>
      </c>
      <c r="K546">
        <v>2400</v>
      </c>
      <c r="L546">
        <v>0</v>
      </c>
      <c r="M546">
        <v>0</v>
      </c>
      <c r="N546">
        <v>2400</v>
      </c>
    </row>
    <row r="547" spans="1:14" x14ac:dyDescent="0.25">
      <c r="A547">
        <v>82.735815000000002</v>
      </c>
      <c r="B547" s="1">
        <f>DATE(2010,7,22) + TIME(17,39,34)</f>
        <v>40381.735810185186</v>
      </c>
      <c r="C547">
        <v>80</v>
      </c>
      <c r="D547">
        <v>79.946723938000005</v>
      </c>
      <c r="E547">
        <v>50</v>
      </c>
      <c r="F547">
        <v>15.035536766</v>
      </c>
      <c r="G547">
        <v>1339.9221190999999</v>
      </c>
      <c r="H547">
        <v>1337.6163329999999</v>
      </c>
      <c r="I547">
        <v>1321.7115478999999</v>
      </c>
      <c r="J547">
        <v>1317.6761475000001</v>
      </c>
      <c r="K547">
        <v>2400</v>
      </c>
      <c r="L547">
        <v>0</v>
      </c>
      <c r="M547">
        <v>0</v>
      </c>
      <c r="N547">
        <v>2400</v>
      </c>
    </row>
    <row r="548" spans="1:14" x14ac:dyDescent="0.25">
      <c r="A548">
        <v>83.005424000000005</v>
      </c>
      <c r="B548" s="1">
        <f>DATE(2010,7,23) + TIME(0,7,48)</f>
        <v>40382.005416666667</v>
      </c>
      <c r="C548">
        <v>80</v>
      </c>
      <c r="D548">
        <v>79.946739196999999</v>
      </c>
      <c r="E548">
        <v>50</v>
      </c>
      <c r="F548">
        <v>15.038187026999999</v>
      </c>
      <c r="G548">
        <v>1339.9194336</v>
      </c>
      <c r="H548">
        <v>1337.6142577999999</v>
      </c>
      <c r="I548">
        <v>1321.7136230000001</v>
      </c>
      <c r="J548">
        <v>1317.6773682</v>
      </c>
      <c r="K548">
        <v>2400</v>
      </c>
      <c r="L548">
        <v>0</v>
      </c>
      <c r="M548">
        <v>0</v>
      </c>
      <c r="N548">
        <v>2400</v>
      </c>
    </row>
    <row r="549" spans="1:14" x14ac:dyDescent="0.25">
      <c r="A549">
        <v>83.275032999999993</v>
      </c>
      <c r="B549" s="1">
        <f>DATE(2010,7,23) + TIME(6,36,2)</f>
        <v>40382.275023148148</v>
      </c>
      <c r="C549">
        <v>80</v>
      </c>
      <c r="D549">
        <v>79.946746825999995</v>
      </c>
      <c r="E549">
        <v>50</v>
      </c>
      <c r="F549">
        <v>15.041006088</v>
      </c>
      <c r="G549">
        <v>1339.9168701000001</v>
      </c>
      <c r="H549">
        <v>1337.6121826000001</v>
      </c>
      <c r="I549">
        <v>1321.7158202999999</v>
      </c>
      <c r="J549">
        <v>1317.6787108999999</v>
      </c>
      <c r="K549">
        <v>2400</v>
      </c>
      <c r="L549">
        <v>0</v>
      </c>
      <c r="M549">
        <v>0</v>
      </c>
      <c r="N549">
        <v>2400</v>
      </c>
    </row>
    <row r="550" spans="1:14" x14ac:dyDescent="0.25">
      <c r="A550">
        <v>83.814250999999999</v>
      </c>
      <c r="B550" s="1">
        <f>DATE(2010,7,23) + TIME(19,32,31)</f>
        <v>40382.814247685186</v>
      </c>
      <c r="C550">
        <v>80</v>
      </c>
      <c r="D550">
        <v>79.946777343999997</v>
      </c>
      <c r="E550">
        <v>50</v>
      </c>
      <c r="F550">
        <v>15.045817375</v>
      </c>
      <c r="G550">
        <v>1339.9136963000001</v>
      </c>
      <c r="H550">
        <v>1337.6096190999999</v>
      </c>
      <c r="I550">
        <v>1321.7178954999999</v>
      </c>
      <c r="J550">
        <v>1317.6800536999999</v>
      </c>
      <c r="K550">
        <v>2400</v>
      </c>
      <c r="L550">
        <v>0</v>
      </c>
      <c r="M550">
        <v>0</v>
      </c>
      <c r="N550">
        <v>2400</v>
      </c>
    </row>
    <row r="551" spans="1:14" x14ac:dyDescent="0.25">
      <c r="A551">
        <v>84.354382999999999</v>
      </c>
      <c r="B551" s="1">
        <f>DATE(2010,7,24) + TIME(8,30,18)</f>
        <v>40383.354375000003</v>
      </c>
      <c r="C551">
        <v>80</v>
      </c>
      <c r="D551">
        <v>79.946807860999996</v>
      </c>
      <c r="E551">
        <v>50</v>
      </c>
      <c r="F551">
        <v>15.05173111</v>
      </c>
      <c r="G551">
        <v>1339.9086914</v>
      </c>
      <c r="H551">
        <v>1337.6058350000001</v>
      </c>
      <c r="I551">
        <v>1321.7222899999999</v>
      </c>
      <c r="J551">
        <v>1317.6826172000001</v>
      </c>
      <c r="K551">
        <v>2400</v>
      </c>
      <c r="L551">
        <v>0</v>
      </c>
      <c r="M551">
        <v>0</v>
      </c>
      <c r="N551">
        <v>2400</v>
      </c>
    </row>
    <row r="552" spans="1:14" x14ac:dyDescent="0.25">
      <c r="A552">
        <v>84.900790999999998</v>
      </c>
      <c r="B552" s="1">
        <f>DATE(2010,7,24) + TIME(21,37,8)</f>
        <v>40383.900787037041</v>
      </c>
      <c r="C552">
        <v>80</v>
      </c>
      <c r="D552">
        <v>79.946830750000004</v>
      </c>
      <c r="E552">
        <v>50</v>
      </c>
      <c r="F552">
        <v>15.058753966999999</v>
      </c>
      <c r="G552">
        <v>1339.9035644999999</v>
      </c>
      <c r="H552">
        <v>1337.6018065999999</v>
      </c>
      <c r="I552">
        <v>1321.7268065999999</v>
      </c>
      <c r="J552">
        <v>1317.6853027</v>
      </c>
      <c r="K552">
        <v>2400</v>
      </c>
      <c r="L552">
        <v>0</v>
      </c>
      <c r="M552">
        <v>0</v>
      </c>
      <c r="N552">
        <v>2400</v>
      </c>
    </row>
    <row r="553" spans="1:14" x14ac:dyDescent="0.25">
      <c r="A553">
        <v>85.454920000000001</v>
      </c>
      <c r="B553" s="1">
        <f>DATE(2010,7,25) + TIME(10,55,5)</f>
        <v>40384.454918981479</v>
      </c>
      <c r="C553">
        <v>80</v>
      </c>
      <c r="D553">
        <v>79.946861267000003</v>
      </c>
      <c r="E553">
        <v>50</v>
      </c>
      <c r="F553">
        <v>15.066959381</v>
      </c>
      <c r="G553">
        <v>1339.8983154</v>
      </c>
      <c r="H553">
        <v>1337.5977783000001</v>
      </c>
      <c r="I553">
        <v>1321.7314452999999</v>
      </c>
      <c r="J553">
        <v>1317.6881103999999</v>
      </c>
      <c r="K553">
        <v>2400</v>
      </c>
      <c r="L553">
        <v>0</v>
      </c>
      <c r="M553">
        <v>0</v>
      </c>
      <c r="N553">
        <v>2400</v>
      </c>
    </row>
    <row r="554" spans="1:14" x14ac:dyDescent="0.25">
      <c r="A554">
        <v>86.017942000000005</v>
      </c>
      <c r="B554" s="1">
        <f>DATE(2010,7,26) + TIME(0,25,50)</f>
        <v>40385.017939814818</v>
      </c>
      <c r="C554">
        <v>80</v>
      </c>
      <c r="D554">
        <v>79.946884155000006</v>
      </c>
      <c r="E554">
        <v>50</v>
      </c>
      <c r="F554">
        <v>15.076479912</v>
      </c>
      <c r="G554">
        <v>1339.8929443</v>
      </c>
      <c r="H554">
        <v>1337.5936279</v>
      </c>
      <c r="I554">
        <v>1321.7363281</v>
      </c>
      <c r="J554">
        <v>1317.6911620999999</v>
      </c>
      <c r="K554">
        <v>2400</v>
      </c>
      <c r="L554">
        <v>0</v>
      </c>
      <c r="M554">
        <v>0</v>
      </c>
      <c r="N554">
        <v>2400</v>
      </c>
    </row>
    <row r="555" spans="1:14" x14ac:dyDescent="0.25">
      <c r="A555">
        <v>86.584863999999996</v>
      </c>
      <c r="B555" s="1">
        <f>DATE(2010,7,26) + TIME(14,2,12)</f>
        <v>40385.584861111114</v>
      </c>
      <c r="C555">
        <v>80</v>
      </c>
      <c r="D555">
        <v>79.946907042999996</v>
      </c>
      <c r="E555">
        <v>50</v>
      </c>
      <c r="F555">
        <v>15.087429047000001</v>
      </c>
      <c r="G555">
        <v>1339.8876952999999</v>
      </c>
      <c r="H555">
        <v>1337.5894774999999</v>
      </c>
      <c r="I555">
        <v>1321.7414550999999</v>
      </c>
      <c r="J555">
        <v>1317.6942139</v>
      </c>
      <c r="K555">
        <v>2400</v>
      </c>
      <c r="L555">
        <v>0</v>
      </c>
      <c r="M555">
        <v>0</v>
      </c>
      <c r="N555">
        <v>2400</v>
      </c>
    </row>
    <row r="556" spans="1:14" x14ac:dyDescent="0.25">
      <c r="A556">
        <v>87.156897000000001</v>
      </c>
      <c r="B556" s="1">
        <f>DATE(2010,7,27) + TIME(3,45,55)</f>
        <v>40386.156886574077</v>
      </c>
      <c r="C556">
        <v>80</v>
      </c>
      <c r="D556">
        <v>79.946937560999999</v>
      </c>
      <c r="E556">
        <v>50</v>
      </c>
      <c r="F556">
        <v>15.099985123</v>
      </c>
      <c r="G556">
        <v>1339.8823242000001</v>
      </c>
      <c r="H556">
        <v>1337.5853271000001</v>
      </c>
      <c r="I556">
        <v>1321.7467041</v>
      </c>
      <c r="J556">
        <v>1317.6973877</v>
      </c>
      <c r="K556">
        <v>2400</v>
      </c>
      <c r="L556">
        <v>0</v>
      </c>
      <c r="M556">
        <v>0</v>
      </c>
      <c r="N556">
        <v>2400</v>
      </c>
    </row>
    <row r="557" spans="1:14" x14ac:dyDescent="0.25">
      <c r="A557">
        <v>87.444705999999996</v>
      </c>
      <c r="B557" s="1">
        <f>DATE(2010,7,27) + TIME(10,40,22)</f>
        <v>40386.444699074076</v>
      </c>
      <c r="C557">
        <v>80</v>
      </c>
      <c r="D557">
        <v>79.946937560999999</v>
      </c>
      <c r="E557">
        <v>50</v>
      </c>
      <c r="F557">
        <v>15.109038353000001</v>
      </c>
      <c r="G557">
        <v>1339.8776855000001</v>
      </c>
      <c r="H557">
        <v>1337.5817870999999</v>
      </c>
      <c r="I557">
        <v>1321.7521973</v>
      </c>
      <c r="J557">
        <v>1317.7005615</v>
      </c>
      <c r="K557">
        <v>2400</v>
      </c>
      <c r="L557">
        <v>0</v>
      </c>
      <c r="M557">
        <v>0</v>
      </c>
      <c r="N557">
        <v>2400</v>
      </c>
    </row>
    <row r="558" spans="1:14" x14ac:dyDescent="0.25">
      <c r="A558">
        <v>87.732515000000006</v>
      </c>
      <c r="B558" s="1">
        <f>DATE(2010,7,27) + TIME(17,34,49)</f>
        <v>40386.732511574075</v>
      </c>
      <c r="C558">
        <v>80</v>
      </c>
      <c r="D558">
        <v>79.946952820000007</v>
      </c>
      <c r="E558">
        <v>50</v>
      </c>
      <c r="F558">
        <v>15.118220329</v>
      </c>
      <c r="G558">
        <v>1339.8745117000001</v>
      </c>
      <c r="H558">
        <v>1337.5793457</v>
      </c>
      <c r="I558">
        <v>1321.7551269999999</v>
      </c>
      <c r="J558">
        <v>1317.7023925999999</v>
      </c>
      <c r="K558">
        <v>2400</v>
      </c>
      <c r="L558">
        <v>0</v>
      </c>
      <c r="M558">
        <v>0</v>
      </c>
      <c r="N558">
        <v>2400</v>
      </c>
    </row>
    <row r="559" spans="1:14" x14ac:dyDescent="0.25">
      <c r="A559">
        <v>88.020324000000002</v>
      </c>
      <c r="B559" s="1">
        <f>DATE(2010,7,28) + TIME(0,29,15)</f>
        <v>40387.020312499997</v>
      </c>
      <c r="C559">
        <v>80</v>
      </c>
      <c r="D559">
        <v>79.946960449000002</v>
      </c>
      <c r="E559">
        <v>50</v>
      </c>
      <c r="F559">
        <v>15.127659798</v>
      </c>
      <c r="G559">
        <v>1339.8717041</v>
      </c>
      <c r="H559">
        <v>1337.5770264</v>
      </c>
      <c r="I559">
        <v>1321.7579346</v>
      </c>
      <c r="J559">
        <v>1317.7042236</v>
      </c>
      <c r="K559">
        <v>2400</v>
      </c>
      <c r="L559">
        <v>0</v>
      </c>
      <c r="M559">
        <v>0</v>
      </c>
      <c r="N559">
        <v>2400</v>
      </c>
    </row>
    <row r="560" spans="1:14" x14ac:dyDescent="0.25">
      <c r="A560">
        <v>88.307991999999999</v>
      </c>
      <c r="B560" s="1">
        <f>DATE(2010,7,28) + TIME(7,23,30)</f>
        <v>40387.307986111111</v>
      </c>
      <c r="C560">
        <v>80</v>
      </c>
      <c r="D560">
        <v>79.946975707999997</v>
      </c>
      <c r="E560">
        <v>50</v>
      </c>
      <c r="F560">
        <v>15.137458800999999</v>
      </c>
      <c r="G560">
        <v>1339.8688964999999</v>
      </c>
      <c r="H560">
        <v>1337.5748291</v>
      </c>
      <c r="I560">
        <v>1321.7608643000001</v>
      </c>
      <c r="J560">
        <v>1317.7060547000001</v>
      </c>
      <c r="K560">
        <v>2400</v>
      </c>
      <c r="L560">
        <v>0</v>
      </c>
      <c r="M560">
        <v>0</v>
      </c>
      <c r="N560">
        <v>2400</v>
      </c>
    </row>
    <row r="561" spans="1:14" x14ac:dyDescent="0.25">
      <c r="A561">
        <v>88.595466000000002</v>
      </c>
      <c r="B561" s="1">
        <f>DATE(2010,7,28) + TIME(14,17,28)</f>
        <v>40387.595462962963</v>
      </c>
      <c r="C561">
        <v>80</v>
      </c>
      <c r="D561">
        <v>79.946990967000005</v>
      </c>
      <c r="E561">
        <v>50</v>
      </c>
      <c r="F561">
        <v>15.147700309999999</v>
      </c>
      <c r="G561">
        <v>1339.8662108999999</v>
      </c>
      <c r="H561">
        <v>1337.5727539</v>
      </c>
      <c r="I561">
        <v>1321.7636719</v>
      </c>
      <c r="J561">
        <v>1317.7077637</v>
      </c>
      <c r="K561">
        <v>2400</v>
      </c>
      <c r="L561">
        <v>0</v>
      </c>
      <c r="M561">
        <v>0</v>
      </c>
      <c r="N561">
        <v>2400</v>
      </c>
    </row>
    <row r="562" spans="1:14" x14ac:dyDescent="0.25">
      <c r="A562">
        <v>88.882940000000005</v>
      </c>
      <c r="B562" s="1">
        <f>DATE(2010,7,28) + TIME(21,11,26)</f>
        <v>40387.882939814815</v>
      </c>
      <c r="C562">
        <v>80</v>
      </c>
      <c r="D562">
        <v>79.946998596</v>
      </c>
      <c r="E562">
        <v>50</v>
      </c>
      <c r="F562">
        <v>15.158462524000001</v>
      </c>
      <c r="G562">
        <v>1339.8635254000001</v>
      </c>
      <c r="H562">
        <v>1337.5705565999999</v>
      </c>
      <c r="I562">
        <v>1321.7666016000001</v>
      </c>
      <c r="J562">
        <v>1317.7097168</v>
      </c>
      <c r="K562">
        <v>2400</v>
      </c>
      <c r="L562">
        <v>0</v>
      </c>
      <c r="M562">
        <v>0</v>
      </c>
      <c r="N562">
        <v>2400</v>
      </c>
    </row>
    <row r="563" spans="1:14" x14ac:dyDescent="0.25">
      <c r="A563">
        <v>89.170413999999994</v>
      </c>
      <c r="B563" s="1">
        <f>DATE(2010,7,29) + TIME(4,5,23)</f>
        <v>40388.170405092591</v>
      </c>
      <c r="C563">
        <v>80</v>
      </c>
      <c r="D563">
        <v>79.947013854999994</v>
      </c>
      <c r="E563">
        <v>50</v>
      </c>
      <c r="F563">
        <v>15.169813156</v>
      </c>
      <c r="G563">
        <v>1339.8608397999999</v>
      </c>
      <c r="H563">
        <v>1337.5684814000001</v>
      </c>
      <c r="I563">
        <v>1321.7696533000001</v>
      </c>
      <c r="J563">
        <v>1317.7115478999999</v>
      </c>
      <c r="K563">
        <v>2400</v>
      </c>
      <c r="L563">
        <v>0</v>
      </c>
      <c r="M563">
        <v>0</v>
      </c>
      <c r="N563">
        <v>2400</v>
      </c>
    </row>
    <row r="564" spans="1:14" x14ac:dyDescent="0.25">
      <c r="A564">
        <v>89.457887999999997</v>
      </c>
      <c r="B564" s="1">
        <f>DATE(2010,7,29) + TIME(10,59,21)</f>
        <v>40388.457881944443</v>
      </c>
      <c r="C564">
        <v>80</v>
      </c>
      <c r="D564">
        <v>79.947029114000003</v>
      </c>
      <c r="E564">
        <v>50</v>
      </c>
      <c r="F564">
        <v>15.181810379</v>
      </c>
      <c r="G564">
        <v>1339.8581543</v>
      </c>
      <c r="H564">
        <v>1337.5664062000001</v>
      </c>
      <c r="I564">
        <v>1321.7727050999999</v>
      </c>
      <c r="J564">
        <v>1317.713501</v>
      </c>
      <c r="K564">
        <v>2400</v>
      </c>
      <c r="L564">
        <v>0</v>
      </c>
      <c r="M564">
        <v>0</v>
      </c>
      <c r="N564">
        <v>2400</v>
      </c>
    </row>
    <row r="565" spans="1:14" x14ac:dyDescent="0.25">
      <c r="A565">
        <v>89.745362</v>
      </c>
      <c r="B565" s="1">
        <f>DATE(2010,7,29) + TIME(17,53,19)</f>
        <v>40388.745358796295</v>
      </c>
      <c r="C565">
        <v>80</v>
      </c>
      <c r="D565">
        <v>79.947044372999997</v>
      </c>
      <c r="E565">
        <v>50</v>
      </c>
      <c r="F565">
        <v>15.194511414000001</v>
      </c>
      <c r="G565">
        <v>1339.8555908000001</v>
      </c>
      <c r="H565">
        <v>1337.5643310999999</v>
      </c>
      <c r="I565">
        <v>1321.7757568</v>
      </c>
      <c r="J565">
        <v>1317.7154541</v>
      </c>
      <c r="K565">
        <v>2400</v>
      </c>
      <c r="L565">
        <v>0</v>
      </c>
      <c r="M565">
        <v>0</v>
      </c>
      <c r="N565">
        <v>2400</v>
      </c>
    </row>
    <row r="566" spans="1:14" x14ac:dyDescent="0.25">
      <c r="A566">
        <v>90.032836000000003</v>
      </c>
      <c r="B566" s="1">
        <f>DATE(2010,7,30) + TIME(0,47,17)</f>
        <v>40389.032835648148</v>
      </c>
      <c r="C566">
        <v>80</v>
      </c>
      <c r="D566">
        <v>79.947059631000002</v>
      </c>
      <c r="E566">
        <v>50</v>
      </c>
      <c r="F566">
        <v>15.207968712</v>
      </c>
      <c r="G566">
        <v>1339.8529053</v>
      </c>
      <c r="H566">
        <v>1337.5622559000001</v>
      </c>
      <c r="I566">
        <v>1321.7789307</v>
      </c>
      <c r="J566">
        <v>1317.7174072</v>
      </c>
      <c r="K566">
        <v>2400</v>
      </c>
      <c r="L566">
        <v>0</v>
      </c>
      <c r="M566">
        <v>0</v>
      </c>
      <c r="N566">
        <v>2400</v>
      </c>
    </row>
    <row r="567" spans="1:14" x14ac:dyDescent="0.25">
      <c r="A567">
        <v>90.320310000000006</v>
      </c>
      <c r="B567" s="1">
        <f>DATE(2010,7,30) + TIME(7,41,14)</f>
        <v>40389.320300925923</v>
      </c>
      <c r="C567">
        <v>80</v>
      </c>
      <c r="D567">
        <v>79.947067261000001</v>
      </c>
      <c r="E567">
        <v>50</v>
      </c>
      <c r="F567">
        <v>15.222235680000001</v>
      </c>
      <c r="G567">
        <v>1339.8503418</v>
      </c>
      <c r="H567">
        <v>1337.5601807</v>
      </c>
      <c r="I567">
        <v>1321.7821045000001</v>
      </c>
      <c r="J567">
        <v>1317.7194824000001</v>
      </c>
      <c r="K567">
        <v>2400</v>
      </c>
      <c r="L567">
        <v>0</v>
      </c>
      <c r="M567">
        <v>0</v>
      </c>
      <c r="N567">
        <v>2400</v>
      </c>
    </row>
    <row r="568" spans="1:14" x14ac:dyDescent="0.25">
      <c r="A568">
        <v>90.895257999999998</v>
      </c>
      <c r="B568" s="1">
        <f>DATE(2010,7,30) + TIME(21,29,10)</f>
        <v>40389.895254629628</v>
      </c>
      <c r="C568">
        <v>80</v>
      </c>
      <c r="D568">
        <v>79.947105407999999</v>
      </c>
      <c r="E568">
        <v>50</v>
      </c>
      <c r="F568">
        <v>15.246206283999999</v>
      </c>
      <c r="G568">
        <v>1339.847168</v>
      </c>
      <c r="H568">
        <v>1337.5576172000001</v>
      </c>
      <c r="I568">
        <v>1321.7849120999999</v>
      </c>
      <c r="J568">
        <v>1317.7216797000001</v>
      </c>
      <c r="K568">
        <v>2400</v>
      </c>
      <c r="L568">
        <v>0</v>
      </c>
      <c r="M568">
        <v>0</v>
      </c>
      <c r="N568">
        <v>2400</v>
      </c>
    </row>
    <row r="569" spans="1:14" x14ac:dyDescent="0.25">
      <c r="A569">
        <v>91.470882000000003</v>
      </c>
      <c r="B569" s="1">
        <f>DATE(2010,7,31) + TIME(11,18,4)</f>
        <v>40390.470879629633</v>
      </c>
      <c r="C569">
        <v>80</v>
      </c>
      <c r="D569">
        <v>79.947135924999998</v>
      </c>
      <c r="E569">
        <v>50</v>
      </c>
      <c r="F569">
        <v>15.275716782</v>
      </c>
      <c r="G569">
        <v>1339.8424072</v>
      </c>
      <c r="H569">
        <v>1337.5539550999999</v>
      </c>
      <c r="I569">
        <v>1321.7915039</v>
      </c>
      <c r="J569">
        <v>1317.7258300999999</v>
      </c>
      <c r="K569">
        <v>2400</v>
      </c>
      <c r="L569">
        <v>0</v>
      </c>
      <c r="M569">
        <v>0</v>
      </c>
      <c r="N569">
        <v>2400</v>
      </c>
    </row>
    <row r="570" spans="1:14" x14ac:dyDescent="0.25">
      <c r="A570">
        <v>92</v>
      </c>
      <c r="B570" s="1">
        <f>DATE(2010,8,1) + TIME(0,0,0)</f>
        <v>40391</v>
      </c>
      <c r="C570">
        <v>80</v>
      </c>
      <c r="D570">
        <v>79.947158813000001</v>
      </c>
      <c r="E570">
        <v>50</v>
      </c>
      <c r="F570">
        <v>15.308654785</v>
      </c>
      <c r="G570">
        <v>1339.8374022999999</v>
      </c>
      <c r="H570">
        <v>1337.5500488</v>
      </c>
      <c r="I570">
        <v>1321.7983397999999</v>
      </c>
      <c r="J570">
        <v>1317.7302245999999</v>
      </c>
      <c r="K570">
        <v>2400</v>
      </c>
      <c r="L570">
        <v>0</v>
      </c>
      <c r="M570">
        <v>0</v>
      </c>
      <c r="N570">
        <v>2400</v>
      </c>
    </row>
    <row r="571" spans="1:14" x14ac:dyDescent="0.25">
      <c r="A571">
        <v>92.582666000000003</v>
      </c>
      <c r="B571" s="1">
        <f>DATE(2010,8,1) + TIME(13,59,2)</f>
        <v>40391.582662037035</v>
      </c>
      <c r="C571">
        <v>80</v>
      </c>
      <c r="D571">
        <v>79.947189331000004</v>
      </c>
      <c r="E571">
        <v>50</v>
      </c>
      <c r="F571">
        <v>15.347752570999999</v>
      </c>
      <c r="G571">
        <v>1339.8326416</v>
      </c>
      <c r="H571">
        <v>1337.5462646000001</v>
      </c>
      <c r="I571">
        <v>1321.8046875</v>
      </c>
      <c r="J571">
        <v>1317.7344971</v>
      </c>
      <c r="K571">
        <v>2400</v>
      </c>
      <c r="L571">
        <v>0</v>
      </c>
      <c r="M571">
        <v>0</v>
      </c>
      <c r="N571">
        <v>2400</v>
      </c>
    </row>
    <row r="572" spans="1:14" x14ac:dyDescent="0.25">
      <c r="A572">
        <v>93.178399999999996</v>
      </c>
      <c r="B572" s="1">
        <f>DATE(2010,8,2) + TIME(4,16,53)</f>
        <v>40392.178391203706</v>
      </c>
      <c r="C572">
        <v>80</v>
      </c>
      <c r="D572">
        <v>79.947219849000007</v>
      </c>
      <c r="E572">
        <v>50</v>
      </c>
      <c r="F572">
        <v>15.393054008</v>
      </c>
      <c r="G572">
        <v>1339.8275146000001</v>
      </c>
      <c r="H572">
        <v>1337.5422363</v>
      </c>
      <c r="I572">
        <v>1321.8118896000001</v>
      </c>
      <c r="J572">
        <v>1317.7393798999999</v>
      </c>
      <c r="K572">
        <v>2400</v>
      </c>
      <c r="L572">
        <v>0</v>
      </c>
      <c r="M572">
        <v>0</v>
      </c>
      <c r="N572">
        <v>2400</v>
      </c>
    </row>
    <row r="573" spans="1:14" x14ac:dyDescent="0.25">
      <c r="A573">
        <v>93.477005000000005</v>
      </c>
      <c r="B573" s="1">
        <f>DATE(2010,8,2) + TIME(11,26,53)</f>
        <v>40392.477002314816</v>
      </c>
      <c r="C573">
        <v>80</v>
      </c>
      <c r="D573">
        <v>79.947227478000002</v>
      </c>
      <c r="E573">
        <v>50</v>
      </c>
      <c r="F573">
        <v>15.425888062</v>
      </c>
      <c r="G573">
        <v>1339.8231201000001</v>
      </c>
      <c r="H573">
        <v>1337.5388184000001</v>
      </c>
      <c r="I573">
        <v>1321.8201904</v>
      </c>
      <c r="J573">
        <v>1317.7442627</v>
      </c>
      <c r="K573">
        <v>2400</v>
      </c>
      <c r="L573">
        <v>0</v>
      </c>
      <c r="M573">
        <v>0</v>
      </c>
      <c r="N573">
        <v>2400</v>
      </c>
    </row>
    <row r="574" spans="1:14" x14ac:dyDescent="0.25">
      <c r="A574">
        <v>93.775610999999998</v>
      </c>
      <c r="B574" s="1">
        <f>DATE(2010,8,2) + TIME(18,36,52)</f>
        <v>40392.775601851848</v>
      </c>
      <c r="C574">
        <v>80</v>
      </c>
      <c r="D574">
        <v>79.947242736999996</v>
      </c>
      <c r="E574">
        <v>50</v>
      </c>
      <c r="F574">
        <v>15.458936691</v>
      </c>
      <c r="G574">
        <v>1339.8199463000001</v>
      </c>
      <c r="H574">
        <v>1337.5363769999999</v>
      </c>
      <c r="I574">
        <v>1321.8242187999999</v>
      </c>
      <c r="J574">
        <v>1317.7473144999999</v>
      </c>
      <c r="K574">
        <v>2400</v>
      </c>
      <c r="L574">
        <v>0</v>
      </c>
      <c r="M574">
        <v>0</v>
      </c>
      <c r="N574">
        <v>2400</v>
      </c>
    </row>
    <row r="575" spans="1:14" x14ac:dyDescent="0.25">
      <c r="A575">
        <v>94.074217000000004</v>
      </c>
      <c r="B575" s="1">
        <f>DATE(2010,8,3) + TIME(1,46,52)</f>
        <v>40393.074212962965</v>
      </c>
      <c r="C575">
        <v>80</v>
      </c>
      <c r="D575">
        <v>79.947250366000006</v>
      </c>
      <c r="E575">
        <v>50</v>
      </c>
      <c r="F575">
        <v>15.492671013000001</v>
      </c>
      <c r="G575">
        <v>1339.8171387</v>
      </c>
      <c r="H575">
        <v>1337.5341797000001</v>
      </c>
      <c r="I575">
        <v>1321.8280029</v>
      </c>
      <c r="J575">
        <v>1317.7501221</v>
      </c>
      <c r="K575">
        <v>2400</v>
      </c>
      <c r="L575">
        <v>0</v>
      </c>
      <c r="M575">
        <v>0</v>
      </c>
      <c r="N575">
        <v>2400</v>
      </c>
    </row>
    <row r="576" spans="1:14" x14ac:dyDescent="0.25">
      <c r="A576">
        <v>94.372821999999999</v>
      </c>
      <c r="B576" s="1">
        <f>DATE(2010,8,3) + TIME(8,56,51)</f>
        <v>40393.372812499998</v>
      </c>
      <c r="C576">
        <v>80</v>
      </c>
      <c r="D576">
        <v>79.947265625</v>
      </c>
      <c r="E576">
        <v>50</v>
      </c>
      <c r="F576">
        <v>15.527461052</v>
      </c>
      <c r="G576">
        <v>1339.8144531</v>
      </c>
      <c r="H576">
        <v>1337.5319824000001</v>
      </c>
      <c r="I576">
        <v>1321.8319091999999</v>
      </c>
      <c r="J576">
        <v>1317.7530518000001</v>
      </c>
      <c r="K576">
        <v>2400</v>
      </c>
      <c r="L576">
        <v>0</v>
      </c>
      <c r="M576">
        <v>0</v>
      </c>
      <c r="N576">
        <v>2400</v>
      </c>
    </row>
    <row r="577" spans="1:14" x14ac:dyDescent="0.25">
      <c r="A577">
        <v>94.671428000000006</v>
      </c>
      <c r="B577" s="1">
        <f>DATE(2010,8,3) + TIME(16,6,51)</f>
        <v>40393.671423611115</v>
      </c>
      <c r="C577">
        <v>80</v>
      </c>
      <c r="D577">
        <v>79.947280883999994</v>
      </c>
      <c r="E577">
        <v>50</v>
      </c>
      <c r="F577">
        <v>15.563606262</v>
      </c>
      <c r="G577">
        <v>1339.8118896000001</v>
      </c>
      <c r="H577">
        <v>1337.5299072</v>
      </c>
      <c r="I577">
        <v>1321.8358154</v>
      </c>
      <c r="J577">
        <v>1317.7561035000001</v>
      </c>
      <c r="K577">
        <v>2400</v>
      </c>
      <c r="L577">
        <v>0</v>
      </c>
      <c r="M577">
        <v>0</v>
      </c>
      <c r="N577">
        <v>2400</v>
      </c>
    </row>
    <row r="578" spans="1:14" x14ac:dyDescent="0.25">
      <c r="A578">
        <v>94.970033999999998</v>
      </c>
      <c r="B578" s="1">
        <f>DATE(2010,8,3) + TIME(23,16,50)</f>
        <v>40393.970023148147</v>
      </c>
      <c r="C578">
        <v>80</v>
      </c>
      <c r="D578">
        <v>79.947296143000003</v>
      </c>
      <c r="E578">
        <v>50</v>
      </c>
      <c r="F578">
        <v>15.601349831</v>
      </c>
      <c r="G578">
        <v>1339.8092041</v>
      </c>
      <c r="H578">
        <v>1337.527832</v>
      </c>
      <c r="I578">
        <v>1321.8398437999999</v>
      </c>
      <c r="J578">
        <v>1317.7591553</v>
      </c>
      <c r="K578">
        <v>2400</v>
      </c>
      <c r="L578">
        <v>0</v>
      </c>
      <c r="M578">
        <v>0</v>
      </c>
      <c r="N578">
        <v>2400</v>
      </c>
    </row>
    <row r="579" spans="1:14" x14ac:dyDescent="0.25">
      <c r="A579">
        <v>95.268638999999993</v>
      </c>
      <c r="B579" s="1">
        <f>DATE(2010,8,4) + TIME(6,26,50)</f>
        <v>40394.268634259257</v>
      </c>
      <c r="C579">
        <v>80</v>
      </c>
      <c r="D579">
        <v>79.947311400999993</v>
      </c>
      <c r="E579">
        <v>50</v>
      </c>
      <c r="F579">
        <v>15.640901566</v>
      </c>
      <c r="G579">
        <v>1339.8066406</v>
      </c>
      <c r="H579">
        <v>1337.5257568</v>
      </c>
      <c r="I579">
        <v>1321.8439940999999</v>
      </c>
      <c r="J579">
        <v>1317.762207</v>
      </c>
      <c r="K579">
        <v>2400</v>
      </c>
      <c r="L579">
        <v>0</v>
      </c>
      <c r="M579">
        <v>0</v>
      </c>
      <c r="N579">
        <v>2400</v>
      </c>
    </row>
    <row r="580" spans="1:14" x14ac:dyDescent="0.25">
      <c r="A580">
        <v>95.567245</v>
      </c>
      <c r="B580" s="1">
        <f>DATE(2010,8,4) + TIME(13,36,49)</f>
        <v>40394.567233796297</v>
      </c>
      <c r="C580">
        <v>80</v>
      </c>
      <c r="D580">
        <v>79.947326660000002</v>
      </c>
      <c r="E580">
        <v>50</v>
      </c>
      <c r="F580">
        <v>15.682443619000001</v>
      </c>
      <c r="G580">
        <v>1339.8040771000001</v>
      </c>
      <c r="H580">
        <v>1337.5236815999999</v>
      </c>
      <c r="I580">
        <v>1321.8481445</v>
      </c>
      <c r="J580">
        <v>1317.7655029</v>
      </c>
      <c r="K580">
        <v>2400</v>
      </c>
      <c r="L580">
        <v>0</v>
      </c>
      <c r="M580">
        <v>0</v>
      </c>
      <c r="N580">
        <v>2400</v>
      </c>
    </row>
    <row r="581" spans="1:14" x14ac:dyDescent="0.25">
      <c r="A581">
        <v>95.865851000000006</v>
      </c>
      <c r="B581" s="1">
        <f>DATE(2010,8,4) + TIME(20,46,49)</f>
        <v>40394.865844907406</v>
      </c>
      <c r="C581">
        <v>80</v>
      </c>
      <c r="D581">
        <v>79.947341918999996</v>
      </c>
      <c r="E581">
        <v>50</v>
      </c>
      <c r="F581">
        <v>15.726141930000001</v>
      </c>
      <c r="G581">
        <v>1339.8015137</v>
      </c>
      <c r="H581">
        <v>1337.5216064000001</v>
      </c>
      <c r="I581">
        <v>1321.8522949000001</v>
      </c>
      <c r="J581">
        <v>1317.7687988</v>
      </c>
      <c r="K581">
        <v>2400</v>
      </c>
      <c r="L581">
        <v>0</v>
      </c>
      <c r="M581">
        <v>0</v>
      </c>
      <c r="N581">
        <v>2400</v>
      </c>
    </row>
    <row r="582" spans="1:14" x14ac:dyDescent="0.25">
      <c r="A582">
        <v>96.164456000000001</v>
      </c>
      <c r="B582" s="1">
        <f>DATE(2010,8,5) + TIME(3,56,49)</f>
        <v>40395.164456018516</v>
      </c>
      <c r="C582">
        <v>80</v>
      </c>
      <c r="D582">
        <v>79.947357178000004</v>
      </c>
      <c r="E582">
        <v>50</v>
      </c>
      <c r="F582">
        <v>15.772146225</v>
      </c>
      <c r="G582">
        <v>1339.7989502</v>
      </c>
      <c r="H582">
        <v>1337.5196533000001</v>
      </c>
      <c r="I582">
        <v>1321.8565673999999</v>
      </c>
      <c r="J582">
        <v>1317.7720947</v>
      </c>
      <c r="K582">
        <v>2400</v>
      </c>
      <c r="L582">
        <v>0</v>
      </c>
      <c r="M582">
        <v>0</v>
      </c>
      <c r="N582">
        <v>2400</v>
      </c>
    </row>
    <row r="583" spans="1:14" x14ac:dyDescent="0.25">
      <c r="A583">
        <v>96.463061999999994</v>
      </c>
      <c r="B583" s="1">
        <f>DATE(2010,8,5) + TIME(11,6,48)</f>
        <v>40395.463055555556</v>
      </c>
      <c r="C583">
        <v>80</v>
      </c>
      <c r="D583">
        <v>79.947372436999999</v>
      </c>
      <c r="E583">
        <v>50</v>
      </c>
      <c r="F583">
        <v>15.82060051</v>
      </c>
      <c r="G583">
        <v>1339.7963867000001</v>
      </c>
      <c r="H583">
        <v>1337.5175781</v>
      </c>
      <c r="I583">
        <v>1321.8608397999999</v>
      </c>
      <c r="J583">
        <v>1317.7756348</v>
      </c>
      <c r="K583">
        <v>2400</v>
      </c>
      <c r="L583">
        <v>0</v>
      </c>
      <c r="M583">
        <v>0</v>
      </c>
      <c r="N583">
        <v>2400</v>
      </c>
    </row>
    <row r="584" spans="1:14" x14ac:dyDescent="0.25">
      <c r="A584">
        <v>96.761668</v>
      </c>
      <c r="B584" s="1">
        <f>DATE(2010,8,5) + TIME(18,16,48)</f>
        <v>40395.761666666665</v>
      </c>
      <c r="C584">
        <v>80</v>
      </c>
      <c r="D584">
        <v>79.947387695000003</v>
      </c>
      <c r="E584">
        <v>50</v>
      </c>
      <c r="F584">
        <v>15.871639252</v>
      </c>
      <c r="G584">
        <v>1339.7938231999999</v>
      </c>
      <c r="H584">
        <v>1337.515625</v>
      </c>
      <c r="I584">
        <v>1321.8652344</v>
      </c>
      <c r="J584">
        <v>1317.7791748</v>
      </c>
      <c r="K584">
        <v>2400</v>
      </c>
      <c r="L584">
        <v>0</v>
      </c>
      <c r="M584">
        <v>0</v>
      </c>
      <c r="N584">
        <v>2400</v>
      </c>
    </row>
    <row r="585" spans="1:14" x14ac:dyDescent="0.25">
      <c r="A585">
        <v>97.060272999999995</v>
      </c>
      <c r="B585" s="1">
        <f>DATE(2010,8,6) + TIME(1,26,47)</f>
        <v>40396.060266203705</v>
      </c>
      <c r="C585">
        <v>80</v>
      </c>
      <c r="D585">
        <v>79.947402953999998</v>
      </c>
      <c r="E585">
        <v>50</v>
      </c>
      <c r="F585">
        <v>15.925392151</v>
      </c>
      <c r="G585">
        <v>1339.7912598</v>
      </c>
      <c r="H585">
        <v>1337.5135498</v>
      </c>
      <c r="I585">
        <v>1321.8695068</v>
      </c>
      <c r="J585">
        <v>1317.7828368999999</v>
      </c>
      <c r="K585">
        <v>2400</v>
      </c>
      <c r="L585">
        <v>0</v>
      </c>
      <c r="M585">
        <v>0</v>
      </c>
      <c r="N585">
        <v>2400</v>
      </c>
    </row>
    <row r="586" spans="1:14" x14ac:dyDescent="0.25">
      <c r="A586">
        <v>97.358879000000002</v>
      </c>
      <c r="B586" s="1">
        <f>DATE(2010,8,6) + TIME(8,36,47)</f>
        <v>40396.358877314815</v>
      </c>
      <c r="C586">
        <v>80</v>
      </c>
      <c r="D586">
        <v>79.947418213000006</v>
      </c>
      <c r="E586">
        <v>50</v>
      </c>
      <c r="F586">
        <v>15.981984138</v>
      </c>
      <c r="G586">
        <v>1339.7886963000001</v>
      </c>
      <c r="H586">
        <v>1337.5115966999999</v>
      </c>
      <c r="I586">
        <v>1321.8740233999999</v>
      </c>
      <c r="J586">
        <v>1317.7866211</v>
      </c>
      <c r="K586">
        <v>2400</v>
      </c>
      <c r="L586">
        <v>0</v>
      </c>
      <c r="M586">
        <v>0</v>
      </c>
      <c r="N586">
        <v>2400</v>
      </c>
    </row>
    <row r="587" spans="1:14" x14ac:dyDescent="0.25">
      <c r="A587">
        <v>97.657484999999994</v>
      </c>
      <c r="B587" s="1">
        <f>DATE(2010,8,6) + TIME(15,46,46)</f>
        <v>40396.657476851855</v>
      </c>
      <c r="C587">
        <v>80</v>
      </c>
      <c r="D587">
        <v>79.947433472</v>
      </c>
      <c r="E587">
        <v>50</v>
      </c>
      <c r="F587">
        <v>16.041538239000001</v>
      </c>
      <c r="G587">
        <v>1339.7862548999999</v>
      </c>
      <c r="H587">
        <v>1337.5095214999999</v>
      </c>
      <c r="I587">
        <v>1321.878418</v>
      </c>
      <c r="J587">
        <v>1317.7905272999999</v>
      </c>
      <c r="K587">
        <v>2400</v>
      </c>
      <c r="L587">
        <v>0</v>
      </c>
      <c r="M587">
        <v>0</v>
      </c>
      <c r="N587">
        <v>2400</v>
      </c>
    </row>
    <row r="588" spans="1:14" x14ac:dyDescent="0.25">
      <c r="A588">
        <v>97.956090000000003</v>
      </c>
      <c r="B588" s="1">
        <f>DATE(2010,8,6) + TIME(22,56,46)</f>
        <v>40396.956087962964</v>
      </c>
      <c r="C588">
        <v>80</v>
      </c>
      <c r="D588">
        <v>79.947448730000005</v>
      </c>
      <c r="E588">
        <v>50</v>
      </c>
      <c r="F588">
        <v>16.104179382000002</v>
      </c>
      <c r="G588">
        <v>1339.7836914</v>
      </c>
      <c r="H588">
        <v>1337.5075684000001</v>
      </c>
      <c r="I588">
        <v>1321.8829346</v>
      </c>
      <c r="J588">
        <v>1317.7944336</v>
      </c>
      <c r="K588">
        <v>2400</v>
      </c>
      <c r="L588">
        <v>0</v>
      </c>
      <c r="M588">
        <v>0</v>
      </c>
      <c r="N588">
        <v>2400</v>
      </c>
    </row>
    <row r="589" spans="1:14" x14ac:dyDescent="0.25">
      <c r="A589">
        <v>98.553302000000002</v>
      </c>
      <c r="B589" s="1">
        <f>DATE(2010,8,7) + TIME(13,16,45)</f>
        <v>40397.553298611114</v>
      </c>
      <c r="C589">
        <v>80</v>
      </c>
      <c r="D589">
        <v>79.947486877000003</v>
      </c>
      <c r="E589">
        <v>50</v>
      </c>
      <c r="F589">
        <v>16.207328795999999</v>
      </c>
      <c r="G589">
        <v>1339.7806396000001</v>
      </c>
      <c r="H589">
        <v>1337.5050048999999</v>
      </c>
      <c r="I589">
        <v>1321.8856201000001</v>
      </c>
      <c r="J589">
        <v>1317.7990723</v>
      </c>
      <c r="K589">
        <v>2400</v>
      </c>
      <c r="L589">
        <v>0</v>
      </c>
      <c r="M589">
        <v>0</v>
      </c>
      <c r="N589">
        <v>2400</v>
      </c>
    </row>
    <row r="590" spans="1:14" x14ac:dyDescent="0.25">
      <c r="A590">
        <v>99.152910000000006</v>
      </c>
      <c r="B590" s="1">
        <f>DATE(2010,8,8) + TIME(3,40,11)</f>
        <v>40398.152905092589</v>
      </c>
      <c r="C590">
        <v>80</v>
      </c>
      <c r="D590">
        <v>79.947517395000006</v>
      </c>
      <c r="E590">
        <v>50</v>
      </c>
      <c r="F590">
        <v>16.333618164000001</v>
      </c>
      <c r="G590">
        <v>1339.776001</v>
      </c>
      <c r="H590">
        <v>1337.5014647999999</v>
      </c>
      <c r="I590">
        <v>1321.8950195</v>
      </c>
      <c r="J590">
        <v>1317.8070068</v>
      </c>
      <c r="K590">
        <v>2400</v>
      </c>
      <c r="L590">
        <v>0</v>
      </c>
      <c r="M590">
        <v>0</v>
      </c>
      <c r="N590">
        <v>2400</v>
      </c>
    </row>
    <row r="591" spans="1:14" x14ac:dyDescent="0.25">
      <c r="A591">
        <v>99.766947999999999</v>
      </c>
      <c r="B591" s="1">
        <f>DATE(2010,8,8) + TIME(18,24,24)</f>
        <v>40398.766944444447</v>
      </c>
      <c r="C591">
        <v>80</v>
      </c>
      <c r="D591">
        <v>79.947547912999994</v>
      </c>
      <c r="E591">
        <v>50</v>
      </c>
      <c r="F591">
        <v>16.481607437000001</v>
      </c>
      <c r="G591">
        <v>1339.7711182</v>
      </c>
      <c r="H591">
        <v>1337.4975586</v>
      </c>
      <c r="I591">
        <v>1321.9044189000001</v>
      </c>
      <c r="J591">
        <v>1317.8156738</v>
      </c>
      <c r="K591">
        <v>2400</v>
      </c>
      <c r="L591">
        <v>0</v>
      </c>
      <c r="M591">
        <v>0</v>
      </c>
      <c r="N591">
        <v>2400</v>
      </c>
    </row>
    <row r="592" spans="1:14" x14ac:dyDescent="0.25">
      <c r="A592">
        <v>100.078614</v>
      </c>
      <c r="B592" s="1">
        <f>DATE(2010,8,9) + TIME(1,53,12)</f>
        <v>40399.078611111108</v>
      </c>
      <c r="C592">
        <v>80</v>
      </c>
      <c r="D592">
        <v>79.947563170999999</v>
      </c>
      <c r="E592">
        <v>50</v>
      </c>
      <c r="F592">
        <v>16.590427398999999</v>
      </c>
      <c r="G592">
        <v>1339.7668457</v>
      </c>
      <c r="H592">
        <v>1337.4942627</v>
      </c>
      <c r="I592">
        <v>1321.9168701000001</v>
      </c>
      <c r="J592">
        <v>1317.8243408000001</v>
      </c>
      <c r="K592">
        <v>2400</v>
      </c>
      <c r="L592">
        <v>0</v>
      </c>
      <c r="M592">
        <v>0</v>
      </c>
      <c r="N592">
        <v>2400</v>
      </c>
    </row>
    <row r="593" spans="1:14" x14ac:dyDescent="0.25">
      <c r="A593">
        <v>100.685811</v>
      </c>
      <c r="B593" s="1">
        <f>DATE(2010,8,9) + TIME(16,27,34)</f>
        <v>40399.685810185183</v>
      </c>
      <c r="C593">
        <v>80</v>
      </c>
      <c r="D593">
        <v>79.947593689000001</v>
      </c>
      <c r="E593">
        <v>50</v>
      </c>
      <c r="F593">
        <v>16.755773544</v>
      </c>
      <c r="G593">
        <v>1339.7631836</v>
      </c>
      <c r="H593">
        <v>1337.4912108999999</v>
      </c>
      <c r="I593">
        <v>1321.9185791</v>
      </c>
      <c r="J593">
        <v>1317.8306885</v>
      </c>
      <c r="K593">
        <v>2400</v>
      </c>
      <c r="L593">
        <v>0</v>
      </c>
      <c r="M593">
        <v>0</v>
      </c>
      <c r="N593">
        <v>2400</v>
      </c>
    </row>
    <row r="594" spans="1:14" x14ac:dyDescent="0.25">
      <c r="A594">
        <v>100.99215100000001</v>
      </c>
      <c r="B594" s="1">
        <f>DATE(2010,8,9) + TIME(23,48,41)</f>
        <v>40399.9921412037</v>
      </c>
      <c r="C594">
        <v>80</v>
      </c>
      <c r="D594">
        <v>79.947608947999996</v>
      </c>
      <c r="E594">
        <v>50</v>
      </c>
      <c r="F594">
        <v>16.877172470000001</v>
      </c>
      <c r="G594">
        <v>1339.7591553</v>
      </c>
      <c r="H594">
        <v>1337.4881591999999</v>
      </c>
      <c r="I594">
        <v>1321.9312743999999</v>
      </c>
      <c r="J594">
        <v>1317.8397216999999</v>
      </c>
      <c r="K594">
        <v>2400</v>
      </c>
      <c r="L594">
        <v>0</v>
      </c>
      <c r="M594">
        <v>0</v>
      </c>
      <c r="N594">
        <v>2400</v>
      </c>
    </row>
    <row r="595" spans="1:14" x14ac:dyDescent="0.25">
      <c r="A595">
        <v>101.589324</v>
      </c>
      <c r="B595" s="1">
        <f>DATE(2010,8,10) + TIME(14,8,37)</f>
        <v>40400.589317129627</v>
      </c>
      <c r="C595">
        <v>80</v>
      </c>
      <c r="D595">
        <v>79.947639464999995</v>
      </c>
      <c r="E595">
        <v>50</v>
      </c>
      <c r="F595">
        <v>17.061811447</v>
      </c>
      <c r="G595">
        <v>1339.7556152</v>
      </c>
      <c r="H595">
        <v>1337.4851074000001</v>
      </c>
      <c r="I595">
        <v>1321.9326172000001</v>
      </c>
      <c r="J595">
        <v>1317.8464355000001</v>
      </c>
      <c r="K595">
        <v>2400</v>
      </c>
      <c r="L595">
        <v>0</v>
      </c>
      <c r="M595">
        <v>0</v>
      </c>
      <c r="N595">
        <v>2400</v>
      </c>
    </row>
    <row r="596" spans="1:14" x14ac:dyDescent="0.25">
      <c r="A596">
        <v>102.19907600000001</v>
      </c>
      <c r="B596" s="1">
        <f>DATE(2010,8,11) + TIME(4,46,40)</f>
        <v>40401.199074074073</v>
      </c>
      <c r="C596">
        <v>80</v>
      </c>
      <c r="D596">
        <v>79.947677612000007</v>
      </c>
      <c r="E596">
        <v>50</v>
      </c>
      <c r="F596">
        <v>17.273176193000001</v>
      </c>
      <c r="G596">
        <v>1339.7509766000001</v>
      </c>
      <c r="H596">
        <v>1337.4814452999999</v>
      </c>
      <c r="I596">
        <v>1321.9418945</v>
      </c>
      <c r="J596">
        <v>1317.8570557</v>
      </c>
      <c r="K596">
        <v>2400</v>
      </c>
      <c r="L596">
        <v>0</v>
      </c>
      <c r="M596">
        <v>0</v>
      </c>
      <c r="N596">
        <v>2400</v>
      </c>
    </row>
    <row r="597" spans="1:14" x14ac:dyDescent="0.25">
      <c r="A597">
        <v>102.812917</v>
      </c>
      <c r="B597" s="1">
        <f>DATE(2010,8,11) + TIME(19,30,36)</f>
        <v>40401.812916666669</v>
      </c>
      <c r="C597">
        <v>80</v>
      </c>
      <c r="D597">
        <v>79.947708129999995</v>
      </c>
      <c r="E597">
        <v>50</v>
      </c>
      <c r="F597">
        <v>17.508821486999999</v>
      </c>
      <c r="G597">
        <v>1339.7460937999999</v>
      </c>
      <c r="H597">
        <v>1337.4775391000001</v>
      </c>
      <c r="I597">
        <v>1321.9515381000001</v>
      </c>
      <c r="J597">
        <v>1317.8685303</v>
      </c>
      <c r="K597">
        <v>2400</v>
      </c>
      <c r="L597">
        <v>0</v>
      </c>
      <c r="M597">
        <v>0</v>
      </c>
      <c r="N597">
        <v>2400</v>
      </c>
    </row>
    <row r="598" spans="1:14" x14ac:dyDescent="0.25">
      <c r="A598">
        <v>103.12321300000001</v>
      </c>
      <c r="B598" s="1">
        <f>DATE(2010,8,12) + TIME(2,57,25)</f>
        <v>40402.123206018521</v>
      </c>
      <c r="C598">
        <v>80</v>
      </c>
      <c r="D598">
        <v>79.947715759000005</v>
      </c>
      <c r="E598">
        <v>50</v>
      </c>
      <c r="F598">
        <v>17.676609038999999</v>
      </c>
      <c r="G598">
        <v>1339.7419434000001</v>
      </c>
      <c r="H598">
        <v>1337.4743652</v>
      </c>
      <c r="I598">
        <v>1321.965332</v>
      </c>
      <c r="J598">
        <v>1317.8795166</v>
      </c>
      <c r="K598">
        <v>2400</v>
      </c>
      <c r="L598">
        <v>0</v>
      </c>
      <c r="M598">
        <v>0</v>
      </c>
      <c r="N598">
        <v>2400</v>
      </c>
    </row>
    <row r="599" spans="1:14" x14ac:dyDescent="0.25">
      <c r="A599">
        <v>103.433508</v>
      </c>
      <c r="B599" s="1">
        <f>DATE(2010,8,12) + TIME(10,24,15)</f>
        <v>40402.433506944442</v>
      </c>
      <c r="C599">
        <v>80</v>
      </c>
      <c r="D599">
        <v>79.947731017999999</v>
      </c>
      <c r="E599">
        <v>50</v>
      </c>
      <c r="F599">
        <v>17.840387344</v>
      </c>
      <c r="G599">
        <v>1339.7390137</v>
      </c>
      <c r="H599">
        <v>1337.4719238</v>
      </c>
      <c r="I599">
        <v>1321.9694824000001</v>
      </c>
      <c r="J599">
        <v>1317.8867187999999</v>
      </c>
      <c r="K599">
        <v>2400</v>
      </c>
      <c r="L599">
        <v>0</v>
      </c>
      <c r="M599">
        <v>0</v>
      </c>
      <c r="N599">
        <v>2400</v>
      </c>
    </row>
    <row r="600" spans="1:14" x14ac:dyDescent="0.25">
      <c r="A600">
        <v>103.743803</v>
      </c>
      <c r="B600" s="1">
        <f>DATE(2010,8,12) + TIME(17,51,4)</f>
        <v>40402.743796296294</v>
      </c>
      <c r="C600">
        <v>80</v>
      </c>
      <c r="D600">
        <v>79.947746276999993</v>
      </c>
      <c r="E600">
        <v>50</v>
      </c>
      <c r="F600">
        <v>18.003372192</v>
      </c>
      <c r="G600">
        <v>1339.7363281</v>
      </c>
      <c r="H600">
        <v>1337.4697266000001</v>
      </c>
      <c r="I600">
        <v>1321.9735106999999</v>
      </c>
      <c r="J600">
        <v>1317.8937988</v>
      </c>
      <c r="K600">
        <v>2400</v>
      </c>
      <c r="L600">
        <v>0</v>
      </c>
      <c r="M600">
        <v>0</v>
      </c>
      <c r="N600">
        <v>2400</v>
      </c>
    </row>
    <row r="601" spans="1:14" x14ac:dyDescent="0.25">
      <c r="A601">
        <v>104.05409899999999</v>
      </c>
      <c r="B601" s="1">
        <f>DATE(2010,8,13) + TIME(1,17,54)</f>
        <v>40403.054097222222</v>
      </c>
      <c r="C601">
        <v>80</v>
      </c>
      <c r="D601">
        <v>79.947761536000002</v>
      </c>
      <c r="E601">
        <v>50</v>
      </c>
      <c r="F601">
        <v>18.167640685999999</v>
      </c>
      <c r="G601">
        <v>1339.7337646000001</v>
      </c>
      <c r="H601">
        <v>1337.4676514</v>
      </c>
      <c r="I601">
        <v>1321.9777832</v>
      </c>
      <c r="J601">
        <v>1317.9008789</v>
      </c>
      <c r="K601">
        <v>2400</v>
      </c>
      <c r="L601">
        <v>0</v>
      </c>
      <c r="M601">
        <v>0</v>
      </c>
      <c r="N601">
        <v>2400</v>
      </c>
    </row>
    <row r="602" spans="1:14" x14ac:dyDescent="0.25">
      <c r="A602">
        <v>104.364394</v>
      </c>
      <c r="B602" s="1">
        <f>DATE(2010,8,13) + TIME(8,44,43)</f>
        <v>40403.364386574074</v>
      </c>
      <c r="C602">
        <v>80</v>
      </c>
      <c r="D602">
        <v>79.947776794000006</v>
      </c>
      <c r="E602">
        <v>50</v>
      </c>
      <c r="F602">
        <v>18.334503174000002</v>
      </c>
      <c r="G602">
        <v>1339.7312012</v>
      </c>
      <c r="H602">
        <v>1337.4655762</v>
      </c>
      <c r="I602">
        <v>1321.9820557</v>
      </c>
      <c r="J602">
        <v>1317.9080810999999</v>
      </c>
      <c r="K602">
        <v>2400</v>
      </c>
      <c r="L602">
        <v>0</v>
      </c>
      <c r="M602">
        <v>0</v>
      </c>
      <c r="N602">
        <v>2400</v>
      </c>
    </row>
    <row r="603" spans="1:14" x14ac:dyDescent="0.25">
      <c r="A603">
        <v>104.674689</v>
      </c>
      <c r="B603" s="1">
        <f>DATE(2010,8,13) + TIME(16,11,33)</f>
        <v>40403.674687500003</v>
      </c>
      <c r="C603">
        <v>80</v>
      </c>
      <c r="D603">
        <v>79.947792053000001</v>
      </c>
      <c r="E603">
        <v>50</v>
      </c>
      <c r="F603">
        <v>18.504755020000001</v>
      </c>
      <c r="G603">
        <v>1339.7287598</v>
      </c>
      <c r="H603">
        <v>1337.4636230000001</v>
      </c>
      <c r="I603">
        <v>1321.9863281</v>
      </c>
      <c r="J603">
        <v>1317.9154053</v>
      </c>
      <c r="K603">
        <v>2400</v>
      </c>
      <c r="L603">
        <v>0</v>
      </c>
      <c r="M603">
        <v>0</v>
      </c>
      <c r="N603">
        <v>2400</v>
      </c>
    </row>
    <row r="604" spans="1:14" x14ac:dyDescent="0.25">
      <c r="A604">
        <v>104.984984</v>
      </c>
      <c r="B604" s="1">
        <f>DATE(2010,8,13) + TIME(23,38,22)</f>
        <v>40403.984976851854</v>
      </c>
      <c r="C604">
        <v>80</v>
      </c>
      <c r="D604">
        <v>79.947807311999995</v>
      </c>
      <c r="E604">
        <v>50</v>
      </c>
      <c r="F604">
        <v>18.678846359000001</v>
      </c>
      <c r="G604">
        <v>1339.7261963000001</v>
      </c>
      <c r="H604">
        <v>1337.4615478999999</v>
      </c>
      <c r="I604">
        <v>1321.9907227000001</v>
      </c>
      <c r="J604">
        <v>1317.9227295000001</v>
      </c>
      <c r="K604">
        <v>2400</v>
      </c>
      <c r="L604">
        <v>0</v>
      </c>
      <c r="M604">
        <v>0</v>
      </c>
      <c r="N604">
        <v>2400</v>
      </c>
    </row>
    <row r="605" spans="1:14" x14ac:dyDescent="0.25">
      <c r="A605">
        <v>105.29528000000001</v>
      </c>
      <c r="B605" s="1">
        <f>DATE(2010,8,14) + TIME(7,5,12)</f>
        <v>40404.295277777775</v>
      </c>
      <c r="C605">
        <v>80</v>
      </c>
      <c r="D605">
        <v>79.947830199999999</v>
      </c>
      <c r="E605">
        <v>50</v>
      </c>
      <c r="F605">
        <v>18.857013702</v>
      </c>
      <c r="G605">
        <v>1339.7237548999999</v>
      </c>
      <c r="H605">
        <v>1337.4595947</v>
      </c>
      <c r="I605">
        <v>1321.9949951000001</v>
      </c>
      <c r="J605">
        <v>1317.9302978999999</v>
      </c>
      <c r="K605">
        <v>2400</v>
      </c>
      <c r="L605">
        <v>0</v>
      </c>
      <c r="M605">
        <v>0</v>
      </c>
      <c r="N605">
        <v>2400</v>
      </c>
    </row>
    <row r="606" spans="1:14" x14ac:dyDescent="0.25">
      <c r="A606">
        <v>105.605575</v>
      </c>
      <c r="B606" s="1">
        <f>DATE(2010,8,14) + TIME(14,32,1)</f>
        <v>40404.605567129627</v>
      </c>
      <c r="C606">
        <v>80</v>
      </c>
      <c r="D606">
        <v>79.947845459000007</v>
      </c>
      <c r="E606">
        <v>50</v>
      </c>
      <c r="F606">
        <v>19.039333343999999</v>
      </c>
      <c r="G606">
        <v>1339.7213135</v>
      </c>
      <c r="H606">
        <v>1337.4576416</v>
      </c>
      <c r="I606">
        <v>1321.9992675999999</v>
      </c>
      <c r="J606">
        <v>1317.9379882999999</v>
      </c>
      <c r="K606">
        <v>2400</v>
      </c>
      <c r="L606">
        <v>0</v>
      </c>
      <c r="M606">
        <v>0</v>
      </c>
      <c r="N606">
        <v>2400</v>
      </c>
    </row>
    <row r="607" spans="1:14" x14ac:dyDescent="0.25">
      <c r="A607">
        <v>105.91587</v>
      </c>
      <c r="B607" s="1">
        <f>DATE(2010,8,14) + TIME(21,58,51)</f>
        <v>40404.915868055556</v>
      </c>
      <c r="C607">
        <v>80</v>
      </c>
      <c r="D607">
        <v>79.947860718000001</v>
      </c>
      <c r="E607">
        <v>50</v>
      </c>
      <c r="F607">
        <v>19.225801468</v>
      </c>
      <c r="G607">
        <v>1339.7188721</v>
      </c>
      <c r="H607">
        <v>1337.4556885</v>
      </c>
      <c r="I607">
        <v>1322.0035399999999</v>
      </c>
      <c r="J607">
        <v>1317.9458007999999</v>
      </c>
      <c r="K607">
        <v>2400</v>
      </c>
      <c r="L607">
        <v>0</v>
      </c>
      <c r="M607">
        <v>0</v>
      </c>
      <c r="N607">
        <v>2400</v>
      </c>
    </row>
    <row r="608" spans="1:14" x14ac:dyDescent="0.25">
      <c r="A608">
        <v>106.22616600000001</v>
      </c>
      <c r="B608" s="1">
        <f>DATE(2010,8,15) + TIME(5,25,40)</f>
        <v>40405.226157407407</v>
      </c>
      <c r="C608">
        <v>80</v>
      </c>
      <c r="D608">
        <v>79.947875976999995</v>
      </c>
      <c r="E608">
        <v>50</v>
      </c>
      <c r="F608">
        <v>19.416391373</v>
      </c>
      <c r="G608">
        <v>1339.7164307</v>
      </c>
      <c r="H608">
        <v>1337.4537353999999</v>
      </c>
      <c r="I608">
        <v>1322.0076904</v>
      </c>
      <c r="J608">
        <v>1317.9537353999999</v>
      </c>
      <c r="K608">
        <v>2400</v>
      </c>
      <c r="L608">
        <v>0</v>
      </c>
      <c r="M608">
        <v>0</v>
      </c>
      <c r="N608">
        <v>2400</v>
      </c>
    </row>
    <row r="609" spans="1:14" x14ac:dyDescent="0.25">
      <c r="A609">
        <v>106.536461</v>
      </c>
      <c r="B609" s="1">
        <f>DATE(2010,8,15) + TIME(12,52,30)</f>
        <v>40405.536458333336</v>
      </c>
      <c r="C609">
        <v>80</v>
      </c>
      <c r="D609">
        <v>79.947891235</v>
      </c>
      <c r="E609">
        <v>50</v>
      </c>
      <c r="F609">
        <v>19.611040115000002</v>
      </c>
      <c r="G609">
        <v>1339.7139893000001</v>
      </c>
      <c r="H609">
        <v>1337.4517822</v>
      </c>
      <c r="I609">
        <v>1322.0119629000001</v>
      </c>
      <c r="J609">
        <v>1317.9617920000001</v>
      </c>
      <c r="K609">
        <v>2400</v>
      </c>
      <c r="L609">
        <v>0</v>
      </c>
      <c r="M609">
        <v>0</v>
      </c>
      <c r="N609">
        <v>2400</v>
      </c>
    </row>
    <row r="610" spans="1:14" x14ac:dyDescent="0.25">
      <c r="A610">
        <v>106.846756</v>
      </c>
      <c r="B610" s="1">
        <f>DATE(2010,8,15) + TIME(20,19,19)</f>
        <v>40405.846747685187</v>
      </c>
      <c r="C610">
        <v>80</v>
      </c>
      <c r="D610">
        <v>79.947906493999994</v>
      </c>
      <c r="E610">
        <v>50</v>
      </c>
      <c r="F610">
        <v>19.809665679999998</v>
      </c>
      <c r="G610">
        <v>1339.7115478999999</v>
      </c>
      <c r="H610">
        <v>1337.4498291</v>
      </c>
      <c r="I610">
        <v>1322.0161132999999</v>
      </c>
      <c r="J610">
        <v>1317.9698486</v>
      </c>
      <c r="K610">
        <v>2400</v>
      </c>
      <c r="L610">
        <v>0</v>
      </c>
      <c r="M610">
        <v>0</v>
      </c>
      <c r="N610">
        <v>2400</v>
      </c>
    </row>
    <row r="611" spans="1:14" x14ac:dyDescent="0.25">
      <c r="A611">
        <v>107.157051</v>
      </c>
      <c r="B611" s="1">
        <f>DATE(2010,8,16) + TIME(3,46,9)</f>
        <v>40406.157048611109</v>
      </c>
      <c r="C611">
        <v>80</v>
      </c>
      <c r="D611">
        <v>79.947929381999998</v>
      </c>
      <c r="E611">
        <v>50</v>
      </c>
      <c r="F611">
        <v>20.012187957999998</v>
      </c>
      <c r="G611">
        <v>1339.7091064000001</v>
      </c>
      <c r="H611">
        <v>1337.447876</v>
      </c>
      <c r="I611">
        <v>1322.0202637</v>
      </c>
      <c r="J611">
        <v>1317.9781493999999</v>
      </c>
      <c r="K611">
        <v>2400</v>
      </c>
      <c r="L611">
        <v>0</v>
      </c>
      <c r="M611">
        <v>0</v>
      </c>
      <c r="N611">
        <v>2400</v>
      </c>
    </row>
    <row r="612" spans="1:14" x14ac:dyDescent="0.25">
      <c r="A612">
        <v>107.467347</v>
      </c>
      <c r="B612" s="1">
        <f>DATE(2010,8,16) + TIME(11,12,58)</f>
        <v>40406.46733796296</v>
      </c>
      <c r="C612">
        <v>80</v>
      </c>
      <c r="D612">
        <v>79.947944641000007</v>
      </c>
      <c r="E612">
        <v>50</v>
      </c>
      <c r="F612">
        <v>20.218715668000002</v>
      </c>
      <c r="G612">
        <v>1339.7066649999999</v>
      </c>
      <c r="H612">
        <v>1337.4459228999999</v>
      </c>
      <c r="I612">
        <v>1322.0242920000001</v>
      </c>
      <c r="J612">
        <v>1317.9865723</v>
      </c>
      <c r="K612">
        <v>2400</v>
      </c>
      <c r="L612">
        <v>0</v>
      </c>
      <c r="M612">
        <v>0</v>
      </c>
      <c r="N612">
        <v>2400</v>
      </c>
    </row>
    <row r="613" spans="1:14" x14ac:dyDescent="0.25">
      <c r="A613">
        <v>107.777642</v>
      </c>
      <c r="B613" s="1">
        <f>DATE(2010,8,16) + TIME(18,39,48)</f>
        <v>40406.777638888889</v>
      </c>
      <c r="C613">
        <v>80</v>
      </c>
      <c r="D613">
        <v>79.947959900000001</v>
      </c>
      <c r="E613">
        <v>50</v>
      </c>
      <c r="F613">
        <v>20.428974151999999</v>
      </c>
      <c r="G613">
        <v>1339.7043457</v>
      </c>
      <c r="H613">
        <v>1337.4439697</v>
      </c>
      <c r="I613">
        <v>1322.0283202999999</v>
      </c>
      <c r="J613">
        <v>1317.9951172000001</v>
      </c>
      <c r="K613">
        <v>2400</v>
      </c>
      <c r="L613">
        <v>0</v>
      </c>
      <c r="M613">
        <v>0</v>
      </c>
      <c r="N613">
        <v>2400</v>
      </c>
    </row>
    <row r="614" spans="1:14" x14ac:dyDescent="0.25">
      <c r="A614">
        <v>108.087937</v>
      </c>
      <c r="B614" s="1">
        <f>DATE(2010,8,17) + TIME(2,6,37)</f>
        <v>40407.08792824074</v>
      </c>
      <c r="C614">
        <v>80</v>
      </c>
      <c r="D614">
        <v>79.947975158999995</v>
      </c>
      <c r="E614">
        <v>50</v>
      </c>
      <c r="F614">
        <v>20.642833710000001</v>
      </c>
      <c r="G614">
        <v>1339.7019043</v>
      </c>
      <c r="H614">
        <v>1337.4420166</v>
      </c>
      <c r="I614">
        <v>1322.0323486</v>
      </c>
      <c r="J614">
        <v>1318.0036620999999</v>
      </c>
      <c r="K614">
        <v>2400</v>
      </c>
      <c r="L614">
        <v>0</v>
      </c>
      <c r="M614">
        <v>0</v>
      </c>
      <c r="N614">
        <v>2400</v>
      </c>
    </row>
    <row r="615" spans="1:14" x14ac:dyDescent="0.25">
      <c r="A615">
        <v>108.398233</v>
      </c>
      <c r="B615" s="1">
        <f>DATE(2010,8,17) + TIME(9,33,27)</f>
        <v>40407.398229166669</v>
      </c>
      <c r="C615">
        <v>80</v>
      </c>
      <c r="D615">
        <v>79.947990417</v>
      </c>
      <c r="E615">
        <v>50</v>
      </c>
      <c r="F615">
        <v>20.860172272</v>
      </c>
      <c r="G615">
        <v>1339.6994629000001</v>
      </c>
      <c r="H615">
        <v>1337.4400635</v>
      </c>
      <c r="I615">
        <v>1322.0363769999999</v>
      </c>
      <c r="J615">
        <v>1318.0124512</v>
      </c>
      <c r="K615">
        <v>2400</v>
      </c>
      <c r="L615">
        <v>0</v>
      </c>
      <c r="M615">
        <v>0</v>
      </c>
      <c r="N615">
        <v>2400</v>
      </c>
    </row>
    <row r="616" spans="1:14" x14ac:dyDescent="0.25">
      <c r="A616">
        <v>108.708528</v>
      </c>
      <c r="B616" s="1">
        <f>DATE(2010,8,17) + TIME(17,0,16)</f>
        <v>40407.708518518521</v>
      </c>
      <c r="C616">
        <v>80</v>
      </c>
      <c r="D616">
        <v>79.948013306000007</v>
      </c>
      <c r="E616">
        <v>50</v>
      </c>
      <c r="F616">
        <v>21.080863953000001</v>
      </c>
      <c r="G616">
        <v>1339.6971435999999</v>
      </c>
      <c r="H616">
        <v>1337.4382324000001</v>
      </c>
      <c r="I616">
        <v>1322.0402832</v>
      </c>
      <c r="J616">
        <v>1318.0212402</v>
      </c>
      <c r="K616">
        <v>2400</v>
      </c>
      <c r="L616">
        <v>0</v>
      </c>
      <c r="M616">
        <v>0</v>
      </c>
      <c r="N616">
        <v>2400</v>
      </c>
    </row>
    <row r="617" spans="1:14" x14ac:dyDescent="0.25">
      <c r="A617">
        <v>109.32911799999999</v>
      </c>
      <c r="B617" s="1">
        <f>DATE(2010,8,18) + TIME(7,53,55)</f>
        <v>40408.329108796293</v>
      </c>
      <c r="C617">
        <v>80</v>
      </c>
      <c r="D617">
        <v>79.948051453000005</v>
      </c>
      <c r="E617">
        <v>50</v>
      </c>
      <c r="F617">
        <v>21.422338486000001</v>
      </c>
      <c r="G617">
        <v>1339.6942139</v>
      </c>
      <c r="H617">
        <v>1337.4357910000001</v>
      </c>
      <c r="I617">
        <v>1322.0389404</v>
      </c>
      <c r="J617">
        <v>1318.0317382999999</v>
      </c>
      <c r="K617">
        <v>2400</v>
      </c>
      <c r="L617">
        <v>0</v>
      </c>
      <c r="M617">
        <v>0</v>
      </c>
      <c r="N617">
        <v>2400</v>
      </c>
    </row>
    <row r="618" spans="1:14" x14ac:dyDescent="0.25">
      <c r="A618">
        <v>109.952112</v>
      </c>
      <c r="B618" s="1">
        <f>DATE(2010,8,18) + TIME(22,51,2)</f>
        <v>40408.952106481483</v>
      </c>
      <c r="C618">
        <v>80</v>
      </c>
      <c r="D618">
        <v>79.948089600000003</v>
      </c>
      <c r="E618">
        <v>50</v>
      </c>
      <c r="F618">
        <v>21.823472977000002</v>
      </c>
      <c r="G618">
        <v>1339.6899414</v>
      </c>
      <c r="H618">
        <v>1337.4323730000001</v>
      </c>
      <c r="I618">
        <v>1322.0483397999999</v>
      </c>
      <c r="J618">
        <v>1318.0482178</v>
      </c>
      <c r="K618">
        <v>2400</v>
      </c>
      <c r="L618">
        <v>0</v>
      </c>
      <c r="M618">
        <v>0</v>
      </c>
      <c r="N618">
        <v>2400</v>
      </c>
    </row>
    <row r="619" spans="1:14" x14ac:dyDescent="0.25">
      <c r="A619">
        <v>110.60379500000001</v>
      </c>
      <c r="B619" s="1">
        <f>DATE(2010,8,19) + TIME(14,29,27)</f>
        <v>40409.603784722225</v>
      </c>
      <c r="C619">
        <v>80</v>
      </c>
      <c r="D619">
        <v>79.948120117000002</v>
      </c>
      <c r="E619">
        <v>50</v>
      </c>
      <c r="F619">
        <v>22.265060425000001</v>
      </c>
      <c r="G619">
        <v>1339.6853027</v>
      </c>
      <c r="H619">
        <v>1337.4285889</v>
      </c>
      <c r="I619">
        <v>1322.0566406</v>
      </c>
      <c r="J619">
        <v>1318.065918</v>
      </c>
      <c r="K619">
        <v>2400</v>
      </c>
      <c r="L619">
        <v>0</v>
      </c>
      <c r="M619">
        <v>0</v>
      </c>
      <c r="N619">
        <v>2400</v>
      </c>
    </row>
    <row r="620" spans="1:14" x14ac:dyDescent="0.25">
      <c r="A620">
        <v>111.28558200000001</v>
      </c>
      <c r="B620" s="1">
        <f>DATE(2010,8,20) + TIME(6,51,14)</f>
        <v>40410.285578703704</v>
      </c>
      <c r="C620">
        <v>80</v>
      </c>
      <c r="D620">
        <v>79.948158264</v>
      </c>
      <c r="E620">
        <v>50</v>
      </c>
      <c r="F620">
        <v>22.743425369000001</v>
      </c>
      <c r="G620">
        <v>1339.6804199000001</v>
      </c>
      <c r="H620">
        <v>1337.4246826000001</v>
      </c>
      <c r="I620">
        <v>1322.0650635</v>
      </c>
      <c r="J620">
        <v>1318.0849608999999</v>
      </c>
      <c r="K620">
        <v>2400</v>
      </c>
      <c r="L620">
        <v>0</v>
      </c>
      <c r="M620">
        <v>0</v>
      </c>
      <c r="N620">
        <v>2400</v>
      </c>
    </row>
    <row r="621" spans="1:14" x14ac:dyDescent="0.25">
      <c r="A621">
        <v>111.970344</v>
      </c>
      <c r="B621" s="1">
        <f>DATE(2010,8,20) + TIME(23,17,17)</f>
        <v>40410.970335648148</v>
      </c>
      <c r="C621">
        <v>80</v>
      </c>
      <c r="D621">
        <v>79.948196410999998</v>
      </c>
      <c r="E621">
        <v>50</v>
      </c>
      <c r="F621">
        <v>23.249666214000001</v>
      </c>
      <c r="G621">
        <v>1339.6754149999999</v>
      </c>
      <c r="H621">
        <v>1337.4206543</v>
      </c>
      <c r="I621">
        <v>1322.0742187999999</v>
      </c>
      <c r="J621">
        <v>1318.1052245999999</v>
      </c>
      <c r="K621">
        <v>2400</v>
      </c>
      <c r="L621">
        <v>0</v>
      </c>
      <c r="M621">
        <v>0</v>
      </c>
      <c r="N621">
        <v>2400</v>
      </c>
    </row>
    <row r="622" spans="1:14" x14ac:dyDescent="0.25">
      <c r="A622">
        <v>112.659747</v>
      </c>
      <c r="B622" s="1">
        <f>DATE(2010,8,21) + TIME(15,50,2)</f>
        <v>40411.659745370373</v>
      </c>
      <c r="C622">
        <v>80</v>
      </c>
      <c r="D622">
        <v>79.948234557999996</v>
      </c>
      <c r="E622">
        <v>50</v>
      </c>
      <c r="F622">
        <v>23.779119492</v>
      </c>
      <c r="G622">
        <v>1339.6704102000001</v>
      </c>
      <c r="H622">
        <v>1337.416626</v>
      </c>
      <c r="I622">
        <v>1322.0831298999999</v>
      </c>
      <c r="J622">
        <v>1318.1260986</v>
      </c>
      <c r="K622">
        <v>2400</v>
      </c>
      <c r="L622">
        <v>0</v>
      </c>
      <c r="M622">
        <v>0</v>
      </c>
      <c r="N622">
        <v>2400</v>
      </c>
    </row>
    <row r="623" spans="1:14" x14ac:dyDescent="0.25">
      <c r="A623">
        <v>113.3618</v>
      </c>
      <c r="B623" s="1">
        <f>DATE(2010,8,22) + TIME(8,40,59)</f>
        <v>40412.361793981479</v>
      </c>
      <c r="C623">
        <v>80</v>
      </c>
      <c r="D623">
        <v>79.948272704999994</v>
      </c>
      <c r="E623">
        <v>50</v>
      </c>
      <c r="F623">
        <v>24.330953598000001</v>
      </c>
      <c r="G623">
        <v>1339.6654053</v>
      </c>
      <c r="H623">
        <v>1337.4125977000001</v>
      </c>
      <c r="I623">
        <v>1322.0916748</v>
      </c>
      <c r="J623">
        <v>1318.1477050999999</v>
      </c>
      <c r="K623">
        <v>2400</v>
      </c>
      <c r="L623">
        <v>0</v>
      </c>
      <c r="M623">
        <v>0</v>
      </c>
      <c r="N623">
        <v>2400</v>
      </c>
    </row>
    <row r="624" spans="1:14" x14ac:dyDescent="0.25">
      <c r="A624">
        <v>114.069722</v>
      </c>
      <c r="B624" s="1">
        <f>DATE(2010,8,23) + TIME(1,40,24)</f>
        <v>40413.069722222222</v>
      </c>
      <c r="C624">
        <v>80</v>
      </c>
      <c r="D624">
        <v>79.948310852000006</v>
      </c>
      <c r="E624">
        <v>50</v>
      </c>
      <c r="F624">
        <v>24.900300980000001</v>
      </c>
      <c r="G624">
        <v>1339.6602783000001</v>
      </c>
      <c r="H624">
        <v>1337.4085693</v>
      </c>
      <c r="I624">
        <v>1322.1003418</v>
      </c>
      <c r="J624">
        <v>1318.1697998</v>
      </c>
      <c r="K624">
        <v>2400</v>
      </c>
      <c r="L624">
        <v>0</v>
      </c>
      <c r="M624">
        <v>0</v>
      </c>
      <c r="N624">
        <v>2400</v>
      </c>
    </row>
    <row r="625" spans="1:14" x14ac:dyDescent="0.25">
      <c r="A625">
        <v>114.783537</v>
      </c>
      <c r="B625" s="1">
        <f>DATE(2010,8,23) + TIME(18,48,17)</f>
        <v>40413.783530092594</v>
      </c>
      <c r="C625">
        <v>80</v>
      </c>
      <c r="D625">
        <v>79.948356627999999</v>
      </c>
      <c r="E625">
        <v>50</v>
      </c>
      <c r="F625">
        <v>25.482997894</v>
      </c>
      <c r="G625">
        <v>1339.6552733999999</v>
      </c>
      <c r="H625">
        <v>1337.4044189000001</v>
      </c>
      <c r="I625">
        <v>1322.1088867000001</v>
      </c>
      <c r="J625">
        <v>1318.1925048999999</v>
      </c>
      <c r="K625">
        <v>2400</v>
      </c>
      <c r="L625">
        <v>0</v>
      </c>
      <c r="M625">
        <v>0</v>
      </c>
      <c r="N625">
        <v>2400</v>
      </c>
    </row>
    <row r="626" spans="1:14" x14ac:dyDescent="0.25">
      <c r="A626">
        <v>115.50156</v>
      </c>
      <c r="B626" s="1">
        <f>DATE(2010,8,24) + TIME(12,2,14)</f>
        <v>40414.501550925925</v>
      </c>
      <c r="C626">
        <v>80</v>
      </c>
      <c r="D626">
        <v>79.948394774999997</v>
      </c>
      <c r="E626">
        <v>50</v>
      </c>
      <c r="F626">
        <v>26.072963715</v>
      </c>
      <c r="G626">
        <v>1339.6501464999999</v>
      </c>
      <c r="H626">
        <v>1337.4003906</v>
      </c>
      <c r="I626">
        <v>1322.1173096</v>
      </c>
      <c r="J626">
        <v>1318.2154541</v>
      </c>
      <c r="K626">
        <v>2400</v>
      </c>
      <c r="L626">
        <v>0</v>
      </c>
      <c r="M626">
        <v>0</v>
      </c>
      <c r="N626">
        <v>2400</v>
      </c>
    </row>
    <row r="627" spans="1:14" x14ac:dyDescent="0.25">
      <c r="A627">
        <v>116.224744</v>
      </c>
      <c r="B627" s="1">
        <f>DATE(2010,8,25) + TIME(5,23,37)</f>
        <v>40415.224733796298</v>
      </c>
      <c r="C627">
        <v>80</v>
      </c>
      <c r="D627">
        <v>79.948432921999995</v>
      </c>
      <c r="E627">
        <v>50</v>
      </c>
      <c r="F627">
        <v>26.664190292000001</v>
      </c>
      <c r="G627">
        <v>1339.6451416</v>
      </c>
      <c r="H627">
        <v>1337.3963623</v>
      </c>
      <c r="I627">
        <v>1322.1258545000001</v>
      </c>
      <c r="J627">
        <v>1318.2386475000001</v>
      </c>
      <c r="K627">
        <v>2400</v>
      </c>
      <c r="L627">
        <v>0</v>
      </c>
      <c r="M627">
        <v>0</v>
      </c>
      <c r="N627">
        <v>2400</v>
      </c>
    </row>
    <row r="628" spans="1:14" x14ac:dyDescent="0.25">
      <c r="A628">
        <v>116.95508100000001</v>
      </c>
      <c r="B628" s="1">
        <f>DATE(2010,8,25) + TIME(22,55,19)</f>
        <v>40415.955081018517</v>
      </c>
      <c r="C628">
        <v>80</v>
      </c>
      <c r="D628">
        <v>79.948471068999993</v>
      </c>
      <c r="E628">
        <v>50</v>
      </c>
      <c r="F628">
        <v>27.252689362000002</v>
      </c>
      <c r="G628">
        <v>1339.6401367000001</v>
      </c>
      <c r="H628">
        <v>1337.3923339999999</v>
      </c>
      <c r="I628">
        <v>1322.1343993999999</v>
      </c>
      <c r="J628">
        <v>1318.2619629000001</v>
      </c>
      <c r="K628">
        <v>2400</v>
      </c>
      <c r="L628">
        <v>0</v>
      </c>
      <c r="M628">
        <v>0</v>
      </c>
      <c r="N628">
        <v>2400</v>
      </c>
    </row>
    <row r="629" spans="1:14" x14ac:dyDescent="0.25">
      <c r="A629">
        <v>117.694855</v>
      </c>
      <c r="B629" s="1">
        <f>DATE(2010,8,26) + TIME(16,40,35)</f>
        <v>40416.694849537038</v>
      </c>
      <c r="C629">
        <v>80</v>
      </c>
      <c r="D629">
        <v>79.948516846000004</v>
      </c>
      <c r="E629">
        <v>50</v>
      </c>
      <c r="F629">
        <v>27.835571289000001</v>
      </c>
      <c r="G629">
        <v>1339.6351318</v>
      </c>
      <c r="H629">
        <v>1337.3883057</v>
      </c>
      <c r="I629">
        <v>1322.1433105000001</v>
      </c>
      <c r="J629">
        <v>1318.2854004000001</v>
      </c>
      <c r="K629">
        <v>2400</v>
      </c>
      <c r="L629">
        <v>0</v>
      </c>
      <c r="M629">
        <v>0</v>
      </c>
      <c r="N629">
        <v>2400</v>
      </c>
    </row>
    <row r="630" spans="1:14" x14ac:dyDescent="0.25">
      <c r="A630">
        <v>118.445605</v>
      </c>
      <c r="B630" s="1">
        <f>DATE(2010,8,27) + TIME(10,41,40)</f>
        <v>40417.445601851854</v>
      </c>
      <c r="C630">
        <v>80</v>
      </c>
      <c r="D630">
        <v>79.948554993000002</v>
      </c>
      <c r="E630">
        <v>50</v>
      </c>
      <c r="F630">
        <v>28.411176682000001</v>
      </c>
      <c r="G630">
        <v>1339.6301269999999</v>
      </c>
      <c r="H630">
        <v>1337.3842772999999</v>
      </c>
      <c r="I630">
        <v>1322.1525879000001</v>
      </c>
      <c r="J630">
        <v>1318.309082</v>
      </c>
      <c r="K630">
        <v>2400</v>
      </c>
      <c r="L630">
        <v>0</v>
      </c>
      <c r="M630">
        <v>0</v>
      </c>
      <c r="N630">
        <v>2400</v>
      </c>
    </row>
    <row r="631" spans="1:14" x14ac:dyDescent="0.25">
      <c r="A631">
        <v>118.823368</v>
      </c>
      <c r="B631" s="1">
        <f>DATE(2010,8,27) + TIME(19,45,39)</f>
        <v>40417.823368055557</v>
      </c>
      <c r="C631">
        <v>80</v>
      </c>
      <c r="D631">
        <v>79.948570251000007</v>
      </c>
      <c r="E631">
        <v>50</v>
      </c>
      <c r="F631">
        <v>28.803237915</v>
      </c>
      <c r="G631">
        <v>1339.6259766000001</v>
      </c>
      <c r="H631">
        <v>1337.3809814000001</v>
      </c>
      <c r="I631">
        <v>1322.168457</v>
      </c>
      <c r="J631">
        <v>1318.3302002</v>
      </c>
      <c r="K631">
        <v>2400</v>
      </c>
      <c r="L631">
        <v>0</v>
      </c>
      <c r="M631">
        <v>0</v>
      </c>
      <c r="N631">
        <v>2400</v>
      </c>
    </row>
    <row r="632" spans="1:14" x14ac:dyDescent="0.25">
      <c r="A632">
        <v>119.20052</v>
      </c>
      <c r="B632" s="1">
        <f>DATE(2010,8,28) + TIME(4,48,44)</f>
        <v>40418.200509259259</v>
      </c>
      <c r="C632">
        <v>80</v>
      </c>
      <c r="D632">
        <v>79.948585510000001</v>
      </c>
      <c r="E632">
        <v>50</v>
      </c>
      <c r="F632">
        <v>29.148180008000001</v>
      </c>
      <c r="G632">
        <v>1339.6229248</v>
      </c>
      <c r="H632">
        <v>1337.3785399999999</v>
      </c>
      <c r="I632">
        <v>1322.1716309000001</v>
      </c>
      <c r="J632">
        <v>1318.3439940999999</v>
      </c>
      <c r="K632">
        <v>2400</v>
      </c>
      <c r="L632">
        <v>0</v>
      </c>
      <c r="M632">
        <v>0</v>
      </c>
      <c r="N632">
        <v>2400</v>
      </c>
    </row>
    <row r="633" spans="1:14" x14ac:dyDescent="0.25">
      <c r="A633">
        <v>119.577212</v>
      </c>
      <c r="B633" s="1">
        <f>DATE(2010,8,28) + TIME(13,51,11)</f>
        <v>40418.577210648145</v>
      </c>
      <c r="C633">
        <v>80</v>
      </c>
      <c r="D633">
        <v>79.948608398000005</v>
      </c>
      <c r="E633">
        <v>50</v>
      </c>
      <c r="F633">
        <v>29.462421417000002</v>
      </c>
      <c r="G633">
        <v>1339.6202393000001</v>
      </c>
      <c r="H633">
        <v>1337.3764647999999</v>
      </c>
      <c r="I633">
        <v>1322.1755370999999</v>
      </c>
      <c r="J633">
        <v>1318.3568115</v>
      </c>
      <c r="K633">
        <v>2400</v>
      </c>
      <c r="L633">
        <v>0</v>
      </c>
      <c r="M633">
        <v>0</v>
      </c>
      <c r="N633">
        <v>2400</v>
      </c>
    </row>
    <row r="634" spans="1:14" x14ac:dyDescent="0.25">
      <c r="A634">
        <v>119.95369700000001</v>
      </c>
      <c r="B634" s="1">
        <f>DATE(2010,8,28) + TIME(22,53,19)</f>
        <v>40418.953692129631</v>
      </c>
      <c r="C634">
        <v>80</v>
      </c>
      <c r="D634">
        <v>79.948623656999999</v>
      </c>
      <c r="E634">
        <v>50</v>
      </c>
      <c r="F634">
        <v>29.756235123</v>
      </c>
      <c r="G634">
        <v>1339.6176757999999</v>
      </c>
      <c r="H634">
        <v>1337.3743896000001</v>
      </c>
      <c r="I634">
        <v>1322.1799315999999</v>
      </c>
      <c r="J634">
        <v>1318.3692627</v>
      </c>
      <c r="K634">
        <v>2400</v>
      </c>
      <c r="L634">
        <v>0</v>
      </c>
      <c r="M634">
        <v>0</v>
      </c>
      <c r="N634">
        <v>2400</v>
      </c>
    </row>
    <row r="635" spans="1:14" x14ac:dyDescent="0.25">
      <c r="A635">
        <v>120.33018199999999</v>
      </c>
      <c r="B635" s="1">
        <f>DATE(2010,8,29) + TIME(7,55,27)</f>
        <v>40419.33017361111</v>
      </c>
      <c r="C635">
        <v>80</v>
      </c>
      <c r="D635">
        <v>79.948646545000003</v>
      </c>
      <c r="E635">
        <v>50</v>
      </c>
      <c r="F635">
        <v>30.036062241</v>
      </c>
      <c r="G635">
        <v>1339.6152344</v>
      </c>
      <c r="H635">
        <v>1337.3723144999999</v>
      </c>
      <c r="I635">
        <v>1322.1846923999999</v>
      </c>
      <c r="J635">
        <v>1318.3814697</v>
      </c>
      <c r="K635">
        <v>2400</v>
      </c>
      <c r="L635">
        <v>0</v>
      </c>
      <c r="M635">
        <v>0</v>
      </c>
      <c r="N635">
        <v>2400</v>
      </c>
    </row>
    <row r="636" spans="1:14" x14ac:dyDescent="0.25">
      <c r="A636">
        <v>120.70666799999999</v>
      </c>
      <c r="B636" s="1">
        <f>DATE(2010,8,29) + TIME(16,57,36)</f>
        <v>40419.706666666665</v>
      </c>
      <c r="C636">
        <v>80</v>
      </c>
      <c r="D636">
        <v>79.948669433999996</v>
      </c>
      <c r="E636">
        <v>50</v>
      </c>
      <c r="F636">
        <v>30.305946349999999</v>
      </c>
      <c r="G636">
        <v>1339.612793</v>
      </c>
      <c r="H636">
        <v>1337.3703613</v>
      </c>
      <c r="I636">
        <v>1322.1898193</v>
      </c>
      <c r="J636">
        <v>1318.3934326000001</v>
      </c>
      <c r="K636">
        <v>2400</v>
      </c>
      <c r="L636">
        <v>0</v>
      </c>
      <c r="M636">
        <v>0</v>
      </c>
      <c r="N636">
        <v>2400</v>
      </c>
    </row>
    <row r="637" spans="1:14" x14ac:dyDescent="0.25">
      <c r="A637">
        <v>121.083153</v>
      </c>
      <c r="B637" s="1">
        <f>DATE(2010,8,30) + TIME(1,59,44)</f>
        <v>40420.083148148151</v>
      </c>
      <c r="C637">
        <v>80</v>
      </c>
      <c r="D637">
        <v>79.948692321999999</v>
      </c>
      <c r="E637">
        <v>50</v>
      </c>
      <c r="F637">
        <v>30.568321227999999</v>
      </c>
      <c r="G637">
        <v>1339.6103516000001</v>
      </c>
      <c r="H637">
        <v>1337.3684082</v>
      </c>
      <c r="I637">
        <v>1322.1950684000001</v>
      </c>
      <c r="J637">
        <v>1318.4052733999999</v>
      </c>
      <c r="K637">
        <v>2400</v>
      </c>
      <c r="L637">
        <v>0</v>
      </c>
      <c r="M637">
        <v>0</v>
      </c>
      <c r="N637">
        <v>2400</v>
      </c>
    </row>
    <row r="638" spans="1:14" x14ac:dyDescent="0.25">
      <c r="A638">
        <v>121.459638</v>
      </c>
      <c r="B638" s="1">
        <f>DATE(2010,8,30) + TIME(11,1,52)</f>
        <v>40420.459629629629</v>
      </c>
      <c r="C638">
        <v>80</v>
      </c>
      <c r="D638">
        <v>79.948707580999994</v>
      </c>
      <c r="E638">
        <v>50</v>
      </c>
      <c r="F638">
        <v>30.824752808</v>
      </c>
      <c r="G638">
        <v>1339.6079102000001</v>
      </c>
      <c r="H638">
        <v>1337.3664550999999</v>
      </c>
      <c r="I638">
        <v>1322.2004394999999</v>
      </c>
      <c r="J638">
        <v>1318.4169922000001</v>
      </c>
      <c r="K638">
        <v>2400</v>
      </c>
      <c r="L638">
        <v>0</v>
      </c>
      <c r="M638">
        <v>0</v>
      </c>
      <c r="N638">
        <v>2400</v>
      </c>
    </row>
    <row r="639" spans="1:14" x14ac:dyDescent="0.25">
      <c r="A639">
        <v>121.836123</v>
      </c>
      <c r="B639" s="1">
        <f>DATE(2010,8,30) + TIME(20,4,1)</f>
        <v>40420.836122685185</v>
      </c>
      <c r="C639">
        <v>80</v>
      </c>
      <c r="D639">
        <v>79.948730468999997</v>
      </c>
      <c r="E639">
        <v>50</v>
      </c>
      <c r="F639">
        <v>31.076240540000001</v>
      </c>
      <c r="G639">
        <v>1339.6054687999999</v>
      </c>
      <c r="H639">
        <v>1337.3645019999999</v>
      </c>
      <c r="I639">
        <v>1322.2058105000001</v>
      </c>
      <c r="J639">
        <v>1318.4287108999999</v>
      </c>
      <c r="K639">
        <v>2400</v>
      </c>
      <c r="L639">
        <v>0</v>
      </c>
      <c r="M639">
        <v>0</v>
      </c>
      <c r="N639">
        <v>2400</v>
      </c>
    </row>
    <row r="640" spans="1:14" x14ac:dyDescent="0.25">
      <c r="A640">
        <v>122.212608</v>
      </c>
      <c r="B640" s="1">
        <f>DATE(2010,8,31) + TIME(5,6,9)</f>
        <v>40421.212604166663</v>
      </c>
      <c r="C640">
        <v>80</v>
      </c>
      <c r="D640">
        <v>79.948753357000001</v>
      </c>
      <c r="E640">
        <v>50</v>
      </c>
      <c r="F640">
        <v>31.323425293</v>
      </c>
      <c r="G640">
        <v>1339.6031493999999</v>
      </c>
      <c r="H640">
        <v>1337.3626709</v>
      </c>
      <c r="I640">
        <v>1322.2114257999999</v>
      </c>
      <c r="J640">
        <v>1318.4403076000001</v>
      </c>
      <c r="K640">
        <v>2400</v>
      </c>
      <c r="L640">
        <v>0</v>
      </c>
      <c r="M640">
        <v>0</v>
      </c>
      <c r="N640">
        <v>2400</v>
      </c>
    </row>
    <row r="641" spans="1:14" x14ac:dyDescent="0.25">
      <c r="A641">
        <v>122.60630399999999</v>
      </c>
      <c r="B641" s="1">
        <f>DATE(2010,8,31) + TIME(14,33,4)</f>
        <v>40421.606296296297</v>
      </c>
      <c r="C641">
        <v>80</v>
      </c>
      <c r="D641">
        <v>79.948776245000005</v>
      </c>
      <c r="E641">
        <v>50</v>
      </c>
      <c r="F641">
        <v>31.573326111</v>
      </c>
      <c r="G641">
        <v>1339.6007079999999</v>
      </c>
      <c r="H641">
        <v>1337.3607178</v>
      </c>
      <c r="I641">
        <v>1322.2167969</v>
      </c>
      <c r="J641">
        <v>1318.4520264</v>
      </c>
      <c r="K641">
        <v>2400</v>
      </c>
      <c r="L641">
        <v>0</v>
      </c>
      <c r="M641">
        <v>0</v>
      </c>
      <c r="N641">
        <v>2400</v>
      </c>
    </row>
    <row r="642" spans="1:14" x14ac:dyDescent="0.25">
      <c r="A642">
        <v>123</v>
      </c>
      <c r="B642" s="1">
        <f>DATE(2010,9,1) + TIME(0,0,0)</f>
        <v>40422</v>
      </c>
      <c r="C642">
        <v>80</v>
      </c>
      <c r="D642">
        <v>79.948799132999994</v>
      </c>
      <c r="E642">
        <v>50</v>
      </c>
      <c r="F642">
        <v>31.821212768999999</v>
      </c>
      <c r="G642">
        <v>1339.5982666</v>
      </c>
      <c r="H642">
        <v>1337.3587646000001</v>
      </c>
      <c r="I642">
        <v>1322.2227783000001</v>
      </c>
      <c r="J642">
        <v>1318.4639893000001</v>
      </c>
      <c r="K642">
        <v>2400</v>
      </c>
      <c r="L642">
        <v>0</v>
      </c>
      <c r="M642">
        <v>0</v>
      </c>
      <c r="N642">
        <v>2400</v>
      </c>
    </row>
    <row r="643" spans="1:14" x14ac:dyDescent="0.25">
      <c r="A643">
        <v>123.76244</v>
      </c>
      <c r="B643" s="1">
        <f>DATE(2010,9,1) + TIME(18,17,54)</f>
        <v>40422.762430555558</v>
      </c>
      <c r="C643">
        <v>80</v>
      </c>
      <c r="D643">
        <v>79.948844910000005</v>
      </c>
      <c r="E643">
        <v>50</v>
      </c>
      <c r="F643">
        <v>32.164737701</v>
      </c>
      <c r="G643">
        <v>1339.5953368999999</v>
      </c>
      <c r="H643">
        <v>1337.3563231999999</v>
      </c>
      <c r="I643">
        <v>1322.2257079999999</v>
      </c>
      <c r="J643">
        <v>1318.4775391000001</v>
      </c>
      <c r="K643">
        <v>2400</v>
      </c>
      <c r="L643">
        <v>0</v>
      </c>
      <c r="M643">
        <v>0</v>
      </c>
      <c r="N643">
        <v>2400</v>
      </c>
    </row>
    <row r="644" spans="1:14" x14ac:dyDescent="0.25">
      <c r="A644">
        <v>124.527349</v>
      </c>
      <c r="B644" s="1">
        <f>DATE(2010,9,2) + TIME(12,39,22)</f>
        <v>40423.527337962965</v>
      </c>
      <c r="C644">
        <v>80</v>
      </c>
      <c r="D644">
        <v>79.948890685999999</v>
      </c>
      <c r="E644">
        <v>50</v>
      </c>
      <c r="F644">
        <v>32.575942992999998</v>
      </c>
      <c r="G644">
        <v>1339.5910644999999</v>
      </c>
      <c r="H644">
        <v>1337.3530272999999</v>
      </c>
      <c r="I644">
        <v>1322.2387695</v>
      </c>
      <c r="J644">
        <v>1318.4986572</v>
      </c>
      <c r="K644">
        <v>2400</v>
      </c>
      <c r="L644">
        <v>0</v>
      </c>
      <c r="M644">
        <v>0</v>
      </c>
      <c r="N644">
        <v>2400</v>
      </c>
    </row>
    <row r="645" spans="1:14" x14ac:dyDescent="0.25">
      <c r="A645">
        <v>125.30385699999999</v>
      </c>
      <c r="B645" s="1">
        <f>DATE(2010,9,3) + TIME(7,17,33)</f>
        <v>40424.303854166668</v>
      </c>
      <c r="C645">
        <v>80</v>
      </c>
      <c r="D645">
        <v>79.948936462000006</v>
      </c>
      <c r="E645">
        <v>50</v>
      </c>
      <c r="F645">
        <v>33.012722015000001</v>
      </c>
      <c r="G645">
        <v>1339.5864257999999</v>
      </c>
      <c r="H645">
        <v>1337.3493652</v>
      </c>
      <c r="I645">
        <v>1322.2512207</v>
      </c>
      <c r="J645">
        <v>1318.520874</v>
      </c>
      <c r="K645">
        <v>2400</v>
      </c>
      <c r="L645">
        <v>0</v>
      </c>
      <c r="M645">
        <v>0</v>
      </c>
      <c r="N645">
        <v>2400</v>
      </c>
    </row>
    <row r="646" spans="1:14" x14ac:dyDescent="0.25">
      <c r="A646">
        <v>126.09135999999999</v>
      </c>
      <c r="B646" s="1">
        <f>DATE(2010,9,4) + TIME(2,11,33)</f>
        <v>40425.091354166667</v>
      </c>
      <c r="C646">
        <v>80</v>
      </c>
      <c r="D646">
        <v>79.948982239000003</v>
      </c>
      <c r="E646">
        <v>50</v>
      </c>
      <c r="F646">
        <v>33.457412720000001</v>
      </c>
      <c r="G646">
        <v>1339.5817870999999</v>
      </c>
      <c r="H646">
        <v>1337.3457031</v>
      </c>
      <c r="I646">
        <v>1322.2637939000001</v>
      </c>
      <c r="J646">
        <v>1318.5439452999999</v>
      </c>
      <c r="K646">
        <v>2400</v>
      </c>
      <c r="L646">
        <v>0</v>
      </c>
      <c r="M646">
        <v>0</v>
      </c>
      <c r="N646">
        <v>2400</v>
      </c>
    </row>
    <row r="647" spans="1:14" x14ac:dyDescent="0.25">
      <c r="A647">
        <v>126.891633</v>
      </c>
      <c r="B647" s="1">
        <f>DATE(2010,9,4) + TIME(21,23,57)</f>
        <v>40425.891631944447</v>
      </c>
      <c r="C647">
        <v>80</v>
      </c>
      <c r="D647">
        <v>79.949028014999996</v>
      </c>
      <c r="E647">
        <v>50</v>
      </c>
      <c r="F647">
        <v>33.902587891000003</v>
      </c>
      <c r="G647">
        <v>1339.5771483999999</v>
      </c>
      <c r="H647">
        <v>1337.3419189000001</v>
      </c>
      <c r="I647">
        <v>1322.2766113</v>
      </c>
      <c r="J647">
        <v>1318.5675048999999</v>
      </c>
      <c r="K647">
        <v>2400</v>
      </c>
      <c r="L647">
        <v>0</v>
      </c>
      <c r="M647">
        <v>0</v>
      </c>
      <c r="N647">
        <v>2400</v>
      </c>
    </row>
    <row r="648" spans="1:14" x14ac:dyDescent="0.25">
      <c r="A648">
        <v>127.69931800000001</v>
      </c>
      <c r="B648" s="1">
        <f>DATE(2010,9,5) + TIME(16,47,1)</f>
        <v>40426.699317129627</v>
      </c>
      <c r="C648">
        <v>80</v>
      </c>
      <c r="D648">
        <v>79.949073791999993</v>
      </c>
      <c r="E648">
        <v>50</v>
      </c>
      <c r="F648">
        <v>34.343917847</v>
      </c>
      <c r="G648">
        <v>1339.5723877</v>
      </c>
      <c r="H648">
        <v>1337.3382568</v>
      </c>
      <c r="I648">
        <v>1322.2897949000001</v>
      </c>
      <c r="J648">
        <v>1318.5915527</v>
      </c>
      <c r="K648">
        <v>2400</v>
      </c>
      <c r="L648">
        <v>0</v>
      </c>
      <c r="M648">
        <v>0</v>
      </c>
      <c r="N648">
        <v>2400</v>
      </c>
    </row>
    <row r="649" spans="1:14" x14ac:dyDescent="0.25">
      <c r="A649">
        <v>128.10816</v>
      </c>
      <c r="B649" s="1">
        <f>DATE(2010,9,6) + TIME(2,35,45)</f>
        <v>40427.108159722222</v>
      </c>
      <c r="C649">
        <v>80</v>
      </c>
      <c r="D649">
        <v>79.949089049999998</v>
      </c>
      <c r="E649">
        <v>50</v>
      </c>
      <c r="F649">
        <v>34.654777527</v>
      </c>
      <c r="G649">
        <v>1339.5684814000001</v>
      </c>
      <c r="H649">
        <v>1337.3352050999999</v>
      </c>
      <c r="I649">
        <v>1322.3070068</v>
      </c>
      <c r="J649">
        <v>1318.6134033000001</v>
      </c>
      <c r="K649">
        <v>2400</v>
      </c>
      <c r="L649">
        <v>0</v>
      </c>
      <c r="M649">
        <v>0</v>
      </c>
      <c r="N649">
        <v>2400</v>
      </c>
    </row>
    <row r="650" spans="1:14" x14ac:dyDescent="0.25">
      <c r="A650">
        <v>128.51590400000001</v>
      </c>
      <c r="B650" s="1">
        <f>DATE(2010,9,6) + TIME(12,22,54)</f>
        <v>40427.515902777777</v>
      </c>
      <c r="C650">
        <v>80</v>
      </c>
      <c r="D650">
        <v>79.949104309000006</v>
      </c>
      <c r="E650">
        <v>50</v>
      </c>
      <c r="F650">
        <v>34.922641753999997</v>
      </c>
      <c r="G650">
        <v>1339.5656738</v>
      </c>
      <c r="H650">
        <v>1337.3330077999999</v>
      </c>
      <c r="I650">
        <v>1322.3128661999999</v>
      </c>
      <c r="J650">
        <v>1318.6276855000001</v>
      </c>
      <c r="K650">
        <v>2400</v>
      </c>
      <c r="L650">
        <v>0</v>
      </c>
      <c r="M650">
        <v>0</v>
      </c>
      <c r="N650">
        <v>2400</v>
      </c>
    </row>
    <row r="651" spans="1:14" x14ac:dyDescent="0.25">
      <c r="A651">
        <v>128.923044</v>
      </c>
      <c r="B651" s="1">
        <f>DATE(2010,9,6) + TIME(22,9,10)</f>
        <v>40427.923032407409</v>
      </c>
      <c r="C651">
        <v>80</v>
      </c>
      <c r="D651">
        <v>79.949127196999996</v>
      </c>
      <c r="E651">
        <v>50</v>
      </c>
      <c r="F651">
        <v>35.164546967</v>
      </c>
      <c r="G651">
        <v>1339.5632324000001</v>
      </c>
      <c r="H651">
        <v>1337.3309326000001</v>
      </c>
      <c r="I651">
        <v>1322.3190918</v>
      </c>
      <c r="J651">
        <v>1318.6411132999999</v>
      </c>
      <c r="K651">
        <v>2400</v>
      </c>
      <c r="L651">
        <v>0</v>
      </c>
      <c r="M651">
        <v>0</v>
      </c>
      <c r="N651">
        <v>2400</v>
      </c>
    </row>
    <row r="652" spans="1:14" x14ac:dyDescent="0.25">
      <c r="A652">
        <v>129.32984500000001</v>
      </c>
      <c r="B652" s="1">
        <f>DATE(2010,9,7) + TIME(7,54,58)</f>
        <v>40428.329837962963</v>
      </c>
      <c r="C652">
        <v>80</v>
      </c>
      <c r="D652">
        <v>79.949150084999999</v>
      </c>
      <c r="E652">
        <v>50</v>
      </c>
      <c r="F652">
        <v>35.39030838</v>
      </c>
      <c r="G652">
        <v>1339.5607910000001</v>
      </c>
      <c r="H652">
        <v>1337.3289795000001</v>
      </c>
      <c r="I652">
        <v>1322.3256836</v>
      </c>
      <c r="J652">
        <v>1318.6540527</v>
      </c>
      <c r="K652">
        <v>2400</v>
      </c>
      <c r="L652">
        <v>0</v>
      </c>
      <c r="M652">
        <v>0</v>
      </c>
      <c r="N652">
        <v>2400</v>
      </c>
    </row>
    <row r="653" spans="1:14" x14ac:dyDescent="0.25">
      <c r="A653">
        <v>129.73664600000001</v>
      </c>
      <c r="B653" s="1">
        <f>DATE(2010,9,7) + TIME(17,40,46)</f>
        <v>40428.736643518518</v>
      </c>
      <c r="C653">
        <v>80</v>
      </c>
      <c r="D653">
        <v>79.949172974000007</v>
      </c>
      <c r="E653">
        <v>50</v>
      </c>
      <c r="F653">
        <v>35.605678558000001</v>
      </c>
      <c r="G653">
        <v>1339.5584716999999</v>
      </c>
      <c r="H653">
        <v>1337.3271483999999</v>
      </c>
      <c r="I653">
        <v>1322.3323975000001</v>
      </c>
      <c r="J653">
        <v>1318.6667480000001</v>
      </c>
      <c r="K653">
        <v>2400</v>
      </c>
      <c r="L653">
        <v>0</v>
      </c>
      <c r="M653">
        <v>0</v>
      </c>
      <c r="N653">
        <v>2400</v>
      </c>
    </row>
    <row r="654" spans="1:14" x14ac:dyDescent="0.25">
      <c r="A654">
        <v>130.14344700000001</v>
      </c>
      <c r="B654" s="1">
        <f>DATE(2010,9,8) + TIME(3,26,33)</f>
        <v>40429.143437500003</v>
      </c>
      <c r="C654">
        <v>80</v>
      </c>
      <c r="D654">
        <v>79.949195861999996</v>
      </c>
      <c r="E654">
        <v>50</v>
      </c>
      <c r="F654">
        <v>35.814002991000002</v>
      </c>
      <c r="G654">
        <v>1339.5561522999999</v>
      </c>
      <c r="H654">
        <v>1337.3253173999999</v>
      </c>
      <c r="I654">
        <v>1322.3393555</v>
      </c>
      <c r="J654">
        <v>1318.6791992000001</v>
      </c>
      <c r="K654">
        <v>2400</v>
      </c>
      <c r="L654">
        <v>0</v>
      </c>
      <c r="M654">
        <v>0</v>
      </c>
      <c r="N654">
        <v>2400</v>
      </c>
    </row>
    <row r="655" spans="1:14" x14ac:dyDescent="0.25">
      <c r="A655">
        <v>130.55024800000001</v>
      </c>
      <c r="B655" s="1">
        <f>DATE(2010,9,8) + TIME(13,12,21)</f>
        <v>40429.550243055557</v>
      </c>
      <c r="C655">
        <v>80</v>
      </c>
      <c r="D655">
        <v>79.94921875</v>
      </c>
      <c r="E655">
        <v>50</v>
      </c>
      <c r="F655">
        <v>36.017253875999998</v>
      </c>
      <c r="G655">
        <v>1339.5538329999999</v>
      </c>
      <c r="H655">
        <v>1337.3234863</v>
      </c>
      <c r="I655">
        <v>1322.3463135</v>
      </c>
      <c r="J655">
        <v>1318.6916504000001</v>
      </c>
      <c r="K655">
        <v>2400</v>
      </c>
      <c r="L655">
        <v>0</v>
      </c>
      <c r="M655">
        <v>0</v>
      </c>
      <c r="N655">
        <v>2400</v>
      </c>
    </row>
    <row r="656" spans="1:14" x14ac:dyDescent="0.25">
      <c r="A656">
        <v>130.95704900000001</v>
      </c>
      <c r="B656" s="1">
        <f>DATE(2010,9,8) + TIME(22,58,9)</f>
        <v>40429.957048611112</v>
      </c>
      <c r="C656">
        <v>80</v>
      </c>
      <c r="D656">
        <v>79.949241638000004</v>
      </c>
      <c r="E656">
        <v>50</v>
      </c>
      <c r="F656">
        <v>36.216609955000003</v>
      </c>
      <c r="G656">
        <v>1339.5515137</v>
      </c>
      <c r="H656">
        <v>1337.3217772999999</v>
      </c>
      <c r="I656">
        <v>1322.3533935999999</v>
      </c>
      <c r="J656">
        <v>1318.7039795000001</v>
      </c>
      <c r="K656">
        <v>2400</v>
      </c>
      <c r="L656">
        <v>0</v>
      </c>
      <c r="M656">
        <v>0</v>
      </c>
      <c r="N656">
        <v>2400</v>
      </c>
    </row>
    <row r="657" spans="1:14" x14ac:dyDescent="0.25">
      <c r="A657">
        <v>131.36385000000001</v>
      </c>
      <c r="B657" s="1">
        <f>DATE(2010,9,9) + TIME(8,43,56)</f>
        <v>40430.363842592589</v>
      </c>
      <c r="C657">
        <v>80</v>
      </c>
      <c r="D657">
        <v>79.949264525999993</v>
      </c>
      <c r="E657">
        <v>50</v>
      </c>
      <c r="F657">
        <v>36.412807465</v>
      </c>
      <c r="G657">
        <v>1339.5493164</v>
      </c>
      <c r="H657">
        <v>1337.3199463000001</v>
      </c>
      <c r="I657">
        <v>1322.3604736</v>
      </c>
      <c r="J657">
        <v>1318.7163086</v>
      </c>
      <c r="K657">
        <v>2400</v>
      </c>
      <c r="L657">
        <v>0</v>
      </c>
      <c r="M657">
        <v>0</v>
      </c>
      <c r="N657">
        <v>2400</v>
      </c>
    </row>
    <row r="658" spans="1:14" x14ac:dyDescent="0.25">
      <c r="A658">
        <v>131.77065099999999</v>
      </c>
      <c r="B658" s="1">
        <f>DATE(2010,9,9) + TIME(18,29,44)</f>
        <v>40430.770648148151</v>
      </c>
      <c r="C658">
        <v>80</v>
      </c>
      <c r="D658">
        <v>79.949287415000001</v>
      </c>
      <c r="E658">
        <v>50</v>
      </c>
      <c r="F658">
        <v>36.606315613</v>
      </c>
      <c r="G658">
        <v>1339.5471190999999</v>
      </c>
      <c r="H658">
        <v>1337.3182373</v>
      </c>
      <c r="I658">
        <v>1322.3675536999999</v>
      </c>
      <c r="J658">
        <v>1318.7286377</v>
      </c>
      <c r="K658">
        <v>2400</v>
      </c>
      <c r="L658">
        <v>0</v>
      </c>
      <c r="M658">
        <v>0</v>
      </c>
      <c r="N658">
        <v>2400</v>
      </c>
    </row>
    <row r="659" spans="1:14" x14ac:dyDescent="0.25">
      <c r="A659">
        <v>132.58425299999999</v>
      </c>
      <c r="B659" s="1">
        <f>DATE(2010,9,10) + TIME(14,1,19)</f>
        <v>40431.584247685183</v>
      </c>
      <c r="C659">
        <v>80</v>
      </c>
      <c r="D659">
        <v>79.949340820000003</v>
      </c>
      <c r="E659">
        <v>50</v>
      </c>
      <c r="F659">
        <v>36.873317718999999</v>
      </c>
      <c r="G659">
        <v>1339.5443115</v>
      </c>
      <c r="H659">
        <v>1337.315918</v>
      </c>
      <c r="I659">
        <v>1322.3725586</v>
      </c>
      <c r="J659">
        <v>1318.7425536999999</v>
      </c>
      <c r="K659">
        <v>2400</v>
      </c>
      <c r="L659">
        <v>0</v>
      </c>
      <c r="M659">
        <v>0</v>
      </c>
      <c r="N659">
        <v>2400</v>
      </c>
    </row>
    <row r="660" spans="1:14" x14ac:dyDescent="0.25">
      <c r="A660">
        <v>133.397865</v>
      </c>
      <c r="B660" s="1">
        <f>DATE(2010,9,11) + TIME(9,32,55)</f>
        <v>40432.397858796299</v>
      </c>
      <c r="C660">
        <v>80</v>
      </c>
      <c r="D660">
        <v>79.949386597</v>
      </c>
      <c r="E660">
        <v>50</v>
      </c>
      <c r="F660">
        <v>37.203552246000001</v>
      </c>
      <c r="G660">
        <v>1339.5402832</v>
      </c>
      <c r="H660">
        <v>1337.3128661999999</v>
      </c>
      <c r="I660">
        <v>1322.3873291</v>
      </c>
      <c r="J660">
        <v>1318.7646483999999</v>
      </c>
      <c r="K660">
        <v>2400</v>
      </c>
      <c r="L660">
        <v>0</v>
      </c>
      <c r="M660">
        <v>0</v>
      </c>
      <c r="N660">
        <v>2400</v>
      </c>
    </row>
    <row r="661" spans="1:14" x14ac:dyDescent="0.25">
      <c r="A661">
        <v>134.22232700000001</v>
      </c>
      <c r="B661" s="1">
        <f>DATE(2010,9,12) + TIME(5,20,9)</f>
        <v>40433.222326388888</v>
      </c>
      <c r="C661">
        <v>80</v>
      </c>
      <c r="D661">
        <v>79.949432372999993</v>
      </c>
      <c r="E661">
        <v>50</v>
      </c>
      <c r="F661">
        <v>37.556629180999998</v>
      </c>
      <c r="G661">
        <v>1339.5360106999999</v>
      </c>
      <c r="H661">
        <v>1337.3094481999999</v>
      </c>
      <c r="I661">
        <v>1322.4019774999999</v>
      </c>
      <c r="J661">
        <v>1318.7882079999999</v>
      </c>
      <c r="K661">
        <v>2400</v>
      </c>
      <c r="L661">
        <v>0</v>
      </c>
      <c r="M661">
        <v>0</v>
      </c>
      <c r="N661">
        <v>2400</v>
      </c>
    </row>
    <row r="662" spans="1:14" x14ac:dyDescent="0.25">
      <c r="A662">
        <v>135.06028599999999</v>
      </c>
      <c r="B662" s="1">
        <f>DATE(2010,9,13) + TIME(1,26,48)</f>
        <v>40434.060277777775</v>
      </c>
      <c r="C662">
        <v>80</v>
      </c>
      <c r="D662">
        <v>79.949478149000001</v>
      </c>
      <c r="E662">
        <v>50</v>
      </c>
      <c r="F662">
        <v>37.918380737</v>
      </c>
      <c r="G662">
        <v>1339.5316161999999</v>
      </c>
      <c r="H662">
        <v>1337.3060303</v>
      </c>
      <c r="I662">
        <v>1322.416626</v>
      </c>
      <c r="J662">
        <v>1318.8126221</v>
      </c>
      <c r="K662">
        <v>2400</v>
      </c>
      <c r="L662">
        <v>0</v>
      </c>
      <c r="M662">
        <v>0</v>
      </c>
      <c r="N662">
        <v>2400</v>
      </c>
    </row>
    <row r="663" spans="1:14" x14ac:dyDescent="0.25">
      <c r="A663">
        <v>135.91116299999999</v>
      </c>
      <c r="B663" s="1">
        <f>DATE(2010,9,13) + TIME(21,52,4)</f>
        <v>40434.911157407405</v>
      </c>
      <c r="C663">
        <v>80</v>
      </c>
      <c r="D663">
        <v>79.949531554999993</v>
      </c>
      <c r="E663">
        <v>50</v>
      </c>
      <c r="F663">
        <v>38.283409118999998</v>
      </c>
      <c r="G663">
        <v>1339.5272216999999</v>
      </c>
      <c r="H663">
        <v>1337.3026123</v>
      </c>
      <c r="I663">
        <v>1322.4316406</v>
      </c>
      <c r="J663">
        <v>1318.8376464999999</v>
      </c>
      <c r="K663">
        <v>2400</v>
      </c>
      <c r="L663">
        <v>0</v>
      </c>
      <c r="M663">
        <v>0</v>
      </c>
      <c r="N663">
        <v>2400</v>
      </c>
    </row>
    <row r="664" spans="1:14" x14ac:dyDescent="0.25">
      <c r="A664">
        <v>136.771468</v>
      </c>
      <c r="B664" s="1">
        <f>DATE(2010,9,14) + TIME(18,30,54)</f>
        <v>40435.771458333336</v>
      </c>
      <c r="C664">
        <v>80</v>
      </c>
      <c r="D664">
        <v>79.949577332000004</v>
      </c>
      <c r="E664">
        <v>50</v>
      </c>
      <c r="F664">
        <v>38.648914337000001</v>
      </c>
      <c r="G664">
        <v>1339.5228271000001</v>
      </c>
      <c r="H664">
        <v>1337.2991943</v>
      </c>
      <c r="I664">
        <v>1322.4468993999999</v>
      </c>
      <c r="J664">
        <v>1318.8631591999999</v>
      </c>
      <c r="K664">
        <v>2400</v>
      </c>
      <c r="L664">
        <v>0</v>
      </c>
      <c r="M664">
        <v>0</v>
      </c>
      <c r="N664">
        <v>2400</v>
      </c>
    </row>
    <row r="665" spans="1:14" x14ac:dyDescent="0.25">
      <c r="A665">
        <v>137.64412200000001</v>
      </c>
      <c r="B665" s="1">
        <f>DATE(2010,9,15) + TIME(15,27,32)</f>
        <v>40436.644120370373</v>
      </c>
      <c r="C665">
        <v>80</v>
      </c>
      <c r="D665">
        <v>79.949623107999997</v>
      </c>
      <c r="E665">
        <v>50</v>
      </c>
      <c r="F665">
        <v>39.013824462999999</v>
      </c>
      <c r="G665">
        <v>1339.5184326000001</v>
      </c>
      <c r="H665">
        <v>1337.2956543</v>
      </c>
      <c r="I665">
        <v>1322.4622803</v>
      </c>
      <c r="J665">
        <v>1318.8890381000001</v>
      </c>
      <c r="K665">
        <v>2400</v>
      </c>
      <c r="L665">
        <v>0</v>
      </c>
      <c r="M665">
        <v>0</v>
      </c>
      <c r="N665">
        <v>2400</v>
      </c>
    </row>
    <row r="666" spans="1:14" x14ac:dyDescent="0.25">
      <c r="A666">
        <v>138.083911</v>
      </c>
      <c r="B666" s="1">
        <f>DATE(2010,9,16) + TIME(2,0,49)</f>
        <v>40437.08390046296</v>
      </c>
      <c r="C666">
        <v>80</v>
      </c>
      <c r="D666">
        <v>79.949645996000001</v>
      </c>
      <c r="E666">
        <v>50</v>
      </c>
      <c r="F666">
        <v>39.278720856</v>
      </c>
      <c r="G666">
        <v>1339.5147704999999</v>
      </c>
      <c r="H666">
        <v>1337.2929687999999</v>
      </c>
      <c r="I666">
        <v>1322.4805908000001</v>
      </c>
      <c r="J666">
        <v>1318.9127197</v>
      </c>
      <c r="K666">
        <v>2400</v>
      </c>
      <c r="L666">
        <v>0</v>
      </c>
      <c r="M666">
        <v>0</v>
      </c>
      <c r="N666">
        <v>2400</v>
      </c>
    </row>
    <row r="667" spans="1:14" x14ac:dyDescent="0.25">
      <c r="A667">
        <v>138.522221</v>
      </c>
      <c r="B667" s="1">
        <f>DATE(2010,9,16) + TIME(12,31,59)</f>
        <v>40437.522210648145</v>
      </c>
      <c r="C667">
        <v>80</v>
      </c>
      <c r="D667">
        <v>79.949668884000005</v>
      </c>
      <c r="E667">
        <v>50</v>
      </c>
      <c r="F667">
        <v>39.503768921000002</v>
      </c>
      <c r="G667">
        <v>1339.5120850000001</v>
      </c>
      <c r="H667">
        <v>1337.2908935999999</v>
      </c>
      <c r="I667">
        <v>1322.4880370999999</v>
      </c>
      <c r="J667">
        <v>1318.9282227000001</v>
      </c>
      <c r="K667">
        <v>2400</v>
      </c>
      <c r="L667">
        <v>0</v>
      </c>
      <c r="M667">
        <v>0</v>
      </c>
      <c r="N667">
        <v>2400</v>
      </c>
    </row>
    <row r="668" spans="1:14" x14ac:dyDescent="0.25">
      <c r="A668">
        <v>138.95993300000001</v>
      </c>
      <c r="B668" s="1">
        <f>DATE(2010,9,16) + TIME(23,2,18)</f>
        <v>40437.959930555553</v>
      </c>
      <c r="C668">
        <v>80</v>
      </c>
      <c r="D668">
        <v>79.949691771999994</v>
      </c>
      <c r="E668">
        <v>50</v>
      </c>
      <c r="F668">
        <v>39.706535338999998</v>
      </c>
      <c r="G668">
        <v>1339.5097656</v>
      </c>
      <c r="H668">
        <v>1337.2889404</v>
      </c>
      <c r="I668">
        <v>1322.4956055</v>
      </c>
      <c r="J668">
        <v>1318.9426269999999</v>
      </c>
      <c r="K668">
        <v>2400</v>
      </c>
      <c r="L668">
        <v>0</v>
      </c>
      <c r="M668">
        <v>0</v>
      </c>
      <c r="N668">
        <v>2400</v>
      </c>
    </row>
    <row r="669" spans="1:14" x14ac:dyDescent="0.25">
      <c r="A669">
        <v>139.39739499999999</v>
      </c>
      <c r="B669" s="1">
        <f>DATE(2010,9,17) + TIME(9,32,14)</f>
        <v>40438.39738425926</v>
      </c>
      <c r="C669">
        <v>80</v>
      </c>
      <c r="D669">
        <v>79.949714661000002</v>
      </c>
      <c r="E669">
        <v>50</v>
      </c>
      <c r="F669">
        <v>39.896476745999998</v>
      </c>
      <c r="G669">
        <v>1339.5075684000001</v>
      </c>
      <c r="H669">
        <v>1337.2872314000001</v>
      </c>
      <c r="I669">
        <v>1322.5032959</v>
      </c>
      <c r="J669">
        <v>1318.9564209</v>
      </c>
      <c r="K669">
        <v>2400</v>
      </c>
      <c r="L669">
        <v>0</v>
      </c>
      <c r="M669">
        <v>0</v>
      </c>
      <c r="N669">
        <v>2400</v>
      </c>
    </row>
    <row r="670" spans="1:14" x14ac:dyDescent="0.25">
      <c r="A670">
        <v>139.834857</v>
      </c>
      <c r="B670" s="1">
        <f>DATE(2010,9,17) + TIME(20,2,11)</f>
        <v>40438.834849537037</v>
      </c>
      <c r="C670">
        <v>80</v>
      </c>
      <c r="D670">
        <v>79.949737549000005</v>
      </c>
      <c r="E670">
        <v>50</v>
      </c>
      <c r="F670">
        <v>40.078758239999999</v>
      </c>
      <c r="G670">
        <v>1339.5053711</v>
      </c>
      <c r="H670">
        <v>1337.2855225000001</v>
      </c>
      <c r="I670">
        <v>1322.5109863</v>
      </c>
      <c r="J670">
        <v>1318.9698486</v>
      </c>
      <c r="K670">
        <v>2400</v>
      </c>
      <c r="L670">
        <v>0</v>
      </c>
      <c r="M670">
        <v>0</v>
      </c>
      <c r="N670">
        <v>2400</v>
      </c>
    </row>
    <row r="671" spans="1:14" x14ac:dyDescent="0.25">
      <c r="A671">
        <v>140.27231900000001</v>
      </c>
      <c r="B671" s="1">
        <f>DATE(2010,9,18) + TIME(6,32,8)</f>
        <v>40439.272314814814</v>
      </c>
      <c r="C671">
        <v>80</v>
      </c>
      <c r="D671">
        <v>79.949760436999995</v>
      </c>
      <c r="E671">
        <v>50</v>
      </c>
      <c r="F671">
        <v>40.25617218</v>
      </c>
      <c r="G671">
        <v>1339.5031738</v>
      </c>
      <c r="H671">
        <v>1337.2838135</v>
      </c>
      <c r="I671">
        <v>1322.5187988</v>
      </c>
      <c r="J671">
        <v>1318.9829102000001</v>
      </c>
      <c r="K671">
        <v>2400</v>
      </c>
      <c r="L671">
        <v>0</v>
      </c>
      <c r="M671">
        <v>0</v>
      </c>
      <c r="N671">
        <v>2400</v>
      </c>
    </row>
    <row r="672" spans="1:14" x14ac:dyDescent="0.25">
      <c r="A672">
        <v>140.70978099999999</v>
      </c>
      <c r="B672" s="1">
        <f>DATE(2010,9,18) + TIME(17,2,5)</f>
        <v>40439.709780092591</v>
      </c>
      <c r="C672">
        <v>80</v>
      </c>
      <c r="D672">
        <v>79.949783324999999</v>
      </c>
      <c r="E672">
        <v>50</v>
      </c>
      <c r="F672">
        <v>40.430191039999997</v>
      </c>
      <c r="G672">
        <v>1339.5010986</v>
      </c>
      <c r="H672">
        <v>1337.2821045000001</v>
      </c>
      <c r="I672">
        <v>1322.5264893000001</v>
      </c>
      <c r="J672">
        <v>1318.9959716999999</v>
      </c>
      <c r="K672">
        <v>2400</v>
      </c>
      <c r="L672">
        <v>0</v>
      </c>
      <c r="M672">
        <v>0</v>
      </c>
      <c r="N672">
        <v>2400</v>
      </c>
    </row>
    <row r="673" spans="1:14" x14ac:dyDescent="0.25">
      <c r="A673">
        <v>141.58470500000001</v>
      </c>
      <c r="B673" s="1">
        <f>DATE(2010,9,19) + TIME(14,1,58)</f>
        <v>40440.584699074076</v>
      </c>
      <c r="C673">
        <v>80</v>
      </c>
      <c r="D673">
        <v>79.94984436</v>
      </c>
      <c r="E673">
        <v>50</v>
      </c>
      <c r="F673">
        <v>40.665054321</v>
      </c>
      <c r="G673">
        <v>1339.4985352000001</v>
      </c>
      <c r="H673">
        <v>1337.2800293</v>
      </c>
      <c r="I673">
        <v>1322.5325928</v>
      </c>
      <c r="J673">
        <v>1319.010376</v>
      </c>
      <c r="K673">
        <v>2400</v>
      </c>
      <c r="L673">
        <v>0</v>
      </c>
      <c r="M673">
        <v>0</v>
      </c>
      <c r="N673">
        <v>2400</v>
      </c>
    </row>
    <row r="674" spans="1:14" x14ac:dyDescent="0.25">
      <c r="A674">
        <v>142.46037200000001</v>
      </c>
      <c r="B674" s="1">
        <f>DATE(2010,9,20) + TIME(11,2,56)</f>
        <v>40441.460370370369</v>
      </c>
      <c r="C674">
        <v>80</v>
      </c>
      <c r="D674">
        <v>79.949897766000007</v>
      </c>
      <c r="E674">
        <v>50</v>
      </c>
      <c r="F674">
        <v>40.961891174000002</v>
      </c>
      <c r="G674">
        <v>1339.4946289</v>
      </c>
      <c r="H674">
        <v>1337.2770995999999</v>
      </c>
      <c r="I674">
        <v>1322.5479736</v>
      </c>
      <c r="J674">
        <v>1319.0328368999999</v>
      </c>
      <c r="K674">
        <v>2400</v>
      </c>
      <c r="L674">
        <v>0</v>
      </c>
      <c r="M674">
        <v>0</v>
      </c>
      <c r="N674">
        <v>2400</v>
      </c>
    </row>
    <row r="675" spans="1:14" x14ac:dyDescent="0.25">
      <c r="A675">
        <v>143.34510800000001</v>
      </c>
      <c r="B675" s="1">
        <f>DATE(2010,9,21) + TIME(8,16,57)</f>
        <v>40442.345104166663</v>
      </c>
      <c r="C675">
        <v>80</v>
      </c>
      <c r="D675">
        <v>79.949943542</v>
      </c>
      <c r="E675">
        <v>50</v>
      </c>
      <c r="F675">
        <v>41.278926849000001</v>
      </c>
      <c r="G675">
        <v>1339.4906006000001</v>
      </c>
      <c r="H675">
        <v>1337.2740478999999</v>
      </c>
      <c r="I675">
        <v>1322.5632324000001</v>
      </c>
      <c r="J675">
        <v>1319.0568848</v>
      </c>
      <c r="K675">
        <v>2400</v>
      </c>
      <c r="L675">
        <v>0</v>
      </c>
      <c r="M675">
        <v>0</v>
      </c>
      <c r="N675">
        <v>2400</v>
      </c>
    </row>
    <row r="676" spans="1:14" x14ac:dyDescent="0.25">
      <c r="A676">
        <v>144.24105399999999</v>
      </c>
      <c r="B676" s="1">
        <f>DATE(2010,9,22) + TIME(5,47,7)</f>
        <v>40443.241053240738</v>
      </c>
      <c r="C676">
        <v>80</v>
      </c>
      <c r="D676">
        <v>79.949996948000006</v>
      </c>
      <c r="E676">
        <v>50</v>
      </c>
      <c r="F676">
        <v>41.601898192999997</v>
      </c>
      <c r="G676">
        <v>1339.4864502</v>
      </c>
      <c r="H676">
        <v>1337.270874</v>
      </c>
      <c r="I676">
        <v>1322.5786132999999</v>
      </c>
      <c r="J676">
        <v>1319.081543</v>
      </c>
      <c r="K676">
        <v>2400</v>
      </c>
      <c r="L676">
        <v>0</v>
      </c>
      <c r="M676">
        <v>0</v>
      </c>
      <c r="N676">
        <v>2400</v>
      </c>
    </row>
    <row r="677" spans="1:14" x14ac:dyDescent="0.25">
      <c r="A677">
        <v>145.14434199999999</v>
      </c>
      <c r="B677" s="1">
        <f>DATE(2010,9,23) + TIME(3,27,51)</f>
        <v>40444.14434027778</v>
      </c>
      <c r="C677">
        <v>80</v>
      </c>
      <c r="D677">
        <v>79.950042725000003</v>
      </c>
      <c r="E677">
        <v>50</v>
      </c>
      <c r="F677">
        <v>41.925113678000002</v>
      </c>
      <c r="G677">
        <v>1339.4824219</v>
      </c>
      <c r="H677">
        <v>1337.2677002</v>
      </c>
      <c r="I677">
        <v>1322.5941161999999</v>
      </c>
      <c r="J677">
        <v>1319.1064452999999</v>
      </c>
      <c r="K677">
        <v>2400</v>
      </c>
      <c r="L677">
        <v>0</v>
      </c>
      <c r="M677">
        <v>0</v>
      </c>
      <c r="N677">
        <v>2400</v>
      </c>
    </row>
    <row r="678" spans="1:14" x14ac:dyDescent="0.25">
      <c r="A678">
        <v>146.05785</v>
      </c>
      <c r="B678" s="1">
        <f>DATE(2010,9,24) + TIME(1,23,18)</f>
        <v>40445.057847222219</v>
      </c>
      <c r="C678">
        <v>80</v>
      </c>
      <c r="D678">
        <v>79.950096130000006</v>
      </c>
      <c r="E678">
        <v>50</v>
      </c>
      <c r="F678">
        <v>42.246349334999998</v>
      </c>
      <c r="G678">
        <v>1339.4782714999999</v>
      </c>
      <c r="H678">
        <v>1337.2645264</v>
      </c>
      <c r="I678">
        <v>1322.6096190999999</v>
      </c>
      <c r="J678">
        <v>1319.1314697</v>
      </c>
      <c r="K678">
        <v>2400</v>
      </c>
      <c r="L678">
        <v>0</v>
      </c>
      <c r="M678">
        <v>0</v>
      </c>
      <c r="N678">
        <v>2400</v>
      </c>
    </row>
    <row r="679" spans="1:14" x14ac:dyDescent="0.25">
      <c r="A679">
        <v>146.98143899999999</v>
      </c>
      <c r="B679" s="1">
        <f>DATE(2010,9,24) + TIME(23,33,16)</f>
        <v>40445.981435185182</v>
      </c>
      <c r="C679">
        <v>80</v>
      </c>
      <c r="D679">
        <v>79.950149535999998</v>
      </c>
      <c r="E679">
        <v>50</v>
      </c>
      <c r="F679">
        <v>42.564968108999999</v>
      </c>
      <c r="G679">
        <v>1339.4742432</v>
      </c>
      <c r="H679">
        <v>1337.2613524999999</v>
      </c>
      <c r="I679">
        <v>1322.6251221</v>
      </c>
      <c r="J679">
        <v>1319.1563721</v>
      </c>
      <c r="K679">
        <v>2400</v>
      </c>
      <c r="L679">
        <v>0</v>
      </c>
      <c r="M679">
        <v>0</v>
      </c>
      <c r="N679">
        <v>2400</v>
      </c>
    </row>
    <row r="680" spans="1:14" x14ac:dyDescent="0.25">
      <c r="A680">
        <v>147.91386399999999</v>
      </c>
      <c r="B680" s="1">
        <f>DATE(2010,9,25) + TIME(21,55,57)</f>
        <v>40446.913854166669</v>
      </c>
      <c r="C680">
        <v>80</v>
      </c>
      <c r="D680">
        <v>79.950202942000004</v>
      </c>
      <c r="E680">
        <v>50</v>
      </c>
      <c r="F680">
        <v>42.880477904999999</v>
      </c>
      <c r="G680">
        <v>1339.4700928</v>
      </c>
      <c r="H680">
        <v>1337.2581786999999</v>
      </c>
      <c r="I680">
        <v>1322.6407471</v>
      </c>
      <c r="J680">
        <v>1319.1813964999999</v>
      </c>
      <c r="K680">
        <v>2400</v>
      </c>
      <c r="L680">
        <v>0</v>
      </c>
      <c r="M680">
        <v>0</v>
      </c>
      <c r="N680">
        <v>2400</v>
      </c>
    </row>
    <row r="681" spans="1:14" x14ac:dyDescent="0.25">
      <c r="A681">
        <v>148.38597799999999</v>
      </c>
      <c r="B681" s="1">
        <f>DATE(2010,9,26) + TIME(9,15,48)</f>
        <v>40447.385972222219</v>
      </c>
      <c r="C681">
        <v>80</v>
      </c>
      <c r="D681">
        <v>79.950218200999998</v>
      </c>
      <c r="E681">
        <v>50</v>
      </c>
      <c r="F681">
        <v>43.112651825</v>
      </c>
      <c r="G681">
        <v>1339.4666748</v>
      </c>
      <c r="H681">
        <v>1337.2557373</v>
      </c>
      <c r="I681">
        <v>1322.6582031</v>
      </c>
      <c r="J681">
        <v>1319.2043457</v>
      </c>
      <c r="K681">
        <v>2400</v>
      </c>
      <c r="L681">
        <v>0</v>
      </c>
      <c r="M681">
        <v>0</v>
      </c>
      <c r="N681">
        <v>2400</v>
      </c>
    </row>
    <row r="682" spans="1:14" x14ac:dyDescent="0.25">
      <c r="A682">
        <v>148.85782599999999</v>
      </c>
      <c r="B682" s="1">
        <f>DATE(2010,9,26) + TIME(20,35,16)</f>
        <v>40447.857824074075</v>
      </c>
      <c r="C682">
        <v>80</v>
      </c>
      <c r="D682">
        <v>79.950241089000002</v>
      </c>
      <c r="E682">
        <v>50</v>
      </c>
      <c r="F682">
        <v>43.306438446000001</v>
      </c>
      <c r="G682">
        <v>1339.4642334</v>
      </c>
      <c r="H682">
        <v>1337.2537841999999</v>
      </c>
      <c r="I682">
        <v>1322.6660156</v>
      </c>
      <c r="J682">
        <v>1319.2192382999999</v>
      </c>
      <c r="K682">
        <v>2400</v>
      </c>
      <c r="L682">
        <v>0</v>
      </c>
      <c r="M682">
        <v>0</v>
      </c>
      <c r="N682">
        <v>2400</v>
      </c>
    </row>
    <row r="683" spans="1:14" x14ac:dyDescent="0.25">
      <c r="A683">
        <v>149.329105</v>
      </c>
      <c r="B683" s="1">
        <f>DATE(2010,9,27) + TIME(7,53,54)</f>
        <v>40448.329097222224</v>
      </c>
      <c r="C683">
        <v>80</v>
      </c>
      <c r="D683">
        <v>79.950271606000001</v>
      </c>
      <c r="E683">
        <v>50</v>
      </c>
      <c r="F683">
        <v>43.479618072999997</v>
      </c>
      <c r="G683">
        <v>1339.4621582</v>
      </c>
      <c r="H683">
        <v>1337.2520752</v>
      </c>
      <c r="I683">
        <v>1322.6738281</v>
      </c>
      <c r="J683">
        <v>1319.2329102000001</v>
      </c>
      <c r="K683">
        <v>2400</v>
      </c>
      <c r="L683">
        <v>0</v>
      </c>
      <c r="M683">
        <v>0</v>
      </c>
      <c r="N683">
        <v>2400</v>
      </c>
    </row>
    <row r="684" spans="1:14" x14ac:dyDescent="0.25">
      <c r="A684">
        <v>149.80018100000001</v>
      </c>
      <c r="B684" s="1">
        <f>DATE(2010,9,27) + TIME(19,12,15)</f>
        <v>40448.800173611111</v>
      </c>
      <c r="C684">
        <v>80</v>
      </c>
      <c r="D684">
        <v>79.950294494999994</v>
      </c>
      <c r="E684">
        <v>50</v>
      </c>
      <c r="F684">
        <v>43.641368866000001</v>
      </c>
      <c r="G684">
        <v>1339.4600829999999</v>
      </c>
      <c r="H684">
        <v>1337.2504882999999</v>
      </c>
      <c r="I684">
        <v>1322.6816406</v>
      </c>
      <c r="J684">
        <v>1319.2459716999999</v>
      </c>
      <c r="K684">
        <v>2400</v>
      </c>
      <c r="L684">
        <v>0</v>
      </c>
      <c r="M684">
        <v>0</v>
      </c>
      <c r="N684">
        <v>2400</v>
      </c>
    </row>
    <row r="685" spans="1:14" x14ac:dyDescent="0.25">
      <c r="A685">
        <v>150.27125699999999</v>
      </c>
      <c r="B685" s="1">
        <f>DATE(2010,9,28) + TIME(6,30,36)</f>
        <v>40449.271249999998</v>
      </c>
      <c r="C685">
        <v>80</v>
      </c>
      <c r="D685">
        <v>79.950317382999998</v>
      </c>
      <c r="E685">
        <v>50</v>
      </c>
      <c r="F685">
        <v>43.796424866000002</v>
      </c>
      <c r="G685">
        <v>1339.4580077999999</v>
      </c>
      <c r="H685">
        <v>1337.2489014</v>
      </c>
      <c r="I685">
        <v>1322.6893310999999</v>
      </c>
      <c r="J685">
        <v>1319.2585449000001</v>
      </c>
      <c r="K685">
        <v>2400</v>
      </c>
      <c r="L685">
        <v>0</v>
      </c>
      <c r="M685">
        <v>0</v>
      </c>
      <c r="N685">
        <v>2400</v>
      </c>
    </row>
    <row r="686" spans="1:14" x14ac:dyDescent="0.25">
      <c r="A686">
        <v>150.742334</v>
      </c>
      <c r="B686" s="1">
        <f>DATE(2010,9,28) + TIME(17,48,57)</f>
        <v>40449.742326388892</v>
      </c>
      <c r="C686">
        <v>80</v>
      </c>
      <c r="D686">
        <v>79.950347899999997</v>
      </c>
      <c r="E686">
        <v>50</v>
      </c>
      <c r="F686">
        <v>43.947216034</v>
      </c>
      <c r="G686">
        <v>1339.4560547000001</v>
      </c>
      <c r="H686">
        <v>1337.2474365</v>
      </c>
      <c r="I686">
        <v>1322.6970214999999</v>
      </c>
      <c r="J686">
        <v>1319.270874</v>
      </c>
      <c r="K686">
        <v>2400</v>
      </c>
      <c r="L686">
        <v>0</v>
      </c>
      <c r="M686">
        <v>0</v>
      </c>
      <c r="N686">
        <v>2400</v>
      </c>
    </row>
    <row r="687" spans="1:14" x14ac:dyDescent="0.25">
      <c r="A687">
        <v>151.21341000000001</v>
      </c>
      <c r="B687" s="1">
        <f>DATE(2010,9,29) + TIME(5,7,18)</f>
        <v>40450.213402777779</v>
      </c>
      <c r="C687">
        <v>80</v>
      </c>
      <c r="D687">
        <v>79.950370789000004</v>
      </c>
      <c r="E687">
        <v>50</v>
      </c>
      <c r="F687">
        <v>44.095005035</v>
      </c>
      <c r="G687">
        <v>1339.4539795000001</v>
      </c>
      <c r="H687">
        <v>1337.2459716999999</v>
      </c>
      <c r="I687">
        <v>1322.7047118999999</v>
      </c>
      <c r="J687">
        <v>1319.2830810999999</v>
      </c>
      <c r="K687">
        <v>2400</v>
      </c>
      <c r="L687">
        <v>0</v>
      </c>
      <c r="M687">
        <v>0</v>
      </c>
      <c r="N687">
        <v>2400</v>
      </c>
    </row>
    <row r="688" spans="1:14" x14ac:dyDescent="0.25">
      <c r="A688">
        <v>151.68448599999999</v>
      </c>
      <c r="B688" s="1">
        <f>DATE(2010,9,29) + TIME(16,25,39)</f>
        <v>40450.684479166666</v>
      </c>
      <c r="C688">
        <v>80</v>
      </c>
      <c r="D688">
        <v>79.950401306000003</v>
      </c>
      <c r="E688">
        <v>50</v>
      </c>
      <c r="F688">
        <v>44.240451813</v>
      </c>
      <c r="G688">
        <v>1339.4520264</v>
      </c>
      <c r="H688">
        <v>1337.2443848</v>
      </c>
      <c r="I688">
        <v>1322.7124022999999</v>
      </c>
      <c r="J688">
        <v>1319.2950439000001</v>
      </c>
      <c r="K688">
        <v>2400</v>
      </c>
      <c r="L688">
        <v>0</v>
      </c>
      <c r="M688">
        <v>0</v>
      </c>
      <c r="N688">
        <v>2400</v>
      </c>
    </row>
    <row r="689" spans="1:14" x14ac:dyDescent="0.25">
      <c r="A689">
        <v>152.155563</v>
      </c>
      <c r="B689" s="1">
        <f>DATE(2010,9,30) + TIME(3,44,0)</f>
        <v>40451.155555555553</v>
      </c>
      <c r="C689">
        <v>80</v>
      </c>
      <c r="D689">
        <v>79.950424193999993</v>
      </c>
      <c r="E689">
        <v>50</v>
      </c>
      <c r="F689">
        <v>44.383903502999999</v>
      </c>
      <c r="G689">
        <v>1339.4501952999999</v>
      </c>
      <c r="H689">
        <v>1337.2429199000001</v>
      </c>
      <c r="I689">
        <v>1322.7199707</v>
      </c>
      <c r="J689">
        <v>1319.3068848</v>
      </c>
      <c r="K689">
        <v>2400</v>
      </c>
      <c r="L689">
        <v>0</v>
      </c>
      <c r="M689">
        <v>0</v>
      </c>
      <c r="N689">
        <v>2400</v>
      </c>
    </row>
    <row r="690" spans="1:14" x14ac:dyDescent="0.25">
      <c r="A690">
        <v>153</v>
      </c>
      <c r="B690" s="1">
        <f>DATE(2010,10,1) + TIME(0,0,0)</f>
        <v>40452</v>
      </c>
      <c r="C690">
        <v>80</v>
      </c>
      <c r="D690">
        <v>79.950477599999999</v>
      </c>
      <c r="E690">
        <v>50</v>
      </c>
      <c r="F690">
        <v>44.566932678000001</v>
      </c>
      <c r="G690">
        <v>1339.447876</v>
      </c>
      <c r="H690">
        <v>1337.2410889</v>
      </c>
      <c r="I690">
        <v>1322.7265625</v>
      </c>
      <c r="J690">
        <v>1319.3198242000001</v>
      </c>
      <c r="K690">
        <v>2400</v>
      </c>
      <c r="L690">
        <v>0</v>
      </c>
      <c r="M690">
        <v>0</v>
      </c>
      <c r="N690">
        <v>2400</v>
      </c>
    </row>
    <row r="691" spans="1:14" x14ac:dyDescent="0.25">
      <c r="A691">
        <v>153.94215299999999</v>
      </c>
      <c r="B691" s="1">
        <f>DATE(2010,10,1) + TIME(22,36,41)</f>
        <v>40452.942141203705</v>
      </c>
      <c r="C691">
        <v>80</v>
      </c>
      <c r="D691">
        <v>79.950531006000006</v>
      </c>
      <c r="E691">
        <v>50</v>
      </c>
      <c r="F691">
        <v>44.799400329999997</v>
      </c>
      <c r="G691">
        <v>1339.4445800999999</v>
      </c>
      <c r="H691">
        <v>1337.2386475000001</v>
      </c>
      <c r="I691">
        <v>1322.739624</v>
      </c>
      <c r="J691">
        <v>1319.3387451000001</v>
      </c>
      <c r="K691">
        <v>2400</v>
      </c>
      <c r="L691">
        <v>0</v>
      </c>
      <c r="M691">
        <v>0</v>
      </c>
      <c r="N691">
        <v>2400</v>
      </c>
    </row>
    <row r="692" spans="1:14" x14ac:dyDescent="0.25">
      <c r="A692">
        <v>154.894035</v>
      </c>
      <c r="B692" s="1">
        <f>DATE(2010,10,2) + TIME(21,27,24)</f>
        <v>40453.89402777778</v>
      </c>
      <c r="C692">
        <v>80</v>
      </c>
      <c r="D692">
        <v>79.950584411999998</v>
      </c>
      <c r="E692">
        <v>50</v>
      </c>
      <c r="F692">
        <v>45.057662964000002</v>
      </c>
      <c r="G692">
        <v>1339.440918</v>
      </c>
      <c r="H692">
        <v>1337.2359618999999</v>
      </c>
      <c r="I692">
        <v>1322.7543945</v>
      </c>
      <c r="J692">
        <v>1319.3603516000001</v>
      </c>
      <c r="K692">
        <v>2400</v>
      </c>
      <c r="L692">
        <v>0</v>
      </c>
      <c r="M692">
        <v>0</v>
      </c>
      <c r="N692">
        <v>2400</v>
      </c>
    </row>
    <row r="693" spans="1:14" x14ac:dyDescent="0.25">
      <c r="A693">
        <v>155.860443</v>
      </c>
      <c r="B693" s="1">
        <f>DATE(2010,10,3) + TIME(20,39,2)</f>
        <v>40454.860439814816</v>
      </c>
      <c r="C693">
        <v>80</v>
      </c>
      <c r="D693">
        <v>79.950637817</v>
      </c>
      <c r="E693">
        <v>50</v>
      </c>
      <c r="F693">
        <v>45.32327652</v>
      </c>
      <c r="G693">
        <v>1339.4371338000001</v>
      </c>
      <c r="H693">
        <v>1337.2331543</v>
      </c>
      <c r="I693">
        <v>1322.7692870999999</v>
      </c>
      <c r="J693">
        <v>1319.3828125</v>
      </c>
      <c r="K693">
        <v>2400</v>
      </c>
      <c r="L693">
        <v>0</v>
      </c>
      <c r="M693">
        <v>0</v>
      </c>
      <c r="N693">
        <v>2400</v>
      </c>
    </row>
    <row r="694" spans="1:14" x14ac:dyDescent="0.25">
      <c r="A694">
        <v>156.84192999999999</v>
      </c>
      <c r="B694" s="1">
        <f>DATE(2010,10,4) + TIME(20,12,22)</f>
        <v>40455.841921296298</v>
      </c>
      <c r="C694">
        <v>80</v>
      </c>
      <c r="D694">
        <v>79.950691223000007</v>
      </c>
      <c r="E694">
        <v>50</v>
      </c>
      <c r="F694">
        <v>45.590305327999999</v>
      </c>
      <c r="G694">
        <v>1339.4333495999999</v>
      </c>
      <c r="H694">
        <v>1337.2302245999999</v>
      </c>
      <c r="I694">
        <v>1322.7843018000001</v>
      </c>
      <c r="J694">
        <v>1319.4056396000001</v>
      </c>
      <c r="K694">
        <v>2400</v>
      </c>
      <c r="L694">
        <v>0</v>
      </c>
      <c r="M694">
        <v>0</v>
      </c>
      <c r="N694">
        <v>2400</v>
      </c>
    </row>
    <row r="695" spans="1:14" x14ac:dyDescent="0.25">
      <c r="A695">
        <v>157.83354800000001</v>
      </c>
      <c r="B695" s="1">
        <f>DATE(2010,10,5) + TIME(20,0,18)</f>
        <v>40456.833541666667</v>
      </c>
      <c r="C695">
        <v>80</v>
      </c>
      <c r="D695">
        <v>79.950752257999994</v>
      </c>
      <c r="E695">
        <v>50</v>
      </c>
      <c r="F695">
        <v>45.856250762999998</v>
      </c>
      <c r="G695">
        <v>1339.4295654</v>
      </c>
      <c r="H695">
        <v>1337.2274170000001</v>
      </c>
      <c r="I695">
        <v>1322.7994385</v>
      </c>
      <c r="J695">
        <v>1319.4285889</v>
      </c>
      <c r="K695">
        <v>2400</v>
      </c>
      <c r="L695">
        <v>0</v>
      </c>
      <c r="M695">
        <v>0</v>
      </c>
      <c r="N695">
        <v>2400</v>
      </c>
    </row>
    <row r="696" spans="1:14" x14ac:dyDescent="0.25">
      <c r="A696">
        <v>158.83862300000001</v>
      </c>
      <c r="B696" s="1">
        <f>DATE(2010,10,6) + TIME(20,7,37)</f>
        <v>40457.838622685187</v>
      </c>
      <c r="C696">
        <v>80</v>
      </c>
      <c r="D696">
        <v>79.950805664000001</v>
      </c>
      <c r="E696">
        <v>50</v>
      </c>
      <c r="F696">
        <v>46.120098114000001</v>
      </c>
      <c r="G696">
        <v>1339.4257812000001</v>
      </c>
      <c r="H696">
        <v>1337.2244873</v>
      </c>
      <c r="I696">
        <v>1322.8146973</v>
      </c>
      <c r="J696">
        <v>1319.4516602000001</v>
      </c>
      <c r="K696">
        <v>2400</v>
      </c>
      <c r="L696">
        <v>0</v>
      </c>
      <c r="M696">
        <v>0</v>
      </c>
      <c r="N696">
        <v>2400</v>
      </c>
    </row>
    <row r="697" spans="1:14" x14ac:dyDescent="0.25">
      <c r="A697">
        <v>159.852476</v>
      </c>
      <c r="B697" s="1">
        <f>DATE(2010,10,7) + TIME(20,27,33)</f>
        <v>40458.852465277778</v>
      </c>
      <c r="C697">
        <v>80</v>
      </c>
      <c r="D697">
        <v>79.950859070000007</v>
      </c>
      <c r="E697">
        <v>50</v>
      </c>
      <c r="F697">
        <v>46.381408690999997</v>
      </c>
      <c r="G697">
        <v>1339.4219971</v>
      </c>
      <c r="H697">
        <v>1337.2216797000001</v>
      </c>
      <c r="I697">
        <v>1322.8300781</v>
      </c>
      <c r="J697">
        <v>1319.4748535000001</v>
      </c>
      <c r="K697">
        <v>2400</v>
      </c>
      <c r="L697">
        <v>0</v>
      </c>
      <c r="M697">
        <v>0</v>
      </c>
      <c r="N697">
        <v>2400</v>
      </c>
    </row>
    <row r="698" spans="1:14" x14ac:dyDescent="0.25">
      <c r="A698">
        <v>160.36476400000001</v>
      </c>
      <c r="B698" s="1">
        <f>DATE(2010,10,8) + TIME(8,45,15)</f>
        <v>40459.364756944444</v>
      </c>
      <c r="C698">
        <v>80</v>
      </c>
      <c r="D698">
        <v>79.950881957999997</v>
      </c>
      <c r="E698">
        <v>50</v>
      </c>
      <c r="F698">
        <v>46.577175140000001</v>
      </c>
      <c r="G698">
        <v>1339.4188231999999</v>
      </c>
      <c r="H698">
        <v>1337.2193603999999</v>
      </c>
      <c r="I698">
        <v>1322.8466797000001</v>
      </c>
      <c r="J698">
        <v>1319.4963379000001</v>
      </c>
      <c r="K698">
        <v>2400</v>
      </c>
      <c r="L698">
        <v>0</v>
      </c>
      <c r="M698">
        <v>0</v>
      </c>
      <c r="N698">
        <v>2400</v>
      </c>
    </row>
    <row r="699" spans="1:14" x14ac:dyDescent="0.25">
      <c r="A699">
        <v>160.87455600000001</v>
      </c>
      <c r="B699" s="1">
        <f>DATE(2010,10,8) + TIME(20,59,21)</f>
        <v>40459.874548611115</v>
      </c>
      <c r="C699">
        <v>80</v>
      </c>
      <c r="D699">
        <v>79.950904846</v>
      </c>
      <c r="E699">
        <v>50</v>
      </c>
      <c r="F699">
        <v>46.737087250000002</v>
      </c>
      <c r="G699">
        <v>1339.416626</v>
      </c>
      <c r="H699">
        <v>1337.2176514</v>
      </c>
      <c r="I699">
        <v>1322.8547363</v>
      </c>
      <c r="J699">
        <v>1319.510376</v>
      </c>
      <c r="K699">
        <v>2400</v>
      </c>
      <c r="L699">
        <v>0</v>
      </c>
      <c r="M699">
        <v>0</v>
      </c>
      <c r="N699">
        <v>2400</v>
      </c>
    </row>
    <row r="700" spans="1:14" x14ac:dyDescent="0.25">
      <c r="A700">
        <v>161.383668</v>
      </c>
      <c r="B700" s="1">
        <f>DATE(2010,10,9) + TIME(9,12,28)</f>
        <v>40460.383657407408</v>
      </c>
      <c r="C700">
        <v>80</v>
      </c>
      <c r="D700">
        <v>79.950935364000003</v>
      </c>
      <c r="E700">
        <v>50</v>
      </c>
      <c r="F700">
        <v>46.878925322999997</v>
      </c>
      <c r="G700">
        <v>1339.4145507999999</v>
      </c>
      <c r="H700">
        <v>1337.2160644999999</v>
      </c>
      <c r="I700">
        <v>1322.8625488</v>
      </c>
      <c r="J700">
        <v>1319.5230713000001</v>
      </c>
      <c r="K700">
        <v>2400</v>
      </c>
      <c r="L700">
        <v>0</v>
      </c>
      <c r="M700">
        <v>0</v>
      </c>
      <c r="N700">
        <v>2400</v>
      </c>
    </row>
    <row r="701" spans="1:14" x14ac:dyDescent="0.25">
      <c r="A701">
        <v>161.89253400000001</v>
      </c>
      <c r="B701" s="1">
        <f>DATE(2010,10,9) + TIME(21,25,14)</f>
        <v>40460.892523148148</v>
      </c>
      <c r="C701">
        <v>80</v>
      </c>
      <c r="D701">
        <v>79.950958252000007</v>
      </c>
      <c r="E701">
        <v>50</v>
      </c>
      <c r="F701">
        <v>47.011245727999999</v>
      </c>
      <c r="G701">
        <v>1339.4127197</v>
      </c>
      <c r="H701">
        <v>1337.2147216999999</v>
      </c>
      <c r="I701">
        <v>1322.8702393000001</v>
      </c>
      <c r="J701">
        <v>1319.5351562000001</v>
      </c>
      <c r="K701">
        <v>2400</v>
      </c>
      <c r="L701">
        <v>0</v>
      </c>
      <c r="M701">
        <v>0</v>
      </c>
      <c r="N701">
        <v>2400</v>
      </c>
    </row>
    <row r="702" spans="1:14" x14ac:dyDescent="0.25">
      <c r="A702">
        <v>162.4014</v>
      </c>
      <c r="B702" s="1">
        <f>DATE(2010,10,10) + TIME(9,38,0)</f>
        <v>40461.401388888888</v>
      </c>
      <c r="C702">
        <v>80</v>
      </c>
      <c r="D702">
        <v>79.950988769999995</v>
      </c>
      <c r="E702">
        <v>50</v>
      </c>
      <c r="F702">
        <v>47.138233184999997</v>
      </c>
      <c r="G702">
        <v>1339.4107666</v>
      </c>
      <c r="H702">
        <v>1337.2132568</v>
      </c>
      <c r="I702">
        <v>1322.8779297000001</v>
      </c>
      <c r="J702">
        <v>1319.5469971</v>
      </c>
      <c r="K702">
        <v>2400</v>
      </c>
      <c r="L702">
        <v>0</v>
      </c>
      <c r="M702">
        <v>0</v>
      </c>
      <c r="N702">
        <v>2400</v>
      </c>
    </row>
    <row r="703" spans="1:14" x14ac:dyDescent="0.25">
      <c r="A703">
        <v>162.91026500000001</v>
      </c>
      <c r="B703" s="1">
        <f>DATE(2010,10,10) + TIME(21,50,46)</f>
        <v>40461.910254629627</v>
      </c>
      <c r="C703">
        <v>80</v>
      </c>
      <c r="D703">
        <v>79.951019286999994</v>
      </c>
      <c r="E703">
        <v>50</v>
      </c>
      <c r="F703">
        <v>47.261924743999998</v>
      </c>
      <c r="G703">
        <v>1339.4089355000001</v>
      </c>
      <c r="H703">
        <v>1337.2119141000001</v>
      </c>
      <c r="I703">
        <v>1322.8854980000001</v>
      </c>
      <c r="J703">
        <v>1319.5584716999999</v>
      </c>
      <c r="K703">
        <v>2400</v>
      </c>
      <c r="L703">
        <v>0</v>
      </c>
      <c r="M703">
        <v>0</v>
      </c>
      <c r="N703">
        <v>2400</v>
      </c>
    </row>
    <row r="704" spans="1:14" x14ac:dyDescent="0.25">
      <c r="A704">
        <v>163.927997</v>
      </c>
      <c r="B704" s="1">
        <f>DATE(2010,10,11) + TIME(22,16,18)</f>
        <v>40462.927986111114</v>
      </c>
      <c r="C704">
        <v>80</v>
      </c>
      <c r="D704">
        <v>79.951080321999996</v>
      </c>
      <c r="E704">
        <v>50</v>
      </c>
      <c r="F704">
        <v>47.422245025999999</v>
      </c>
      <c r="G704">
        <v>1339.4067382999999</v>
      </c>
      <c r="H704">
        <v>1337.2102050999999</v>
      </c>
      <c r="I704">
        <v>1322.8923339999999</v>
      </c>
      <c r="J704">
        <v>1319.5709228999999</v>
      </c>
      <c r="K704">
        <v>2400</v>
      </c>
      <c r="L704">
        <v>0</v>
      </c>
      <c r="M704">
        <v>0</v>
      </c>
      <c r="N704">
        <v>2400</v>
      </c>
    </row>
    <row r="705" spans="1:14" x14ac:dyDescent="0.25">
      <c r="A705">
        <v>164.94736599999999</v>
      </c>
      <c r="B705" s="1">
        <f>DATE(2010,10,12) + TIME(22,44,12)</f>
        <v>40463.94736111111</v>
      </c>
      <c r="C705">
        <v>80</v>
      </c>
      <c r="D705">
        <v>79.951141356999997</v>
      </c>
      <c r="E705">
        <v>50</v>
      </c>
      <c r="F705">
        <v>47.633430480999998</v>
      </c>
      <c r="G705">
        <v>1339.4034423999999</v>
      </c>
      <c r="H705">
        <v>1337.2077637</v>
      </c>
      <c r="I705">
        <v>1322.9068603999999</v>
      </c>
      <c r="J705">
        <v>1319.5906981999999</v>
      </c>
      <c r="K705">
        <v>2400</v>
      </c>
      <c r="L705">
        <v>0</v>
      </c>
      <c r="M705">
        <v>0</v>
      </c>
      <c r="N705">
        <v>2400</v>
      </c>
    </row>
    <row r="706" spans="1:14" x14ac:dyDescent="0.25">
      <c r="A706">
        <v>165.977508</v>
      </c>
      <c r="B706" s="1">
        <f>DATE(2010,10,13) + TIME(23,27,36)</f>
        <v>40464.977500000001</v>
      </c>
      <c r="C706">
        <v>80</v>
      </c>
      <c r="D706">
        <v>79.951194763000004</v>
      </c>
      <c r="E706">
        <v>50</v>
      </c>
      <c r="F706">
        <v>47.858032227000002</v>
      </c>
      <c r="G706">
        <v>1339.3999022999999</v>
      </c>
      <c r="H706">
        <v>1337.2050781</v>
      </c>
      <c r="I706">
        <v>1322.9216309000001</v>
      </c>
      <c r="J706">
        <v>1319.6119385</v>
      </c>
      <c r="K706">
        <v>2400</v>
      </c>
      <c r="L706">
        <v>0</v>
      </c>
      <c r="M706">
        <v>0</v>
      </c>
      <c r="N706">
        <v>2400</v>
      </c>
    </row>
    <row r="707" spans="1:14" x14ac:dyDescent="0.25">
      <c r="A707">
        <v>167.02020200000001</v>
      </c>
      <c r="B707" s="1">
        <f>DATE(2010,10,15) + TIME(0,29,5)</f>
        <v>40466.020196759258</v>
      </c>
      <c r="C707">
        <v>80</v>
      </c>
      <c r="D707">
        <v>79.951255798000005</v>
      </c>
      <c r="E707">
        <v>50</v>
      </c>
      <c r="F707">
        <v>48.085376740000001</v>
      </c>
      <c r="G707">
        <v>1339.3963623</v>
      </c>
      <c r="H707">
        <v>1337.2025146000001</v>
      </c>
      <c r="I707">
        <v>1322.9365233999999</v>
      </c>
      <c r="J707">
        <v>1319.6337891000001</v>
      </c>
      <c r="K707">
        <v>2400</v>
      </c>
      <c r="L707">
        <v>0</v>
      </c>
      <c r="M707">
        <v>0</v>
      </c>
      <c r="N707">
        <v>2400</v>
      </c>
    </row>
    <row r="708" spans="1:14" x14ac:dyDescent="0.25">
      <c r="A708">
        <v>168.072856</v>
      </c>
      <c r="B708" s="1">
        <f>DATE(2010,10,16) + TIME(1,44,54)</f>
        <v>40467.072847222225</v>
      </c>
      <c r="C708">
        <v>80</v>
      </c>
      <c r="D708">
        <v>79.951309203999998</v>
      </c>
      <c r="E708">
        <v>50</v>
      </c>
      <c r="F708">
        <v>48.312019348</v>
      </c>
      <c r="G708">
        <v>1339.3928223</v>
      </c>
      <c r="H708">
        <v>1337.1998291</v>
      </c>
      <c r="I708">
        <v>1322.9516602000001</v>
      </c>
      <c r="J708">
        <v>1319.6560059000001</v>
      </c>
      <c r="K708">
        <v>2400</v>
      </c>
      <c r="L708">
        <v>0</v>
      </c>
      <c r="M708">
        <v>0</v>
      </c>
      <c r="N708">
        <v>2400</v>
      </c>
    </row>
    <row r="709" spans="1:14" x14ac:dyDescent="0.25">
      <c r="A709">
        <v>169.138856</v>
      </c>
      <c r="B709" s="1">
        <f>DATE(2010,10,17) + TIME(3,19,57)</f>
        <v>40468.138854166667</v>
      </c>
      <c r="C709">
        <v>80</v>
      </c>
      <c r="D709">
        <v>79.951370238999999</v>
      </c>
      <c r="E709">
        <v>50</v>
      </c>
      <c r="F709">
        <v>48.536914824999997</v>
      </c>
      <c r="G709">
        <v>1339.3891602000001</v>
      </c>
      <c r="H709">
        <v>1337.1971435999999</v>
      </c>
      <c r="I709">
        <v>1322.9667969</v>
      </c>
      <c r="J709">
        <v>1319.6783447</v>
      </c>
      <c r="K709">
        <v>2400</v>
      </c>
      <c r="L709">
        <v>0</v>
      </c>
      <c r="M709">
        <v>0</v>
      </c>
      <c r="N709">
        <v>2400</v>
      </c>
    </row>
    <row r="710" spans="1:14" x14ac:dyDescent="0.25">
      <c r="A710">
        <v>170.21350699999999</v>
      </c>
      <c r="B710" s="1">
        <f>DATE(2010,10,18) + TIME(5,7,26)</f>
        <v>40469.213495370372</v>
      </c>
      <c r="C710">
        <v>80</v>
      </c>
      <c r="D710">
        <v>79.951423645000006</v>
      </c>
      <c r="E710">
        <v>50</v>
      </c>
      <c r="F710">
        <v>48.759723663000003</v>
      </c>
      <c r="G710">
        <v>1339.3856201000001</v>
      </c>
      <c r="H710">
        <v>1337.1945800999999</v>
      </c>
      <c r="I710">
        <v>1322.9820557</v>
      </c>
      <c r="J710">
        <v>1319.7006836</v>
      </c>
      <c r="K710">
        <v>2400</v>
      </c>
      <c r="L710">
        <v>0</v>
      </c>
      <c r="M710">
        <v>0</v>
      </c>
      <c r="N710">
        <v>2400</v>
      </c>
    </row>
    <row r="711" spans="1:14" x14ac:dyDescent="0.25">
      <c r="A711">
        <v>171.30062699999999</v>
      </c>
      <c r="B711" s="1">
        <f>DATE(2010,10,19) + TIME(7,12,54)</f>
        <v>40470.300625000003</v>
      </c>
      <c r="C711">
        <v>80</v>
      </c>
      <c r="D711">
        <v>79.951484679999993</v>
      </c>
      <c r="E711">
        <v>50</v>
      </c>
      <c r="F711">
        <v>48.980232239000003</v>
      </c>
      <c r="G711">
        <v>1339.3820800999999</v>
      </c>
      <c r="H711">
        <v>1337.1920166</v>
      </c>
      <c r="I711">
        <v>1322.9974365</v>
      </c>
      <c r="J711">
        <v>1319.7230225000001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171.85234600000001</v>
      </c>
      <c r="B712" s="1">
        <f>DATE(2010,10,19) + TIME(20,27,22)</f>
        <v>40470.852337962962</v>
      </c>
      <c r="C712">
        <v>80</v>
      </c>
      <c r="D712">
        <v>79.951507567999997</v>
      </c>
      <c r="E712">
        <v>50</v>
      </c>
      <c r="F712">
        <v>49.148475646999998</v>
      </c>
      <c r="G712">
        <v>1339.3791504000001</v>
      </c>
      <c r="H712">
        <v>1337.1899414</v>
      </c>
      <c r="I712">
        <v>1323.0136719</v>
      </c>
      <c r="J712">
        <v>1319.7440185999999</v>
      </c>
      <c r="K712">
        <v>2400</v>
      </c>
      <c r="L712">
        <v>0</v>
      </c>
      <c r="M712">
        <v>0</v>
      </c>
      <c r="N712">
        <v>2400</v>
      </c>
    </row>
    <row r="713" spans="1:14" x14ac:dyDescent="0.25">
      <c r="A713">
        <v>172.404066</v>
      </c>
      <c r="B713" s="1">
        <f>DATE(2010,10,20) + TIME(9,41,51)</f>
        <v>40471.404062499998</v>
      </c>
      <c r="C713">
        <v>80</v>
      </c>
      <c r="D713">
        <v>79.951538085999999</v>
      </c>
      <c r="E713">
        <v>50</v>
      </c>
      <c r="F713">
        <v>49.284297942999999</v>
      </c>
      <c r="G713">
        <v>1339.3770752</v>
      </c>
      <c r="H713">
        <v>1337.1882324000001</v>
      </c>
      <c r="I713">
        <v>1323.0219727000001</v>
      </c>
      <c r="J713">
        <v>1319.7576904</v>
      </c>
      <c r="K713">
        <v>2400</v>
      </c>
      <c r="L713">
        <v>0</v>
      </c>
      <c r="M713">
        <v>0</v>
      </c>
      <c r="N713">
        <v>2400</v>
      </c>
    </row>
    <row r="714" spans="1:14" x14ac:dyDescent="0.25">
      <c r="A714">
        <v>172.95578499999999</v>
      </c>
      <c r="B714" s="1">
        <f>DATE(2010,10,20) + TIME(22,56,19)</f>
        <v>40471.955775462964</v>
      </c>
      <c r="C714">
        <v>80</v>
      </c>
      <c r="D714">
        <v>79.951560974000003</v>
      </c>
      <c r="E714">
        <v>50</v>
      </c>
      <c r="F714">
        <v>49.404632567999997</v>
      </c>
      <c r="G714">
        <v>1339.3751221</v>
      </c>
      <c r="H714">
        <v>1337.1868896000001</v>
      </c>
      <c r="I714">
        <v>1323.0299072</v>
      </c>
      <c r="J714">
        <v>1319.7701416</v>
      </c>
      <c r="K714">
        <v>2400</v>
      </c>
      <c r="L714">
        <v>0</v>
      </c>
      <c r="M714">
        <v>0</v>
      </c>
      <c r="N714">
        <v>2400</v>
      </c>
    </row>
    <row r="715" spans="1:14" x14ac:dyDescent="0.25">
      <c r="A715">
        <v>173.50750400000001</v>
      </c>
      <c r="B715" s="1">
        <f>DATE(2010,10,21) + TIME(12,10,48)</f>
        <v>40472.5075</v>
      </c>
      <c r="C715">
        <v>80</v>
      </c>
      <c r="D715">
        <v>79.951591492000006</v>
      </c>
      <c r="E715">
        <v>50</v>
      </c>
      <c r="F715">
        <v>49.517181395999998</v>
      </c>
      <c r="G715">
        <v>1339.3732910000001</v>
      </c>
      <c r="H715">
        <v>1337.1855469</v>
      </c>
      <c r="I715">
        <v>1323.0377197</v>
      </c>
      <c r="J715">
        <v>1319.7819824000001</v>
      </c>
      <c r="K715">
        <v>2400</v>
      </c>
      <c r="L715">
        <v>0</v>
      </c>
      <c r="M715">
        <v>0</v>
      </c>
      <c r="N715">
        <v>2400</v>
      </c>
    </row>
    <row r="716" spans="1:14" x14ac:dyDescent="0.25">
      <c r="A716">
        <v>174.059223</v>
      </c>
      <c r="B716" s="1">
        <f>DATE(2010,10,22) + TIME(1,25,16)</f>
        <v>40473.059212962966</v>
      </c>
      <c r="C716">
        <v>80</v>
      </c>
      <c r="D716">
        <v>79.951622009000005</v>
      </c>
      <c r="E716">
        <v>50</v>
      </c>
      <c r="F716">
        <v>49.625495911000002</v>
      </c>
      <c r="G716">
        <v>1339.371582</v>
      </c>
      <c r="H716">
        <v>1337.1842041</v>
      </c>
      <c r="I716">
        <v>1323.0455322</v>
      </c>
      <c r="J716">
        <v>1319.793457</v>
      </c>
      <c r="K716">
        <v>2400</v>
      </c>
      <c r="L716">
        <v>0</v>
      </c>
      <c r="M716">
        <v>0</v>
      </c>
      <c r="N716">
        <v>2400</v>
      </c>
    </row>
    <row r="717" spans="1:14" x14ac:dyDescent="0.25">
      <c r="A717">
        <v>174.61094299999999</v>
      </c>
      <c r="B717" s="1">
        <f>DATE(2010,10,22) + TIME(14,39,45)</f>
        <v>40473.610937500001</v>
      </c>
      <c r="C717">
        <v>80</v>
      </c>
      <c r="D717">
        <v>79.951652526999993</v>
      </c>
      <c r="E717">
        <v>50</v>
      </c>
      <c r="F717">
        <v>49.731140136999997</v>
      </c>
      <c r="G717">
        <v>1339.3698730000001</v>
      </c>
      <c r="H717">
        <v>1337.1829834</v>
      </c>
      <c r="I717">
        <v>1323.0532227000001</v>
      </c>
      <c r="J717">
        <v>1319.8046875</v>
      </c>
      <c r="K717">
        <v>2400</v>
      </c>
      <c r="L717">
        <v>0</v>
      </c>
      <c r="M717">
        <v>0</v>
      </c>
      <c r="N717">
        <v>2400</v>
      </c>
    </row>
    <row r="718" spans="1:14" x14ac:dyDescent="0.25">
      <c r="A718">
        <v>175.16266200000001</v>
      </c>
      <c r="B718" s="1">
        <f>DATE(2010,10,23) + TIME(3,54,13)</f>
        <v>40474.16265046296</v>
      </c>
      <c r="C718">
        <v>80</v>
      </c>
      <c r="D718">
        <v>79.951683044000006</v>
      </c>
      <c r="E718">
        <v>50</v>
      </c>
      <c r="F718">
        <v>49.834819793999998</v>
      </c>
      <c r="G718">
        <v>1339.3680420000001</v>
      </c>
      <c r="H718">
        <v>1337.1816406</v>
      </c>
      <c r="I718">
        <v>1323.0609131000001</v>
      </c>
      <c r="J718">
        <v>1319.815918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175.714381</v>
      </c>
      <c r="B719" s="1">
        <f>DATE(2010,10,23) + TIME(17,8,42)</f>
        <v>40474.714375000003</v>
      </c>
      <c r="C719">
        <v>80</v>
      </c>
      <c r="D719">
        <v>79.951713561999995</v>
      </c>
      <c r="E719">
        <v>50</v>
      </c>
      <c r="F719">
        <v>49.93687439</v>
      </c>
      <c r="G719">
        <v>1339.3663329999999</v>
      </c>
      <c r="H719">
        <v>1337.1804199000001</v>
      </c>
      <c r="I719">
        <v>1323.0684814000001</v>
      </c>
      <c r="J719">
        <v>1319.8269043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176.26610099999999</v>
      </c>
      <c r="B720" s="1">
        <f>DATE(2010,10,24) + TIME(6,23,11)</f>
        <v>40475.266099537039</v>
      </c>
      <c r="C720">
        <v>80</v>
      </c>
      <c r="D720">
        <v>79.951744079999997</v>
      </c>
      <c r="E720">
        <v>50</v>
      </c>
      <c r="F720">
        <v>50.037456511999999</v>
      </c>
      <c r="G720">
        <v>1339.364624</v>
      </c>
      <c r="H720">
        <v>1337.1791992000001</v>
      </c>
      <c r="I720">
        <v>1323.0760498</v>
      </c>
      <c r="J720">
        <v>1319.8378906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177.369539</v>
      </c>
      <c r="B721" s="1">
        <f>DATE(2010,10,25) + TIME(8,52,8)</f>
        <v>40476.369537037041</v>
      </c>
      <c r="C721">
        <v>80</v>
      </c>
      <c r="D721">
        <v>79.951805114999999</v>
      </c>
      <c r="E721">
        <v>50</v>
      </c>
      <c r="F721">
        <v>50.166351317999997</v>
      </c>
      <c r="G721">
        <v>1339.3626709</v>
      </c>
      <c r="H721">
        <v>1337.1776123</v>
      </c>
      <c r="I721">
        <v>1323.0831298999999</v>
      </c>
      <c r="J721">
        <v>1319.8497314000001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178.473263</v>
      </c>
      <c r="B722" s="1">
        <f>DATE(2010,10,26) + TIME(11,21,29)</f>
        <v>40477.473252314812</v>
      </c>
      <c r="C722">
        <v>80</v>
      </c>
      <c r="D722">
        <v>79.951866150000001</v>
      </c>
      <c r="E722">
        <v>50</v>
      </c>
      <c r="F722">
        <v>50.340297698999997</v>
      </c>
      <c r="G722">
        <v>1339.3594971</v>
      </c>
      <c r="H722">
        <v>1337.1754149999999</v>
      </c>
      <c r="I722">
        <v>1323.0972899999999</v>
      </c>
      <c r="J722">
        <v>1319.8684082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179.59317100000001</v>
      </c>
      <c r="B723" s="1">
        <f>DATE(2010,10,27) + TIME(14,14,9)</f>
        <v>40478.593159722222</v>
      </c>
      <c r="C723">
        <v>80</v>
      </c>
      <c r="D723">
        <v>79.951927185000002</v>
      </c>
      <c r="E723">
        <v>50</v>
      </c>
      <c r="F723">
        <v>50.525173187</v>
      </c>
      <c r="G723">
        <v>1339.3563231999999</v>
      </c>
      <c r="H723">
        <v>1337.1730957</v>
      </c>
      <c r="I723">
        <v>1323.1119385</v>
      </c>
      <c r="J723">
        <v>1319.8887939000001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180.732923</v>
      </c>
      <c r="B724" s="1">
        <f>DATE(2010,10,28) + TIME(17,35,24)</f>
        <v>40479.732916666668</v>
      </c>
      <c r="C724">
        <v>80</v>
      </c>
      <c r="D724">
        <v>79.951988220000004</v>
      </c>
      <c r="E724">
        <v>50</v>
      </c>
      <c r="F724">
        <v>50.712673187</v>
      </c>
      <c r="G724">
        <v>1339.3529053</v>
      </c>
      <c r="H724">
        <v>1337.1706543</v>
      </c>
      <c r="I724">
        <v>1323.1268310999999</v>
      </c>
      <c r="J724">
        <v>1319.9099120999999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181.884334</v>
      </c>
      <c r="B725" s="1">
        <f>DATE(2010,10,29) + TIME(21,13,26)</f>
        <v>40480.884328703702</v>
      </c>
      <c r="C725">
        <v>80</v>
      </c>
      <c r="D725">
        <v>79.952049255000006</v>
      </c>
      <c r="E725">
        <v>50</v>
      </c>
      <c r="F725">
        <v>50.900112151999998</v>
      </c>
      <c r="G725">
        <v>1339.3496094</v>
      </c>
      <c r="H725">
        <v>1337.1682129000001</v>
      </c>
      <c r="I725">
        <v>1323.1419678</v>
      </c>
      <c r="J725">
        <v>1319.9312743999999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183.05169699999999</v>
      </c>
      <c r="B726" s="1">
        <f>DATE(2010,10,31) + TIME(1,14,26)</f>
        <v>40482.051689814813</v>
      </c>
      <c r="C726">
        <v>80</v>
      </c>
      <c r="D726">
        <v>79.952110290999997</v>
      </c>
      <c r="E726">
        <v>50</v>
      </c>
      <c r="F726">
        <v>51.086391448999997</v>
      </c>
      <c r="G726">
        <v>1339.3463135</v>
      </c>
      <c r="H726">
        <v>1337.1657714999999</v>
      </c>
      <c r="I726">
        <v>1323.1571045000001</v>
      </c>
      <c r="J726">
        <v>1319.9526367000001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184</v>
      </c>
      <c r="B727" s="1">
        <f>DATE(2010,11,1) + TIME(0,0,0)</f>
        <v>40483</v>
      </c>
      <c r="C727">
        <v>80</v>
      </c>
      <c r="D727">
        <v>79.952163696</v>
      </c>
      <c r="E727">
        <v>50</v>
      </c>
      <c r="F727">
        <v>51.259250641000001</v>
      </c>
      <c r="G727">
        <v>1339.3431396000001</v>
      </c>
      <c r="H727">
        <v>1337.1635742000001</v>
      </c>
      <c r="I727">
        <v>1323.1726074000001</v>
      </c>
      <c r="J727">
        <v>1319.9737548999999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184.000001</v>
      </c>
      <c r="B728" s="1">
        <f>DATE(2010,11,1) + TIME(0,0,0)</f>
        <v>40483</v>
      </c>
      <c r="C728">
        <v>80</v>
      </c>
      <c r="D728">
        <v>79.952125549000002</v>
      </c>
      <c r="E728">
        <v>50</v>
      </c>
      <c r="F728">
        <v>51.259277343999997</v>
      </c>
      <c r="G728">
        <v>1337.1525879000001</v>
      </c>
      <c r="H728">
        <v>1336.5275879000001</v>
      </c>
      <c r="I728">
        <v>1326.5264893000001</v>
      </c>
      <c r="J728">
        <v>1323.1896973</v>
      </c>
      <c r="K728">
        <v>0</v>
      </c>
      <c r="L728">
        <v>2400</v>
      </c>
      <c r="M728">
        <v>2400</v>
      </c>
      <c r="N728">
        <v>0</v>
      </c>
    </row>
    <row r="729" spans="1:14" x14ac:dyDescent="0.25">
      <c r="A729">
        <v>184.00000399999999</v>
      </c>
      <c r="B729" s="1">
        <f>DATE(2010,11,1) + TIME(0,0,0)</f>
        <v>40483</v>
      </c>
      <c r="C729">
        <v>80</v>
      </c>
      <c r="D729">
        <v>79.952018738000007</v>
      </c>
      <c r="E729">
        <v>50</v>
      </c>
      <c r="F729">
        <v>51.259353638</v>
      </c>
      <c r="G729">
        <v>1337.1202393000001</v>
      </c>
      <c r="H729">
        <v>1336.4969481999999</v>
      </c>
      <c r="I729">
        <v>1326.5579834</v>
      </c>
      <c r="J729">
        <v>1323.2399902</v>
      </c>
      <c r="K729">
        <v>0</v>
      </c>
      <c r="L729">
        <v>2400</v>
      </c>
      <c r="M729">
        <v>2400</v>
      </c>
      <c r="N729">
        <v>0</v>
      </c>
    </row>
    <row r="730" spans="1:14" x14ac:dyDescent="0.25">
      <c r="A730">
        <v>184.000013</v>
      </c>
      <c r="B730" s="1">
        <f>DATE(2010,11,1) + TIME(0,0,1)</f>
        <v>40483.000011574077</v>
      </c>
      <c r="C730">
        <v>80</v>
      </c>
      <c r="D730">
        <v>79.951728821000003</v>
      </c>
      <c r="E730">
        <v>50</v>
      </c>
      <c r="F730">
        <v>51.259574890000003</v>
      </c>
      <c r="G730">
        <v>1337.0291748</v>
      </c>
      <c r="H730">
        <v>1336.4102783000001</v>
      </c>
      <c r="I730">
        <v>1326.6499022999999</v>
      </c>
      <c r="J730">
        <v>1323.3842772999999</v>
      </c>
      <c r="K730">
        <v>0</v>
      </c>
      <c r="L730">
        <v>2400</v>
      </c>
      <c r="M730">
        <v>2400</v>
      </c>
      <c r="N730">
        <v>0</v>
      </c>
    </row>
    <row r="731" spans="1:14" x14ac:dyDescent="0.25">
      <c r="A731">
        <v>184.00004000000001</v>
      </c>
      <c r="B731" s="1">
        <f>DATE(2010,11,1) + TIME(0,0,3)</f>
        <v>40483.000034722223</v>
      </c>
      <c r="C731">
        <v>80</v>
      </c>
      <c r="D731">
        <v>79.950981139999996</v>
      </c>
      <c r="E731">
        <v>50</v>
      </c>
      <c r="F731">
        <v>51.260173797999997</v>
      </c>
      <c r="G731">
        <v>1336.7987060999999</v>
      </c>
      <c r="H731">
        <v>1336.1885986</v>
      </c>
      <c r="I731">
        <v>1326.9041748</v>
      </c>
      <c r="J731">
        <v>1323.7657471</v>
      </c>
      <c r="K731">
        <v>0</v>
      </c>
      <c r="L731">
        <v>2400</v>
      </c>
      <c r="M731">
        <v>2400</v>
      </c>
      <c r="N731">
        <v>0</v>
      </c>
    </row>
    <row r="732" spans="1:14" x14ac:dyDescent="0.25">
      <c r="A732">
        <v>184.00012100000001</v>
      </c>
      <c r="B732" s="1">
        <f>DATE(2010,11,1) + TIME(0,0,10)</f>
        <v>40483.000115740739</v>
      </c>
      <c r="C732">
        <v>80</v>
      </c>
      <c r="D732">
        <v>79.949462890999996</v>
      </c>
      <c r="E732">
        <v>50</v>
      </c>
      <c r="F732">
        <v>51.261600494</v>
      </c>
      <c r="G732">
        <v>1336.3293457</v>
      </c>
      <c r="H732">
        <v>1335.7269286999999</v>
      </c>
      <c r="I732">
        <v>1327.5263672000001</v>
      </c>
      <c r="J732">
        <v>1324.6090088000001</v>
      </c>
      <c r="K732">
        <v>0</v>
      </c>
      <c r="L732">
        <v>2400</v>
      </c>
      <c r="M732">
        <v>2400</v>
      </c>
      <c r="N732">
        <v>0</v>
      </c>
    </row>
    <row r="733" spans="1:14" x14ac:dyDescent="0.25">
      <c r="A733">
        <v>184.00036399999999</v>
      </c>
      <c r="B733" s="1">
        <f>DATE(2010,11,1) + TIME(0,0,31)</f>
        <v>40483.000358796293</v>
      </c>
      <c r="C733">
        <v>80</v>
      </c>
      <c r="D733">
        <v>79.947181701999995</v>
      </c>
      <c r="E733">
        <v>50</v>
      </c>
      <c r="F733">
        <v>51.263240814</v>
      </c>
      <c r="G733">
        <v>1335.6282959</v>
      </c>
      <c r="H733">
        <v>1335.0146483999999</v>
      </c>
      <c r="I733">
        <v>1328.7189940999999</v>
      </c>
      <c r="J733">
        <v>1325.9604492000001</v>
      </c>
      <c r="K733">
        <v>0</v>
      </c>
      <c r="L733">
        <v>2400</v>
      </c>
      <c r="M733">
        <v>2400</v>
      </c>
      <c r="N733">
        <v>0</v>
      </c>
    </row>
    <row r="734" spans="1:14" x14ac:dyDescent="0.25">
      <c r="A734">
        <v>184.001093</v>
      </c>
      <c r="B734" s="1">
        <f>DATE(2010,11,1) + TIME(0,1,34)</f>
        <v>40483.001087962963</v>
      </c>
      <c r="C734">
        <v>80</v>
      </c>
      <c r="D734">
        <v>79.944458007999998</v>
      </c>
      <c r="E734">
        <v>50</v>
      </c>
      <c r="F734">
        <v>51.264255523999999</v>
      </c>
      <c r="G734">
        <v>1334.8165283000001</v>
      </c>
      <c r="H734">
        <v>1334.1701660000001</v>
      </c>
      <c r="I734">
        <v>1330.4125977000001</v>
      </c>
      <c r="J734">
        <v>1327.6523437999999</v>
      </c>
      <c r="K734">
        <v>0</v>
      </c>
      <c r="L734">
        <v>2400</v>
      </c>
      <c r="M734">
        <v>2400</v>
      </c>
      <c r="N734">
        <v>0</v>
      </c>
    </row>
    <row r="735" spans="1:14" x14ac:dyDescent="0.25">
      <c r="A735">
        <v>184.00327999999999</v>
      </c>
      <c r="B735" s="1">
        <f>DATE(2010,11,1) + TIME(0,4,43)</f>
        <v>40483.003275462965</v>
      </c>
      <c r="C735">
        <v>80</v>
      </c>
      <c r="D735">
        <v>79.941307068</v>
      </c>
      <c r="E735">
        <v>50</v>
      </c>
      <c r="F735">
        <v>51.261890411000003</v>
      </c>
      <c r="G735">
        <v>1333.9606934000001</v>
      </c>
      <c r="H735">
        <v>1333.2689209</v>
      </c>
      <c r="I735">
        <v>1332.3055420000001</v>
      </c>
      <c r="J735">
        <v>1329.5012207</v>
      </c>
      <c r="K735">
        <v>0</v>
      </c>
      <c r="L735">
        <v>2400</v>
      </c>
      <c r="M735">
        <v>2400</v>
      </c>
      <c r="N735">
        <v>0</v>
      </c>
    </row>
    <row r="736" spans="1:14" x14ac:dyDescent="0.25">
      <c r="A736">
        <v>184.00984099999999</v>
      </c>
      <c r="B736" s="1">
        <f>DATE(2010,11,1) + TIME(0,14,10)</f>
        <v>40483.009837962964</v>
      </c>
      <c r="C736">
        <v>80</v>
      </c>
      <c r="D736">
        <v>79.937065125000004</v>
      </c>
      <c r="E736">
        <v>50</v>
      </c>
      <c r="F736">
        <v>51.248725890999999</v>
      </c>
      <c r="G736">
        <v>1333.0482178</v>
      </c>
      <c r="H736">
        <v>1332.2977295000001</v>
      </c>
      <c r="I736">
        <v>1334.2192382999999</v>
      </c>
      <c r="J736">
        <v>1331.3833007999999</v>
      </c>
      <c r="K736">
        <v>0</v>
      </c>
      <c r="L736">
        <v>2400</v>
      </c>
      <c r="M736">
        <v>2400</v>
      </c>
      <c r="N736">
        <v>0</v>
      </c>
    </row>
    <row r="737" spans="1:14" x14ac:dyDescent="0.25">
      <c r="A737">
        <v>184.02952400000001</v>
      </c>
      <c r="B737" s="1">
        <f>DATE(2010,11,1) + TIME(0,42,30)</f>
        <v>40483.029513888891</v>
      </c>
      <c r="C737">
        <v>80</v>
      </c>
      <c r="D737">
        <v>79.929756165000001</v>
      </c>
      <c r="E737">
        <v>50</v>
      </c>
      <c r="F737">
        <v>51.204189301</v>
      </c>
      <c r="G737">
        <v>1332.0487060999999</v>
      </c>
      <c r="H737">
        <v>1331.2310791</v>
      </c>
      <c r="I737">
        <v>1336.0773925999999</v>
      </c>
      <c r="J737">
        <v>1333.2117920000001</v>
      </c>
      <c r="K737">
        <v>0</v>
      </c>
      <c r="L737">
        <v>2400</v>
      </c>
      <c r="M737">
        <v>2400</v>
      </c>
      <c r="N737">
        <v>0</v>
      </c>
    </row>
    <row r="738" spans="1:14" x14ac:dyDescent="0.25">
      <c r="A738">
        <v>184.05925999999999</v>
      </c>
      <c r="B738" s="1">
        <f>DATE(2010,11,1) + TIME(1,25,20)</f>
        <v>40483.059259259258</v>
      </c>
      <c r="C738">
        <v>80</v>
      </c>
      <c r="D738">
        <v>79.921150208</v>
      </c>
      <c r="E738">
        <v>50</v>
      </c>
      <c r="F738">
        <v>51.137733459000003</v>
      </c>
      <c r="G738">
        <v>1331.3376464999999</v>
      </c>
      <c r="H738">
        <v>1330.4743652</v>
      </c>
      <c r="I738">
        <v>1337.2504882999999</v>
      </c>
      <c r="J738">
        <v>1334.3658447</v>
      </c>
      <c r="K738">
        <v>0</v>
      </c>
      <c r="L738">
        <v>2400</v>
      </c>
      <c r="M738">
        <v>2400</v>
      </c>
      <c r="N738">
        <v>0</v>
      </c>
    </row>
    <row r="739" spans="1:14" x14ac:dyDescent="0.25">
      <c r="A739">
        <v>184.089978</v>
      </c>
      <c r="B739" s="1">
        <f>DATE(2010,11,1) + TIME(2,9,34)</f>
        <v>40483.08997685185</v>
      </c>
      <c r="C739">
        <v>80</v>
      </c>
      <c r="D739">
        <v>79.913139342999997</v>
      </c>
      <c r="E739">
        <v>50</v>
      </c>
      <c r="F739">
        <v>51.071964264000002</v>
      </c>
      <c r="G739">
        <v>1330.9034423999999</v>
      </c>
      <c r="H739">
        <v>1330.0137939000001</v>
      </c>
      <c r="I739">
        <v>1337.9064940999999</v>
      </c>
      <c r="J739">
        <v>1335.0112305</v>
      </c>
      <c r="K739">
        <v>0</v>
      </c>
      <c r="L739">
        <v>2400</v>
      </c>
      <c r="M739">
        <v>2400</v>
      </c>
      <c r="N739">
        <v>0</v>
      </c>
    </row>
    <row r="740" spans="1:14" x14ac:dyDescent="0.25">
      <c r="A740">
        <v>184.12165200000001</v>
      </c>
      <c r="B740" s="1">
        <f>DATE(2010,11,1) + TIME(2,55,10)</f>
        <v>40483.12164351852</v>
      </c>
      <c r="C740">
        <v>80</v>
      </c>
      <c r="D740">
        <v>79.905342102000006</v>
      </c>
      <c r="E740">
        <v>50</v>
      </c>
      <c r="F740">
        <v>51.007705688000001</v>
      </c>
      <c r="G740">
        <v>1330.6072998</v>
      </c>
      <c r="H740">
        <v>1329.7006836</v>
      </c>
      <c r="I740">
        <v>1338.3182373</v>
      </c>
      <c r="J740">
        <v>1335.4200439000001</v>
      </c>
      <c r="K740">
        <v>0</v>
      </c>
      <c r="L740">
        <v>2400</v>
      </c>
      <c r="M740">
        <v>2400</v>
      </c>
      <c r="N740">
        <v>0</v>
      </c>
    </row>
    <row r="741" spans="1:14" x14ac:dyDescent="0.25">
      <c r="A741">
        <v>184.15423799999999</v>
      </c>
      <c r="B741" s="1">
        <f>DATE(2010,11,1) + TIME(3,42,6)</f>
        <v>40483.154236111113</v>
      </c>
      <c r="C741">
        <v>80</v>
      </c>
      <c r="D741">
        <v>79.897598267000006</v>
      </c>
      <c r="E741">
        <v>50</v>
      </c>
      <c r="F741">
        <v>50.945430756</v>
      </c>
      <c r="G741">
        <v>1330.3911132999999</v>
      </c>
      <c r="H741">
        <v>1329.4727783000001</v>
      </c>
      <c r="I741">
        <v>1338.5954589999999</v>
      </c>
      <c r="J741">
        <v>1335.6990966999999</v>
      </c>
      <c r="K741">
        <v>0</v>
      </c>
      <c r="L741">
        <v>2400</v>
      </c>
      <c r="M741">
        <v>2400</v>
      </c>
      <c r="N741">
        <v>0</v>
      </c>
    </row>
    <row r="742" spans="1:14" x14ac:dyDescent="0.25">
      <c r="A742">
        <v>184.18773100000001</v>
      </c>
      <c r="B742" s="1">
        <f>DATE(2010,11,1) + TIME(4,30,20)</f>
        <v>40483.187731481485</v>
      </c>
      <c r="C742">
        <v>80</v>
      </c>
      <c r="D742">
        <v>79.889846801999994</v>
      </c>
      <c r="E742">
        <v>50</v>
      </c>
      <c r="F742">
        <v>50.885337829999997</v>
      </c>
      <c r="G742">
        <v>1330.2257079999999</v>
      </c>
      <c r="H742">
        <v>1329.2988281</v>
      </c>
      <c r="I742">
        <v>1338.7908935999999</v>
      </c>
      <c r="J742">
        <v>1335.8991699000001</v>
      </c>
      <c r="K742">
        <v>0</v>
      </c>
      <c r="L742">
        <v>2400</v>
      </c>
      <c r="M742">
        <v>2400</v>
      </c>
      <c r="N742">
        <v>0</v>
      </c>
    </row>
    <row r="743" spans="1:14" x14ac:dyDescent="0.25">
      <c r="A743">
        <v>184.22217000000001</v>
      </c>
      <c r="B743" s="1">
        <f>DATE(2010,11,1) + TIME(5,19,55)</f>
        <v>40483.22216435185</v>
      </c>
      <c r="C743">
        <v>80</v>
      </c>
      <c r="D743">
        <v>79.882034301999994</v>
      </c>
      <c r="E743">
        <v>50</v>
      </c>
      <c r="F743">
        <v>50.827220916999998</v>
      </c>
      <c r="G743">
        <v>1330.0943603999999</v>
      </c>
      <c r="H743">
        <v>1329.1607666</v>
      </c>
      <c r="I743">
        <v>1338.9333495999999</v>
      </c>
      <c r="J743">
        <v>1336.0477295000001</v>
      </c>
      <c r="K743">
        <v>0</v>
      </c>
      <c r="L743">
        <v>2400</v>
      </c>
      <c r="M743">
        <v>2400</v>
      </c>
      <c r="N743">
        <v>0</v>
      </c>
    </row>
    <row r="744" spans="1:14" x14ac:dyDescent="0.25">
      <c r="A744">
        <v>184.257633</v>
      </c>
      <c r="B744" s="1">
        <f>DATE(2010,11,1) + TIME(6,10,59)</f>
        <v>40483.257627314815</v>
      </c>
      <c r="C744">
        <v>80</v>
      </c>
      <c r="D744">
        <v>79.874107361</v>
      </c>
      <c r="E744">
        <v>50</v>
      </c>
      <c r="F744">
        <v>50.771091460999997</v>
      </c>
      <c r="G744">
        <v>1329.9870605000001</v>
      </c>
      <c r="H744">
        <v>1329.0480957</v>
      </c>
      <c r="I744">
        <v>1339.0397949000001</v>
      </c>
      <c r="J744">
        <v>1336.1613769999999</v>
      </c>
      <c r="K744">
        <v>0</v>
      </c>
      <c r="L744">
        <v>2400</v>
      </c>
      <c r="M744">
        <v>2400</v>
      </c>
      <c r="N744">
        <v>0</v>
      </c>
    </row>
    <row r="745" spans="1:14" x14ac:dyDescent="0.25">
      <c r="A745">
        <v>184.29418799999999</v>
      </c>
      <c r="B745" s="1">
        <f>DATE(2010,11,1) + TIME(7,3,37)</f>
        <v>40483.294178240743</v>
      </c>
      <c r="C745">
        <v>80</v>
      </c>
      <c r="D745">
        <v>79.866058350000003</v>
      </c>
      <c r="E745">
        <v>50</v>
      </c>
      <c r="F745">
        <v>50.716964722</v>
      </c>
      <c r="G745">
        <v>1329.8973389</v>
      </c>
      <c r="H745">
        <v>1328.9537353999999</v>
      </c>
      <c r="I745">
        <v>1339.1209716999999</v>
      </c>
      <c r="J745">
        <v>1336.25</v>
      </c>
      <c r="K745">
        <v>0</v>
      </c>
      <c r="L745">
        <v>2400</v>
      </c>
      <c r="M745">
        <v>2400</v>
      </c>
      <c r="N745">
        <v>0</v>
      </c>
    </row>
    <row r="746" spans="1:14" x14ac:dyDescent="0.25">
      <c r="A746">
        <v>184.33191600000001</v>
      </c>
      <c r="B746" s="1">
        <f>DATE(2010,11,1) + TIME(7,57,57)</f>
        <v>40483.331909722219</v>
      </c>
      <c r="C746">
        <v>80</v>
      </c>
      <c r="D746">
        <v>79.857849121000001</v>
      </c>
      <c r="E746">
        <v>50</v>
      </c>
      <c r="F746">
        <v>50.664829253999997</v>
      </c>
      <c r="G746">
        <v>1329.8210449000001</v>
      </c>
      <c r="H746">
        <v>1328.8731689000001</v>
      </c>
      <c r="I746">
        <v>1339.1835937999999</v>
      </c>
      <c r="J746">
        <v>1336.3201904</v>
      </c>
      <c r="K746">
        <v>0</v>
      </c>
      <c r="L746">
        <v>2400</v>
      </c>
      <c r="M746">
        <v>2400</v>
      </c>
      <c r="N746">
        <v>0</v>
      </c>
    </row>
    <row r="747" spans="1:14" x14ac:dyDescent="0.25">
      <c r="A747">
        <v>184.370902</v>
      </c>
      <c r="B747" s="1">
        <f>DATE(2010,11,1) + TIME(8,54,5)</f>
        <v>40483.370891203704</v>
      </c>
      <c r="C747">
        <v>80</v>
      </c>
      <c r="D747">
        <v>79.849464416999993</v>
      </c>
      <c r="E747">
        <v>50</v>
      </c>
      <c r="F747">
        <v>50.614681244000003</v>
      </c>
      <c r="G747">
        <v>1329.7551269999999</v>
      </c>
      <c r="H747">
        <v>1328.8033447</v>
      </c>
      <c r="I747">
        <v>1339.2325439000001</v>
      </c>
      <c r="J747">
        <v>1336.3765868999999</v>
      </c>
      <c r="K747">
        <v>0</v>
      </c>
      <c r="L747">
        <v>2400</v>
      </c>
      <c r="M747">
        <v>2400</v>
      </c>
      <c r="N747">
        <v>0</v>
      </c>
    </row>
    <row r="748" spans="1:14" x14ac:dyDescent="0.25">
      <c r="A748">
        <v>184.41122799999999</v>
      </c>
      <c r="B748" s="1">
        <f>DATE(2010,11,1) + TIME(9,52,10)</f>
        <v>40483.411226851851</v>
      </c>
      <c r="C748">
        <v>80</v>
      </c>
      <c r="D748">
        <v>79.840881347999996</v>
      </c>
      <c r="E748">
        <v>50</v>
      </c>
      <c r="F748">
        <v>50.566513061999999</v>
      </c>
      <c r="G748">
        <v>1329.6975098</v>
      </c>
      <c r="H748">
        <v>1328.7419434000001</v>
      </c>
      <c r="I748">
        <v>1339.2711182</v>
      </c>
      <c r="J748">
        <v>1336.4219971</v>
      </c>
      <c r="K748">
        <v>0</v>
      </c>
      <c r="L748">
        <v>2400</v>
      </c>
      <c r="M748">
        <v>2400</v>
      </c>
      <c r="N748">
        <v>0</v>
      </c>
    </row>
    <row r="749" spans="1:14" x14ac:dyDescent="0.25">
      <c r="A749">
        <v>184.45302799999999</v>
      </c>
      <c r="B749" s="1">
        <f>DATE(2010,11,1) + TIME(10,52,21)</f>
        <v>40483.453020833331</v>
      </c>
      <c r="C749">
        <v>80</v>
      </c>
      <c r="D749">
        <v>79.832077025999993</v>
      </c>
      <c r="E749">
        <v>50</v>
      </c>
      <c r="F749">
        <v>50.520275116000001</v>
      </c>
      <c r="G749">
        <v>1329.6464844</v>
      </c>
      <c r="H749">
        <v>1328.6875</v>
      </c>
      <c r="I749">
        <v>1339.3015137</v>
      </c>
      <c r="J749">
        <v>1336.4589844</v>
      </c>
      <c r="K749">
        <v>0</v>
      </c>
      <c r="L749">
        <v>2400</v>
      </c>
      <c r="M749">
        <v>2400</v>
      </c>
      <c r="N749">
        <v>0</v>
      </c>
    </row>
    <row r="750" spans="1:14" x14ac:dyDescent="0.25">
      <c r="A750">
        <v>184.49642900000001</v>
      </c>
      <c r="B750" s="1">
        <f>DATE(2010,11,1) + TIME(11,54,51)</f>
        <v>40483.496423611112</v>
      </c>
      <c r="C750">
        <v>80</v>
      </c>
      <c r="D750">
        <v>79.823028563999998</v>
      </c>
      <c r="E750">
        <v>50</v>
      </c>
      <c r="F750">
        <v>50.475948334000002</v>
      </c>
      <c r="G750">
        <v>1329.6010742000001</v>
      </c>
      <c r="H750">
        <v>1328.6386719</v>
      </c>
      <c r="I750">
        <v>1339.3255615</v>
      </c>
      <c r="J750">
        <v>1336.4891356999999</v>
      </c>
      <c r="K750">
        <v>0</v>
      </c>
      <c r="L750">
        <v>2400</v>
      </c>
      <c r="M750">
        <v>2400</v>
      </c>
      <c r="N750">
        <v>0</v>
      </c>
    </row>
    <row r="751" spans="1:14" x14ac:dyDescent="0.25">
      <c r="A751">
        <v>184.54157699999999</v>
      </c>
      <c r="B751" s="1">
        <f>DATE(2010,11,1) + TIME(12,59,52)</f>
        <v>40483.541574074072</v>
      </c>
      <c r="C751">
        <v>80</v>
      </c>
      <c r="D751">
        <v>79.813705443999993</v>
      </c>
      <c r="E751">
        <v>50</v>
      </c>
      <c r="F751">
        <v>50.433506012000002</v>
      </c>
      <c r="G751">
        <v>1329.5603027</v>
      </c>
      <c r="H751">
        <v>1328.5943603999999</v>
      </c>
      <c r="I751">
        <v>1339.3446045000001</v>
      </c>
      <c r="J751">
        <v>1336.5136719</v>
      </c>
      <c r="K751">
        <v>0</v>
      </c>
      <c r="L751">
        <v>2400</v>
      </c>
      <c r="M751">
        <v>2400</v>
      </c>
      <c r="N751">
        <v>0</v>
      </c>
    </row>
    <row r="752" spans="1:14" x14ac:dyDescent="0.25">
      <c r="A752">
        <v>184.588638</v>
      </c>
      <c r="B752" s="1">
        <f>DATE(2010,11,1) + TIME(14,7,38)</f>
        <v>40483.588634259257</v>
      </c>
      <c r="C752">
        <v>80</v>
      </c>
      <c r="D752">
        <v>79.804092406999999</v>
      </c>
      <c r="E752">
        <v>50</v>
      </c>
      <c r="F752">
        <v>50.392925261999999</v>
      </c>
      <c r="G752">
        <v>1329.5233154</v>
      </c>
      <c r="H752">
        <v>1328.5540771000001</v>
      </c>
      <c r="I752">
        <v>1339.3596190999999</v>
      </c>
      <c r="J752">
        <v>1336.5335693</v>
      </c>
      <c r="K752">
        <v>0</v>
      </c>
      <c r="L752">
        <v>2400</v>
      </c>
      <c r="M752">
        <v>2400</v>
      </c>
      <c r="N752">
        <v>0</v>
      </c>
    </row>
    <row r="753" spans="1:14" x14ac:dyDescent="0.25">
      <c r="A753">
        <v>184.637787</v>
      </c>
      <c r="B753" s="1">
        <f>DATE(2010,11,1) + TIME(15,18,24)</f>
        <v>40483.637777777774</v>
      </c>
      <c r="C753">
        <v>80</v>
      </c>
      <c r="D753">
        <v>79.794143676999994</v>
      </c>
      <c r="E753">
        <v>50</v>
      </c>
      <c r="F753">
        <v>50.354202270999998</v>
      </c>
      <c r="G753">
        <v>1329.489624</v>
      </c>
      <c r="H753">
        <v>1328.5170897999999</v>
      </c>
      <c r="I753">
        <v>1339.3713379000001</v>
      </c>
      <c r="J753">
        <v>1336.5499268000001</v>
      </c>
      <c r="K753">
        <v>0</v>
      </c>
      <c r="L753">
        <v>2400</v>
      </c>
      <c r="M753">
        <v>2400</v>
      </c>
      <c r="N753">
        <v>0</v>
      </c>
    </row>
    <row r="754" spans="1:14" x14ac:dyDescent="0.25">
      <c r="A754">
        <v>184.689255</v>
      </c>
      <c r="B754" s="1">
        <f>DATE(2010,11,1) + TIME(16,32,31)</f>
        <v>40483.689247685186</v>
      </c>
      <c r="C754">
        <v>80</v>
      </c>
      <c r="D754">
        <v>79.783836364999999</v>
      </c>
      <c r="E754">
        <v>50</v>
      </c>
      <c r="F754">
        <v>50.317306518999999</v>
      </c>
      <c r="G754">
        <v>1329.4588623</v>
      </c>
      <c r="H754">
        <v>1328.4829102000001</v>
      </c>
      <c r="I754">
        <v>1339.3806152</v>
      </c>
      <c r="J754">
        <v>1336.5629882999999</v>
      </c>
      <c r="K754">
        <v>0</v>
      </c>
      <c r="L754">
        <v>2400</v>
      </c>
      <c r="M754">
        <v>2400</v>
      </c>
      <c r="N754">
        <v>0</v>
      </c>
    </row>
    <row r="755" spans="1:14" x14ac:dyDescent="0.25">
      <c r="A755">
        <v>184.743292</v>
      </c>
      <c r="B755" s="1">
        <f>DATE(2010,11,1) + TIME(17,50,20)</f>
        <v>40483.743287037039</v>
      </c>
      <c r="C755">
        <v>80</v>
      </c>
      <c r="D755">
        <v>79.773117064999994</v>
      </c>
      <c r="E755">
        <v>50</v>
      </c>
      <c r="F755">
        <v>50.282226561999998</v>
      </c>
      <c r="G755">
        <v>1329.4305420000001</v>
      </c>
      <c r="H755">
        <v>1328.4510498</v>
      </c>
      <c r="I755">
        <v>1339.3879394999999</v>
      </c>
      <c r="J755">
        <v>1336.5736084</v>
      </c>
      <c r="K755">
        <v>0</v>
      </c>
      <c r="L755">
        <v>2400</v>
      </c>
      <c r="M755">
        <v>2400</v>
      </c>
      <c r="N755">
        <v>0</v>
      </c>
    </row>
    <row r="756" spans="1:14" x14ac:dyDescent="0.25">
      <c r="A756">
        <v>184.800194</v>
      </c>
      <c r="B756" s="1">
        <f>DATE(2010,11,1) + TIME(19,12,16)</f>
        <v>40483.800185185188</v>
      </c>
      <c r="C756">
        <v>80</v>
      </c>
      <c r="D756">
        <v>79.761947632000002</v>
      </c>
      <c r="E756">
        <v>50</v>
      </c>
      <c r="F756">
        <v>50.248950958000002</v>
      </c>
      <c r="G756">
        <v>1329.4042969</v>
      </c>
      <c r="H756">
        <v>1328.4213867000001</v>
      </c>
      <c r="I756">
        <v>1339.3935547000001</v>
      </c>
      <c r="J756">
        <v>1336.5821533000001</v>
      </c>
      <c r="K756">
        <v>0</v>
      </c>
      <c r="L756">
        <v>2400</v>
      </c>
      <c r="M756">
        <v>2400</v>
      </c>
      <c r="N756">
        <v>0</v>
      </c>
    </row>
    <row r="757" spans="1:14" x14ac:dyDescent="0.25">
      <c r="A757">
        <v>184.86030700000001</v>
      </c>
      <c r="B757" s="1">
        <f>DATE(2010,11,1) + TIME(20,38,50)</f>
        <v>40483.860300925924</v>
      </c>
      <c r="C757">
        <v>80</v>
      </c>
      <c r="D757">
        <v>79.750274657999995</v>
      </c>
      <c r="E757">
        <v>50</v>
      </c>
      <c r="F757">
        <v>50.217475890999999</v>
      </c>
      <c r="G757">
        <v>1329.3797606999999</v>
      </c>
      <c r="H757">
        <v>1328.3933105000001</v>
      </c>
      <c r="I757">
        <v>1339.3979492000001</v>
      </c>
      <c r="J757">
        <v>1336.5888672000001</v>
      </c>
      <c r="K757">
        <v>0</v>
      </c>
      <c r="L757">
        <v>2400</v>
      </c>
      <c r="M757">
        <v>2400</v>
      </c>
      <c r="N757">
        <v>0</v>
      </c>
    </row>
    <row r="758" spans="1:14" x14ac:dyDescent="0.25">
      <c r="A758">
        <v>184.92404500000001</v>
      </c>
      <c r="B758" s="1">
        <f>DATE(2010,11,1) + TIME(22,10,37)</f>
        <v>40483.924039351848</v>
      </c>
      <c r="C758">
        <v>80</v>
      </c>
      <c r="D758">
        <v>79.738037109000004</v>
      </c>
      <c r="E758">
        <v>50</v>
      </c>
      <c r="F758">
        <v>50.187786101999997</v>
      </c>
      <c r="G758">
        <v>1329.3569336</v>
      </c>
      <c r="H758">
        <v>1328.3668213000001</v>
      </c>
      <c r="I758">
        <v>1339.4014893000001</v>
      </c>
      <c r="J758">
        <v>1336.5942382999999</v>
      </c>
      <c r="K758">
        <v>0</v>
      </c>
      <c r="L758">
        <v>2400</v>
      </c>
      <c r="M758">
        <v>2400</v>
      </c>
      <c r="N758">
        <v>0</v>
      </c>
    </row>
    <row r="759" spans="1:14" x14ac:dyDescent="0.25">
      <c r="A759">
        <v>184.99189999999999</v>
      </c>
      <c r="B759" s="1">
        <f>DATE(2010,11,1) + TIME(23,48,20)</f>
        <v>40483.991898148146</v>
      </c>
      <c r="C759">
        <v>80</v>
      </c>
      <c r="D759">
        <v>79.725151061999995</v>
      </c>
      <c r="E759">
        <v>50</v>
      </c>
      <c r="F759">
        <v>50.159889221</v>
      </c>
      <c r="G759">
        <v>1329.3353271000001</v>
      </c>
      <c r="H759">
        <v>1328.3414307</v>
      </c>
      <c r="I759">
        <v>1339.4042969</v>
      </c>
      <c r="J759">
        <v>1336.5986327999999</v>
      </c>
      <c r="K759">
        <v>0</v>
      </c>
      <c r="L759">
        <v>2400</v>
      </c>
      <c r="M759">
        <v>2400</v>
      </c>
      <c r="N759">
        <v>0</v>
      </c>
    </row>
    <row r="760" spans="1:14" x14ac:dyDescent="0.25">
      <c r="A760">
        <v>185.06447399999999</v>
      </c>
      <c r="B760" s="1">
        <f>DATE(2010,11,2) + TIME(1,32,50)</f>
        <v>40484.064467592594</v>
      </c>
      <c r="C760">
        <v>80</v>
      </c>
      <c r="D760">
        <v>79.711540221999996</v>
      </c>
      <c r="E760">
        <v>50</v>
      </c>
      <c r="F760">
        <v>50.133781433000003</v>
      </c>
      <c r="G760">
        <v>1329.3149414</v>
      </c>
      <c r="H760">
        <v>1328.3171387</v>
      </c>
      <c r="I760">
        <v>1339.4066161999999</v>
      </c>
      <c r="J760">
        <v>1336.6020507999999</v>
      </c>
      <c r="K760">
        <v>0</v>
      </c>
      <c r="L760">
        <v>2400</v>
      </c>
      <c r="M760">
        <v>2400</v>
      </c>
      <c r="N760">
        <v>0</v>
      </c>
    </row>
    <row r="761" spans="1:14" x14ac:dyDescent="0.25">
      <c r="A761">
        <v>185.142503</v>
      </c>
      <c r="B761" s="1">
        <f>DATE(2010,11,2) + TIME(3,25,12)</f>
        <v>40484.142500000002</v>
      </c>
      <c r="C761">
        <v>80</v>
      </c>
      <c r="D761">
        <v>79.697082519999995</v>
      </c>
      <c r="E761">
        <v>50</v>
      </c>
      <c r="F761">
        <v>50.109470367</v>
      </c>
      <c r="G761">
        <v>1329.2954102000001</v>
      </c>
      <c r="H761">
        <v>1328.2935791</v>
      </c>
      <c r="I761">
        <v>1339.4086914</v>
      </c>
      <c r="J761">
        <v>1336.6048584</v>
      </c>
      <c r="K761">
        <v>0</v>
      </c>
      <c r="L761">
        <v>2400</v>
      </c>
      <c r="M761">
        <v>2400</v>
      </c>
      <c r="N761">
        <v>0</v>
      </c>
    </row>
    <row r="762" spans="1:14" x14ac:dyDescent="0.25">
      <c r="A762">
        <v>185.22690499999999</v>
      </c>
      <c r="B762" s="1">
        <f>DATE(2010,11,2) + TIME(5,26,44)</f>
        <v>40484.226898148147</v>
      </c>
      <c r="C762">
        <v>80</v>
      </c>
      <c r="D762">
        <v>79.681655883999994</v>
      </c>
      <c r="E762">
        <v>50</v>
      </c>
      <c r="F762">
        <v>50.086956024000003</v>
      </c>
      <c r="G762">
        <v>1329.2766113</v>
      </c>
      <c r="H762">
        <v>1328.2706298999999</v>
      </c>
      <c r="I762">
        <v>1339.4105225000001</v>
      </c>
      <c r="J762">
        <v>1336.6070557</v>
      </c>
      <c r="K762">
        <v>0</v>
      </c>
      <c r="L762">
        <v>2400</v>
      </c>
      <c r="M762">
        <v>2400</v>
      </c>
      <c r="N762">
        <v>0</v>
      </c>
    </row>
    <row r="763" spans="1:14" x14ac:dyDescent="0.25">
      <c r="A763">
        <v>185.318836</v>
      </c>
      <c r="B763" s="1">
        <f>DATE(2010,11,2) + TIME(7,39,7)</f>
        <v>40484.318831018521</v>
      </c>
      <c r="C763">
        <v>80</v>
      </c>
      <c r="D763">
        <v>79.665084839000002</v>
      </c>
      <c r="E763">
        <v>50</v>
      </c>
      <c r="F763">
        <v>50.066249847000002</v>
      </c>
      <c r="G763">
        <v>1329.2583007999999</v>
      </c>
      <c r="H763">
        <v>1328.2479248</v>
      </c>
      <c r="I763">
        <v>1339.4121094</v>
      </c>
      <c r="J763">
        <v>1336.6090088000001</v>
      </c>
      <c r="K763">
        <v>0</v>
      </c>
      <c r="L763">
        <v>2400</v>
      </c>
      <c r="M763">
        <v>2400</v>
      </c>
      <c r="N763">
        <v>0</v>
      </c>
    </row>
    <row r="764" spans="1:14" x14ac:dyDescent="0.25">
      <c r="A764">
        <v>185.41978499999999</v>
      </c>
      <c r="B764" s="1">
        <f>DATE(2010,11,2) + TIME(10,4,29)</f>
        <v>40484.41978009259</v>
      </c>
      <c r="C764">
        <v>80</v>
      </c>
      <c r="D764">
        <v>79.647163391000007</v>
      </c>
      <c r="E764">
        <v>50</v>
      </c>
      <c r="F764">
        <v>50.047370911000002</v>
      </c>
      <c r="G764">
        <v>1329.2404785000001</v>
      </c>
      <c r="H764">
        <v>1328.2254639</v>
      </c>
      <c r="I764">
        <v>1339.4135742000001</v>
      </c>
      <c r="J764">
        <v>1336.6104736</v>
      </c>
      <c r="K764">
        <v>0</v>
      </c>
      <c r="L764">
        <v>2400</v>
      </c>
      <c r="M764">
        <v>2400</v>
      </c>
      <c r="N764">
        <v>0</v>
      </c>
    </row>
    <row r="765" spans="1:14" x14ac:dyDescent="0.25">
      <c r="A765">
        <v>185.53174300000001</v>
      </c>
      <c r="B765" s="1">
        <f>DATE(2010,11,2) + TIME(12,45,42)</f>
        <v>40484.531736111108</v>
      </c>
      <c r="C765">
        <v>80</v>
      </c>
      <c r="D765">
        <v>79.627624511999997</v>
      </c>
      <c r="E765">
        <v>50</v>
      </c>
      <c r="F765">
        <v>50.030323029000002</v>
      </c>
      <c r="G765">
        <v>1329.2227783000001</v>
      </c>
      <c r="H765">
        <v>1328.2027588000001</v>
      </c>
      <c r="I765">
        <v>1339.4149170000001</v>
      </c>
      <c r="J765">
        <v>1336.6116943</v>
      </c>
      <c r="K765">
        <v>0</v>
      </c>
      <c r="L765">
        <v>2400</v>
      </c>
      <c r="M765">
        <v>2400</v>
      </c>
      <c r="N765">
        <v>0</v>
      </c>
    </row>
    <row r="766" spans="1:14" x14ac:dyDescent="0.25">
      <c r="A766">
        <v>185.64488499999999</v>
      </c>
      <c r="B766" s="1">
        <f>DATE(2010,11,2) + TIME(15,28,38)</f>
        <v>40484.644884259258</v>
      </c>
      <c r="C766">
        <v>80</v>
      </c>
      <c r="D766">
        <v>79.608009338000002</v>
      </c>
      <c r="E766">
        <v>50</v>
      </c>
      <c r="F766">
        <v>50.016357421999999</v>
      </c>
      <c r="G766">
        <v>1329.2058105000001</v>
      </c>
      <c r="H766">
        <v>1328.1806641000001</v>
      </c>
      <c r="I766">
        <v>1339.4193115</v>
      </c>
      <c r="J766">
        <v>1336.6147461</v>
      </c>
      <c r="K766">
        <v>0</v>
      </c>
      <c r="L766">
        <v>2400</v>
      </c>
      <c r="M766">
        <v>2400</v>
      </c>
      <c r="N766">
        <v>0</v>
      </c>
    </row>
    <row r="767" spans="1:14" x14ac:dyDescent="0.25">
      <c r="A767">
        <v>185.75834699999999</v>
      </c>
      <c r="B767" s="1">
        <f>DATE(2010,11,2) + TIME(18,12,1)</f>
        <v>40484.758344907408</v>
      </c>
      <c r="C767">
        <v>80</v>
      </c>
      <c r="D767">
        <v>79.588462829999997</v>
      </c>
      <c r="E767">
        <v>50</v>
      </c>
      <c r="F767">
        <v>50.005027771000002</v>
      </c>
      <c r="G767">
        <v>1329.1900635</v>
      </c>
      <c r="H767">
        <v>1328.1597899999999</v>
      </c>
      <c r="I767">
        <v>1339.4230957</v>
      </c>
      <c r="J767">
        <v>1336.6171875</v>
      </c>
      <c r="K767">
        <v>0</v>
      </c>
      <c r="L767">
        <v>2400</v>
      </c>
      <c r="M767">
        <v>2400</v>
      </c>
      <c r="N767">
        <v>0</v>
      </c>
    </row>
    <row r="768" spans="1:14" x14ac:dyDescent="0.25">
      <c r="A768">
        <v>185.87284199999999</v>
      </c>
      <c r="B768" s="1">
        <f>DATE(2010,11,2) + TIME(20,56,53)</f>
        <v>40484.872835648152</v>
      </c>
      <c r="C768">
        <v>80</v>
      </c>
      <c r="D768">
        <v>79.568862914999997</v>
      </c>
      <c r="E768">
        <v>50</v>
      </c>
      <c r="F768">
        <v>49.995811461999999</v>
      </c>
      <c r="G768">
        <v>1329.175293</v>
      </c>
      <c r="H768">
        <v>1328.1400146000001</v>
      </c>
      <c r="I768">
        <v>1339.4256591999999</v>
      </c>
      <c r="J768">
        <v>1336.6188964999999</v>
      </c>
      <c r="K768">
        <v>0</v>
      </c>
      <c r="L768">
        <v>2400</v>
      </c>
      <c r="M768">
        <v>2400</v>
      </c>
      <c r="N768">
        <v>0</v>
      </c>
    </row>
    <row r="769" spans="1:14" x14ac:dyDescent="0.25">
      <c r="A769">
        <v>185.98893899999999</v>
      </c>
      <c r="B769" s="1">
        <f>DATE(2010,11,2) + TIME(23,44,4)</f>
        <v>40484.988935185182</v>
      </c>
      <c r="C769">
        <v>80</v>
      </c>
      <c r="D769">
        <v>79.549125670999999</v>
      </c>
      <c r="E769">
        <v>50</v>
      </c>
      <c r="F769">
        <v>49.988315581999998</v>
      </c>
      <c r="G769">
        <v>1329.1612548999999</v>
      </c>
      <c r="H769">
        <v>1328.1209716999999</v>
      </c>
      <c r="I769">
        <v>1339.427124</v>
      </c>
      <c r="J769">
        <v>1336.6199951000001</v>
      </c>
      <c r="K769">
        <v>0</v>
      </c>
      <c r="L769">
        <v>2400</v>
      </c>
      <c r="M769">
        <v>2400</v>
      </c>
      <c r="N769">
        <v>0</v>
      </c>
    </row>
    <row r="770" spans="1:14" x14ac:dyDescent="0.25">
      <c r="A770">
        <v>186.10719599999999</v>
      </c>
      <c r="B770" s="1">
        <f>DATE(2010,11,3) + TIME(2,34,21)</f>
        <v>40485.107187499998</v>
      </c>
      <c r="C770">
        <v>80</v>
      </c>
      <c r="D770">
        <v>79.529167174999998</v>
      </c>
      <c r="E770">
        <v>50</v>
      </c>
      <c r="F770">
        <v>49.982231140000003</v>
      </c>
      <c r="G770">
        <v>1329.1478271000001</v>
      </c>
      <c r="H770">
        <v>1328.1026611</v>
      </c>
      <c r="I770">
        <v>1339.4277344</v>
      </c>
      <c r="J770">
        <v>1336.6203613</v>
      </c>
      <c r="K770">
        <v>0</v>
      </c>
      <c r="L770">
        <v>2400</v>
      </c>
      <c r="M770">
        <v>2400</v>
      </c>
      <c r="N770">
        <v>0</v>
      </c>
    </row>
    <row r="771" spans="1:14" x14ac:dyDescent="0.25">
      <c r="A771">
        <v>186.22816499999999</v>
      </c>
      <c r="B771" s="1">
        <f>DATE(2010,11,3) + TIME(5,28,33)</f>
        <v>40485.228159722225</v>
      </c>
      <c r="C771">
        <v>80</v>
      </c>
      <c r="D771">
        <v>79.508903502999999</v>
      </c>
      <c r="E771">
        <v>50</v>
      </c>
      <c r="F771">
        <v>49.977306366000001</v>
      </c>
      <c r="G771">
        <v>1329.1348877</v>
      </c>
      <c r="H771">
        <v>1328.0845947</v>
      </c>
      <c r="I771">
        <v>1339.4273682</v>
      </c>
      <c r="J771">
        <v>1336.6201172000001</v>
      </c>
      <c r="K771">
        <v>0</v>
      </c>
      <c r="L771">
        <v>2400</v>
      </c>
      <c r="M771">
        <v>2400</v>
      </c>
      <c r="N771">
        <v>0</v>
      </c>
    </row>
    <row r="772" spans="1:14" x14ac:dyDescent="0.25">
      <c r="A772">
        <v>186.35243399999999</v>
      </c>
      <c r="B772" s="1">
        <f>DATE(2010,11,3) + TIME(8,27,30)</f>
        <v>40485.352430555555</v>
      </c>
      <c r="C772">
        <v>80</v>
      </c>
      <c r="D772">
        <v>79.488258361999996</v>
      </c>
      <c r="E772">
        <v>50</v>
      </c>
      <c r="F772">
        <v>49.973335265999999</v>
      </c>
      <c r="G772">
        <v>1329.1220702999999</v>
      </c>
      <c r="H772">
        <v>1328.0668945</v>
      </c>
      <c r="I772">
        <v>1339.4260254000001</v>
      </c>
      <c r="J772">
        <v>1336.6192627</v>
      </c>
      <c r="K772">
        <v>0</v>
      </c>
      <c r="L772">
        <v>2400</v>
      </c>
      <c r="M772">
        <v>2400</v>
      </c>
      <c r="N772">
        <v>0</v>
      </c>
    </row>
    <row r="773" spans="1:14" x14ac:dyDescent="0.25">
      <c r="A773">
        <v>186.48064299999999</v>
      </c>
      <c r="B773" s="1">
        <f>DATE(2010,11,3) + TIME(11,32,7)</f>
        <v>40485.480636574073</v>
      </c>
      <c r="C773">
        <v>80</v>
      </c>
      <c r="D773">
        <v>79.467124939000001</v>
      </c>
      <c r="E773">
        <v>50</v>
      </c>
      <c r="F773">
        <v>49.970157622999999</v>
      </c>
      <c r="G773">
        <v>1329.1094971</v>
      </c>
      <c r="H773">
        <v>1328.0493164</v>
      </c>
      <c r="I773">
        <v>1339.4238281</v>
      </c>
      <c r="J773">
        <v>1336.6177978999999</v>
      </c>
      <c r="K773">
        <v>0</v>
      </c>
      <c r="L773">
        <v>2400</v>
      </c>
      <c r="M773">
        <v>2400</v>
      </c>
      <c r="N773">
        <v>0</v>
      </c>
    </row>
    <row r="774" spans="1:14" x14ac:dyDescent="0.25">
      <c r="A774">
        <v>186.613485</v>
      </c>
      <c r="B774" s="1">
        <f>DATE(2010,11,3) + TIME(14,43,25)</f>
        <v>40485.613483796296</v>
      </c>
      <c r="C774">
        <v>80</v>
      </c>
      <c r="D774">
        <v>79.445419311999999</v>
      </c>
      <c r="E774">
        <v>50</v>
      </c>
      <c r="F774">
        <v>49.967636108000001</v>
      </c>
      <c r="G774">
        <v>1329.0970459</v>
      </c>
      <c r="H774">
        <v>1328.0318603999999</v>
      </c>
      <c r="I774">
        <v>1339.4206543</v>
      </c>
      <c r="J774">
        <v>1336.6158447</v>
      </c>
      <c r="K774">
        <v>0</v>
      </c>
      <c r="L774">
        <v>2400</v>
      </c>
      <c r="M774">
        <v>2400</v>
      </c>
      <c r="N774">
        <v>0</v>
      </c>
    </row>
    <row r="775" spans="1:14" x14ac:dyDescent="0.25">
      <c r="A775">
        <v>186.75175100000001</v>
      </c>
      <c r="B775" s="1">
        <f>DATE(2010,11,3) + TIME(18,2,31)</f>
        <v>40485.751747685186</v>
      </c>
      <c r="C775">
        <v>80</v>
      </c>
      <c r="D775">
        <v>79.423027039000004</v>
      </c>
      <c r="E775">
        <v>50</v>
      </c>
      <c r="F775">
        <v>49.965656281000001</v>
      </c>
      <c r="G775">
        <v>1329.0844727000001</v>
      </c>
      <c r="H775">
        <v>1328.0141602000001</v>
      </c>
      <c r="I775">
        <v>1339.416626</v>
      </c>
      <c r="J775">
        <v>1336.6132812000001</v>
      </c>
      <c r="K775">
        <v>0</v>
      </c>
      <c r="L775">
        <v>2400</v>
      </c>
      <c r="M775">
        <v>2400</v>
      </c>
      <c r="N775">
        <v>0</v>
      </c>
    </row>
    <row r="776" spans="1:14" x14ac:dyDescent="0.25">
      <c r="A776">
        <v>186.896322</v>
      </c>
      <c r="B776" s="1">
        <f>DATE(2010,11,3) + TIME(21,30,42)</f>
        <v>40485.896319444444</v>
      </c>
      <c r="C776">
        <v>80</v>
      </c>
      <c r="D776">
        <v>79.399833678999997</v>
      </c>
      <c r="E776">
        <v>50</v>
      </c>
      <c r="F776">
        <v>49.964126587000003</v>
      </c>
      <c r="G776">
        <v>1329.0717772999999</v>
      </c>
      <c r="H776">
        <v>1327.9962158000001</v>
      </c>
      <c r="I776">
        <v>1339.4117432</v>
      </c>
      <c r="J776">
        <v>1336.6101074000001</v>
      </c>
      <c r="K776">
        <v>0</v>
      </c>
      <c r="L776">
        <v>2400</v>
      </c>
      <c r="M776">
        <v>2400</v>
      </c>
      <c r="N776">
        <v>0</v>
      </c>
    </row>
    <row r="777" spans="1:14" x14ac:dyDescent="0.25">
      <c r="A777">
        <v>187.04821699999999</v>
      </c>
      <c r="B777" s="1">
        <f>DATE(2010,11,4) + TIME(1,9,25)</f>
        <v>40486.048206018517</v>
      </c>
      <c r="C777">
        <v>80</v>
      </c>
      <c r="D777">
        <v>79.375709533999995</v>
      </c>
      <c r="E777">
        <v>50</v>
      </c>
      <c r="F777">
        <v>49.962959290000001</v>
      </c>
      <c r="G777">
        <v>1329.0589600000001</v>
      </c>
      <c r="H777">
        <v>1327.9780272999999</v>
      </c>
      <c r="I777">
        <v>1339.4058838000001</v>
      </c>
      <c r="J777">
        <v>1336.6063231999999</v>
      </c>
      <c r="K777">
        <v>0</v>
      </c>
      <c r="L777">
        <v>2400</v>
      </c>
      <c r="M777">
        <v>2400</v>
      </c>
      <c r="N777">
        <v>0</v>
      </c>
    </row>
    <row r="778" spans="1:14" x14ac:dyDescent="0.25">
      <c r="A778">
        <v>187.20768699999999</v>
      </c>
      <c r="B778" s="1">
        <f>DATE(2010,11,4) + TIME(4,59,4)</f>
        <v>40486.207685185182</v>
      </c>
      <c r="C778">
        <v>80</v>
      </c>
      <c r="D778">
        <v>79.350624084000003</v>
      </c>
      <c r="E778">
        <v>50</v>
      </c>
      <c r="F778">
        <v>49.962100982999999</v>
      </c>
      <c r="G778">
        <v>1329.0457764</v>
      </c>
      <c r="H778">
        <v>1327.9593506000001</v>
      </c>
      <c r="I778">
        <v>1339.3991699000001</v>
      </c>
      <c r="J778">
        <v>1336.6019286999999</v>
      </c>
      <c r="K778">
        <v>0</v>
      </c>
      <c r="L778">
        <v>2400</v>
      </c>
      <c r="M778">
        <v>2400</v>
      </c>
      <c r="N778">
        <v>0</v>
      </c>
    </row>
    <row r="779" spans="1:14" x14ac:dyDescent="0.25">
      <c r="A779">
        <v>187.37541899999999</v>
      </c>
      <c r="B779" s="1">
        <f>DATE(2010,11,4) + TIME(9,0,36)</f>
        <v>40486.375416666669</v>
      </c>
      <c r="C779">
        <v>80</v>
      </c>
      <c r="D779">
        <v>79.324501037999994</v>
      </c>
      <c r="E779">
        <v>50</v>
      </c>
      <c r="F779">
        <v>49.961490630999997</v>
      </c>
      <c r="G779">
        <v>1329.0323486</v>
      </c>
      <c r="H779">
        <v>1327.9401855000001</v>
      </c>
      <c r="I779">
        <v>1339.3916016000001</v>
      </c>
      <c r="J779">
        <v>1336.5970459</v>
      </c>
      <c r="K779">
        <v>0</v>
      </c>
      <c r="L779">
        <v>2400</v>
      </c>
      <c r="M779">
        <v>2400</v>
      </c>
      <c r="N779">
        <v>0</v>
      </c>
    </row>
    <row r="780" spans="1:14" x14ac:dyDescent="0.25">
      <c r="A780">
        <v>187.552773</v>
      </c>
      <c r="B780" s="1">
        <f>DATE(2010,11,4) + TIME(13,15,59)</f>
        <v>40486.552766203706</v>
      </c>
      <c r="C780">
        <v>80</v>
      </c>
      <c r="D780">
        <v>79.297164917000003</v>
      </c>
      <c r="E780">
        <v>50</v>
      </c>
      <c r="F780">
        <v>49.961074828999998</v>
      </c>
      <c r="G780">
        <v>1329.0184326000001</v>
      </c>
      <c r="H780">
        <v>1327.9204102000001</v>
      </c>
      <c r="I780">
        <v>1339.3831786999999</v>
      </c>
      <c r="J780">
        <v>1336.5915527</v>
      </c>
      <c r="K780">
        <v>0</v>
      </c>
      <c r="L780">
        <v>2400</v>
      </c>
      <c r="M780">
        <v>2400</v>
      </c>
      <c r="N780">
        <v>0</v>
      </c>
    </row>
    <row r="781" spans="1:14" x14ac:dyDescent="0.25">
      <c r="A781">
        <v>187.741322</v>
      </c>
      <c r="B781" s="1">
        <f>DATE(2010,11,4) + TIME(17,47,30)</f>
        <v>40486.741319444445</v>
      </c>
      <c r="C781">
        <v>80</v>
      </c>
      <c r="D781">
        <v>79.268424988000007</v>
      </c>
      <c r="E781">
        <v>50</v>
      </c>
      <c r="F781">
        <v>49.960811614999997</v>
      </c>
      <c r="G781">
        <v>1329.0041504000001</v>
      </c>
      <c r="H781">
        <v>1327.9000243999999</v>
      </c>
      <c r="I781">
        <v>1339.3737793</v>
      </c>
      <c r="J781">
        <v>1336.5854492000001</v>
      </c>
      <c r="K781">
        <v>0</v>
      </c>
      <c r="L781">
        <v>2400</v>
      </c>
      <c r="M781">
        <v>2400</v>
      </c>
      <c r="N781">
        <v>0</v>
      </c>
    </row>
    <row r="782" spans="1:14" x14ac:dyDescent="0.25">
      <c r="A782">
        <v>187.94239099999999</v>
      </c>
      <c r="B782" s="1">
        <f>DATE(2010,11,4) + TIME(22,37,2)</f>
        <v>40486.942384259259</v>
      </c>
      <c r="C782">
        <v>80</v>
      </c>
      <c r="D782">
        <v>79.238136291999993</v>
      </c>
      <c r="E782">
        <v>50</v>
      </c>
      <c r="F782">
        <v>49.960670471</v>
      </c>
      <c r="G782">
        <v>1328.9891356999999</v>
      </c>
      <c r="H782">
        <v>1327.8786620999999</v>
      </c>
      <c r="I782">
        <v>1339.3635254000001</v>
      </c>
      <c r="J782">
        <v>1336.5787353999999</v>
      </c>
      <c r="K782">
        <v>0</v>
      </c>
      <c r="L782">
        <v>2400</v>
      </c>
      <c r="M782">
        <v>2400</v>
      </c>
      <c r="N782">
        <v>0</v>
      </c>
    </row>
    <row r="783" spans="1:14" x14ac:dyDescent="0.25">
      <c r="A783">
        <v>188.155787</v>
      </c>
      <c r="B783" s="1">
        <f>DATE(2010,11,5) + TIME(3,44,19)</f>
        <v>40487.155775462961</v>
      </c>
      <c r="C783">
        <v>80</v>
      </c>
      <c r="D783">
        <v>79.206314086999996</v>
      </c>
      <c r="E783">
        <v>50</v>
      </c>
      <c r="F783">
        <v>49.960617065000001</v>
      </c>
      <c r="G783">
        <v>1328.9735106999999</v>
      </c>
      <c r="H783">
        <v>1327.8563231999999</v>
      </c>
      <c r="I783">
        <v>1339.3524170000001</v>
      </c>
      <c r="J783">
        <v>1336.5715332</v>
      </c>
      <c r="K783">
        <v>0</v>
      </c>
      <c r="L783">
        <v>2400</v>
      </c>
      <c r="M783">
        <v>2400</v>
      </c>
      <c r="N783">
        <v>0</v>
      </c>
    </row>
    <row r="784" spans="1:14" x14ac:dyDescent="0.25">
      <c r="A784">
        <v>188.377557</v>
      </c>
      <c r="B784" s="1">
        <f>DATE(2010,11,5) + TIME(9,3,40)</f>
        <v>40487.377546296295</v>
      </c>
      <c r="C784">
        <v>80</v>
      </c>
      <c r="D784">
        <v>79.173446655000006</v>
      </c>
      <c r="E784">
        <v>50</v>
      </c>
      <c r="F784">
        <v>49.960628509999999</v>
      </c>
      <c r="G784">
        <v>1328.9571533000001</v>
      </c>
      <c r="H784">
        <v>1327.8332519999999</v>
      </c>
      <c r="I784">
        <v>1339.3405762</v>
      </c>
      <c r="J784">
        <v>1336.5638428</v>
      </c>
      <c r="K784">
        <v>0</v>
      </c>
      <c r="L784">
        <v>2400</v>
      </c>
      <c r="M784">
        <v>2400</v>
      </c>
      <c r="N784">
        <v>0</v>
      </c>
    </row>
    <row r="785" spans="1:14" x14ac:dyDescent="0.25">
      <c r="A785">
        <v>188.60066399999999</v>
      </c>
      <c r="B785" s="1">
        <f>DATE(2010,11,5) + TIME(14,24,57)</f>
        <v>40487.600659722222</v>
      </c>
      <c r="C785">
        <v>80</v>
      </c>
      <c r="D785">
        <v>79.140365600999999</v>
      </c>
      <c r="E785">
        <v>50</v>
      </c>
      <c r="F785">
        <v>49.960674286</v>
      </c>
      <c r="G785">
        <v>1328.9405518000001</v>
      </c>
      <c r="H785">
        <v>1327.8095702999999</v>
      </c>
      <c r="I785">
        <v>1339.3282471</v>
      </c>
      <c r="J785">
        <v>1336.5557861</v>
      </c>
      <c r="K785">
        <v>0</v>
      </c>
      <c r="L785">
        <v>2400</v>
      </c>
      <c r="M785">
        <v>2400</v>
      </c>
      <c r="N785">
        <v>0</v>
      </c>
    </row>
    <row r="786" spans="1:14" x14ac:dyDescent="0.25">
      <c r="A786">
        <v>188.82646199999999</v>
      </c>
      <c r="B786" s="1">
        <f>DATE(2010,11,5) + TIME(19,50,6)</f>
        <v>40487.826458333337</v>
      </c>
      <c r="C786">
        <v>80</v>
      </c>
      <c r="D786">
        <v>79.106979370000005</v>
      </c>
      <c r="E786">
        <v>50</v>
      </c>
      <c r="F786">
        <v>49.960739136000001</v>
      </c>
      <c r="G786">
        <v>1328.9239502</v>
      </c>
      <c r="H786">
        <v>1327.7860106999999</v>
      </c>
      <c r="I786">
        <v>1339.3157959</v>
      </c>
      <c r="J786">
        <v>1336.5476074000001</v>
      </c>
      <c r="K786">
        <v>0</v>
      </c>
      <c r="L786">
        <v>2400</v>
      </c>
      <c r="M786">
        <v>2400</v>
      </c>
      <c r="N786">
        <v>0</v>
      </c>
    </row>
    <row r="787" spans="1:14" x14ac:dyDescent="0.25">
      <c r="A787">
        <v>189.05642399999999</v>
      </c>
      <c r="B787" s="1">
        <f>DATE(2010,11,6) + TIME(1,21,15)</f>
        <v>40488.056423611109</v>
      </c>
      <c r="C787">
        <v>80</v>
      </c>
      <c r="D787">
        <v>79.073127747000001</v>
      </c>
      <c r="E787">
        <v>50</v>
      </c>
      <c r="F787">
        <v>49.960815429999997</v>
      </c>
      <c r="G787">
        <v>1328.9072266000001</v>
      </c>
      <c r="H787">
        <v>1327.7624512</v>
      </c>
      <c r="I787">
        <v>1339.3033447</v>
      </c>
      <c r="J787">
        <v>1336.5394286999999</v>
      </c>
      <c r="K787">
        <v>0</v>
      </c>
      <c r="L787">
        <v>2400</v>
      </c>
      <c r="M787">
        <v>2400</v>
      </c>
      <c r="N787">
        <v>0</v>
      </c>
    </row>
    <row r="788" spans="1:14" x14ac:dyDescent="0.25">
      <c r="A788">
        <v>189.29186300000001</v>
      </c>
      <c r="B788" s="1">
        <f>DATE(2010,11,6) + TIME(7,0,16)</f>
        <v>40488.291851851849</v>
      </c>
      <c r="C788">
        <v>80</v>
      </c>
      <c r="D788">
        <v>79.038703917999996</v>
      </c>
      <c r="E788">
        <v>50</v>
      </c>
      <c r="F788">
        <v>49.960895538000003</v>
      </c>
      <c r="G788">
        <v>1328.8905029</v>
      </c>
      <c r="H788">
        <v>1327.7385254000001</v>
      </c>
      <c r="I788">
        <v>1339.2907714999999</v>
      </c>
      <c r="J788">
        <v>1336.53125</v>
      </c>
      <c r="K788">
        <v>0</v>
      </c>
      <c r="L788">
        <v>2400</v>
      </c>
      <c r="M788">
        <v>2400</v>
      </c>
      <c r="N788">
        <v>0</v>
      </c>
    </row>
    <row r="789" spans="1:14" x14ac:dyDescent="0.25">
      <c r="A789">
        <v>189.534144</v>
      </c>
      <c r="B789" s="1">
        <f>DATE(2010,11,6) + TIME(12,49,10)</f>
        <v>40488.534143518518</v>
      </c>
      <c r="C789">
        <v>80</v>
      </c>
      <c r="D789">
        <v>79.003547667999996</v>
      </c>
      <c r="E789">
        <v>50</v>
      </c>
      <c r="F789">
        <v>49.960971831999998</v>
      </c>
      <c r="G789">
        <v>1328.8734131000001</v>
      </c>
      <c r="H789">
        <v>1327.7144774999999</v>
      </c>
      <c r="I789">
        <v>1339.2780762</v>
      </c>
      <c r="J789">
        <v>1336.5230713000001</v>
      </c>
      <c r="K789">
        <v>0</v>
      </c>
      <c r="L789">
        <v>2400</v>
      </c>
      <c r="M789">
        <v>2400</v>
      </c>
      <c r="N789">
        <v>0</v>
      </c>
    </row>
    <row r="790" spans="1:14" x14ac:dyDescent="0.25">
      <c r="A790">
        <v>189.783345</v>
      </c>
      <c r="B790" s="1">
        <f>DATE(2010,11,6) + TIME(18,48,0)</f>
        <v>40488.783333333333</v>
      </c>
      <c r="C790">
        <v>80</v>
      </c>
      <c r="D790">
        <v>78.967681885000005</v>
      </c>
      <c r="E790">
        <v>50</v>
      </c>
      <c r="F790">
        <v>49.961040496999999</v>
      </c>
      <c r="G790">
        <v>1328.8562012</v>
      </c>
      <c r="H790">
        <v>1327.6899414</v>
      </c>
      <c r="I790">
        <v>1339.2653809000001</v>
      </c>
      <c r="J790">
        <v>1336.5147704999999</v>
      </c>
      <c r="K790">
        <v>0</v>
      </c>
      <c r="L790">
        <v>2400</v>
      </c>
      <c r="M790">
        <v>2400</v>
      </c>
      <c r="N790">
        <v>0</v>
      </c>
    </row>
    <row r="791" spans="1:14" x14ac:dyDescent="0.25">
      <c r="A791">
        <v>190.03857600000001</v>
      </c>
      <c r="B791" s="1">
        <f>DATE(2010,11,7) + TIME(0,55,32)</f>
        <v>40489.038564814815</v>
      </c>
      <c r="C791">
        <v>80</v>
      </c>
      <c r="D791">
        <v>78.931198120000005</v>
      </c>
      <c r="E791">
        <v>50</v>
      </c>
      <c r="F791">
        <v>49.961105347</v>
      </c>
      <c r="G791">
        <v>1328.8386230000001</v>
      </c>
      <c r="H791">
        <v>1327.6650391000001</v>
      </c>
      <c r="I791">
        <v>1339.2526855000001</v>
      </c>
      <c r="J791">
        <v>1336.5064697</v>
      </c>
      <c r="K791">
        <v>0</v>
      </c>
      <c r="L791">
        <v>2400</v>
      </c>
      <c r="M791">
        <v>2400</v>
      </c>
      <c r="N791">
        <v>0</v>
      </c>
    </row>
    <row r="792" spans="1:14" x14ac:dyDescent="0.25">
      <c r="A792">
        <v>190.301176</v>
      </c>
      <c r="B792" s="1">
        <f>DATE(2010,11,7) + TIME(7,13,41)</f>
        <v>40489.301168981481</v>
      </c>
      <c r="C792">
        <v>80</v>
      </c>
      <c r="D792">
        <v>78.893974303999997</v>
      </c>
      <c r="E792">
        <v>50</v>
      </c>
      <c r="F792">
        <v>49.961158752000003</v>
      </c>
      <c r="G792">
        <v>1328.8208007999999</v>
      </c>
      <c r="H792">
        <v>1327.6398925999999</v>
      </c>
      <c r="I792">
        <v>1339.2398682</v>
      </c>
      <c r="J792">
        <v>1336.4981689000001</v>
      </c>
      <c r="K792">
        <v>0</v>
      </c>
      <c r="L792">
        <v>2400</v>
      </c>
      <c r="M792">
        <v>2400</v>
      </c>
      <c r="N792">
        <v>0</v>
      </c>
    </row>
    <row r="793" spans="1:14" x14ac:dyDescent="0.25">
      <c r="A793">
        <v>190.57267200000001</v>
      </c>
      <c r="B793" s="1">
        <f>DATE(2010,11,7) + TIME(13,44,38)</f>
        <v>40489.572662037041</v>
      </c>
      <c r="C793">
        <v>80</v>
      </c>
      <c r="D793">
        <v>78.855857849000003</v>
      </c>
      <c r="E793">
        <v>50</v>
      </c>
      <c r="F793">
        <v>49.961204529</v>
      </c>
      <c r="G793">
        <v>1328.8026123</v>
      </c>
      <c r="H793">
        <v>1327.6142577999999</v>
      </c>
      <c r="I793">
        <v>1339.2270507999999</v>
      </c>
      <c r="J793">
        <v>1336.4898682</v>
      </c>
      <c r="K793">
        <v>0</v>
      </c>
      <c r="L793">
        <v>2400</v>
      </c>
      <c r="M793">
        <v>2400</v>
      </c>
      <c r="N793">
        <v>0</v>
      </c>
    </row>
    <row r="794" spans="1:14" x14ac:dyDescent="0.25">
      <c r="A794">
        <v>190.85470900000001</v>
      </c>
      <c r="B794" s="1">
        <f>DATE(2010,11,7) + TIME(20,30,46)</f>
        <v>40489.854699074072</v>
      </c>
      <c r="C794">
        <v>80</v>
      </c>
      <c r="D794">
        <v>78.816673279</v>
      </c>
      <c r="E794">
        <v>50</v>
      </c>
      <c r="F794">
        <v>49.961242675999998</v>
      </c>
      <c r="G794">
        <v>1328.7840576000001</v>
      </c>
      <c r="H794">
        <v>1327.5881348</v>
      </c>
      <c r="I794">
        <v>1339.2142334</v>
      </c>
      <c r="J794">
        <v>1336.4815673999999</v>
      </c>
      <c r="K794">
        <v>0</v>
      </c>
      <c r="L794">
        <v>2400</v>
      </c>
      <c r="M794">
        <v>2400</v>
      </c>
      <c r="N794">
        <v>0</v>
      </c>
    </row>
    <row r="795" spans="1:14" x14ac:dyDescent="0.25">
      <c r="A795">
        <v>191.149125</v>
      </c>
      <c r="B795" s="1">
        <f>DATE(2010,11,8) + TIME(3,34,44)</f>
        <v>40490.14912037037</v>
      </c>
      <c r="C795">
        <v>80</v>
      </c>
      <c r="D795">
        <v>78.776245117000002</v>
      </c>
      <c r="E795">
        <v>50</v>
      </c>
      <c r="F795">
        <v>49.961273192999997</v>
      </c>
      <c r="G795">
        <v>1328.7650146000001</v>
      </c>
      <c r="H795">
        <v>1327.5612793</v>
      </c>
      <c r="I795">
        <v>1339.2014160000001</v>
      </c>
      <c r="J795">
        <v>1336.4732666</v>
      </c>
      <c r="K795">
        <v>0</v>
      </c>
      <c r="L795">
        <v>2400</v>
      </c>
      <c r="M795">
        <v>2400</v>
      </c>
      <c r="N795">
        <v>0</v>
      </c>
    </row>
    <row r="796" spans="1:14" x14ac:dyDescent="0.25">
      <c r="A796">
        <v>191.457672</v>
      </c>
      <c r="B796" s="1">
        <f>DATE(2010,11,8) + TIME(10,59,2)</f>
        <v>40490.457662037035</v>
      </c>
      <c r="C796">
        <v>80</v>
      </c>
      <c r="D796">
        <v>78.734390258999994</v>
      </c>
      <c r="E796">
        <v>50</v>
      </c>
      <c r="F796">
        <v>49.961296081999997</v>
      </c>
      <c r="G796">
        <v>1328.7453613</v>
      </c>
      <c r="H796">
        <v>1327.5336914</v>
      </c>
      <c r="I796">
        <v>1339.1883545000001</v>
      </c>
      <c r="J796">
        <v>1336.4648437999999</v>
      </c>
      <c r="K796">
        <v>0</v>
      </c>
      <c r="L796">
        <v>2400</v>
      </c>
      <c r="M796">
        <v>2400</v>
      </c>
      <c r="N796">
        <v>0</v>
      </c>
    </row>
    <row r="797" spans="1:14" x14ac:dyDescent="0.25">
      <c r="A797">
        <v>191.778873</v>
      </c>
      <c r="B797" s="1">
        <f>DATE(2010,11,8) + TIME(18,41,34)</f>
        <v>40490.778865740744</v>
      </c>
      <c r="C797">
        <v>80</v>
      </c>
      <c r="D797">
        <v>78.691230774000005</v>
      </c>
      <c r="E797">
        <v>50</v>
      </c>
      <c r="F797">
        <v>49.961311340000002</v>
      </c>
      <c r="G797">
        <v>1328.7250977000001</v>
      </c>
      <c r="H797">
        <v>1327.5051269999999</v>
      </c>
      <c r="I797">
        <v>1339.1750488</v>
      </c>
      <c r="J797">
        <v>1336.4564209</v>
      </c>
      <c r="K797">
        <v>0</v>
      </c>
      <c r="L797">
        <v>2400</v>
      </c>
      <c r="M797">
        <v>2400</v>
      </c>
      <c r="N797">
        <v>0</v>
      </c>
    </row>
    <row r="798" spans="1:14" x14ac:dyDescent="0.25">
      <c r="A798">
        <v>192.11506299999999</v>
      </c>
      <c r="B798" s="1">
        <f>DATE(2010,11,9) + TIME(2,45,41)</f>
        <v>40491.115057870367</v>
      </c>
      <c r="C798">
        <v>80</v>
      </c>
      <c r="D798">
        <v>78.646568298000005</v>
      </c>
      <c r="E798">
        <v>50</v>
      </c>
      <c r="F798">
        <v>49.961318970000001</v>
      </c>
      <c r="G798">
        <v>1328.7042236</v>
      </c>
      <c r="H798">
        <v>1327.4758300999999</v>
      </c>
      <c r="I798">
        <v>1339.1617432</v>
      </c>
      <c r="J798">
        <v>1336.447876</v>
      </c>
      <c r="K798">
        <v>0</v>
      </c>
      <c r="L798">
        <v>2400</v>
      </c>
      <c r="M798">
        <v>2400</v>
      </c>
      <c r="N798">
        <v>0</v>
      </c>
    </row>
    <row r="799" spans="1:14" x14ac:dyDescent="0.25">
      <c r="A799">
        <v>192.46636000000001</v>
      </c>
      <c r="B799" s="1">
        <f>DATE(2010,11,9) + TIME(11,11,33)</f>
        <v>40491.466354166667</v>
      </c>
      <c r="C799">
        <v>80</v>
      </c>
      <c r="D799">
        <v>78.600379943999997</v>
      </c>
      <c r="E799">
        <v>50</v>
      </c>
      <c r="F799">
        <v>49.961318970000001</v>
      </c>
      <c r="G799">
        <v>1328.6826172000001</v>
      </c>
      <c r="H799">
        <v>1327.4455565999999</v>
      </c>
      <c r="I799">
        <v>1339.1483154</v>
      </c>
      <c r="J799">
        <v>1336.4393310999999</v>
      </c>
      <c r="K799">
        <v>0</v>
      </c>
      <c r="L799">
        <v>2400</v>
      </c>
      <c r="M799">
        <v>2400</v>
      </c>
      <c r="N799">
        <v>0</v>
      </c>
    </row>
    <row r="800" spans="1:14" x14ac:dyDescent="0.25">
      <c r="A800">
        <v>192.822202</v>
      </c>
      <c r="B800" s="1">
        <f>DATE(2010,11,9) + TIME(19,43,58)</f>
        <v>40491.822199074071</v>
      </c>
      <c r="C800">
        <v>80</v>
      </c>
      <c r="D800">
        <v>78.553627014</v>
      </c>
      <c r="E800">
        <v>50</v>
      </c>
      <c r="F800">
        <v>49.961311340000002</v>
      </c>
      <c r="G800">
        <v>1328.6602783000001</v>
      </c>
      <c r="H800">
        <v>1327.4144286999999</v>
      </c>
      <c r="I800">
        <v>1339.1347656</v>
      </c>
      <c r="J800">
        <v>1336.4306641000001</v>
      </c>
      <c r="K800">
        <v>0</v>
      </c>
      <c r="L800">
        <v>2400</v>
      </c>
      <c r="M800">
        <v>2400</v>
      </c>
      <c r="N800">
        <v>0</v>
      </c>
    </row>
    <row r="801" spans="1:14" x14ac:dyDescent="0.25">
      <c r="A801">
        <v>193.182996</v>
      </c>
      <c r="B801" s="1">
        <f>DATE(2010,11,10) + TIME(4,23,30)</f>
        <v>40492.182986111111</v>
      </c>
      <c r="C801">
        <v>80</v>
      </c>
      <c r="D801">
        <v>78.506385803000001</v>
      </c>
      <c r="E801">
        <v>50</v>
      </c>
      <c r="F801">
        <v>49.961296081999997</v>
      </c>
      <c r="G801">
        <v>1328.6379394999999</v>
      </c>
      <c r="H801">
        <v>1327.3830565999999</v>
      </c>
      <c r="I801">
        <v>1339.121582</v>
      </c>
      <c r="J801">
        <v>1336.4223632999999</v>
      </c>
      <c r="K801">
        <v>0</v>
      </c>
      <c r="L801">
        <v>2400</v>
      </c>
      <c r="M801">
        <v>2400</v>
      </c>
      <c r="N801">
        <v>0</v>
      </c>
    </row>
    <row r="802" spans="1:14" x14ac:dyDescent="0.25">
      <c r="A802">
        <v>193.550828</v>
      </c>
      <c r="B802" s="1">
        <f>DATE(2010,11,10) + TIME(13,13,11)</f>
        <v>40492.550821759258</v>
      </c>
      <c r="C802">
        <v>80</v>
      </c>
      <c r="D802">
        <v>78.458557128999999</v>
      </c>
      <c r="E802">
        <v>50</v>
      </c>
      <c r="F802">
        <v>49.961280823000003</v>
      </c>
      <c r="G802">
        <v>1328.6153564000001</v>
      </c>
      <c r="H802">
        <v>1327.3515625</v>
      </c>
      <c r="I802">
        <v>1339.1086425999999</v>
      </c>
      <c r="J802">
        <v>1336.4141846</v>
      </c>
      <c r="K802">
        <v>0</v>
      </c>
      <c r="L802">
        <v>2400</v>
      </c>
      <c r="M802">
        <v>2400</v>
      </c>
      <c r="N802">
        <v>0</v>
      </c>
    </row>
    <row r="803" spans="1:14" x14ac:dyDescent="0.25">
      <c r="A803">
        <v>193.92640499999999</v>
      </c>
      <c r="B803" s="1">
        <f>DATE(2010,11,10) + TIME(22,14,1)</f>
        <v>40492.926400462966</v>
      </c>
      <c r="C803">
        <v>80</v>
      </c>
      <c r="D803">
        <v>78.410118103000002</v>
      </c>
      <c r="E803">
        <v>50</v>
      </c>
      <c r="F803">
        <v>49.961261749000002</v>
      </c>
      <c r="G803">
        <v>1328.5926514</v>
      </c>
      <c r="H803">
        <v>1327.3197021000001</v>
      </c>
      <c r="I803">
        <v>1339.0960693</v>
      </c>
      <c r="J803">
        <v>1336.4061279</v>
      </c>
      <c r="K803">
        <v>0</v>
      </c>
      <c r="L803">
        <v>2400</v>
      </c>
      <c r="M803">
        <v>2400</v>
      </c>
      <c r="N803">
        <v>0</v>
      </c>
    </row>
    <row r="804" spans="1:14" x14ac:dyDescent="0.25">
      <c r="A804">
        <v>194.308852</v>
      </c>
      <c r="B804" s="1">
        <f>DATE(2010,11,11) + TIME(7,24,44)</f>
        <v>40493.308842592596</v>
      </c>
      <c r="C804">
        <v>80</v>
      </c>
      <c r="D804">
        <v>78.361167907999999</v>
      </c>
      <c r="E804">
        <v>50</v>
      </c>
      <c r="F804">
        <v>49.961238860999998</v>
      </c>
      <c r="G804">
        <v>1328.5695800999999</v>
      </c>
      <c r="H804">
        <v>1327.2875977000001</v>
      </c>
      <c r="I804">
        <v>1339.0834961</v>
      </c>
      <c r="J804">
        <v>1336.3983154</v>
      </c>
      <c r="K804">
        <v>0</v>
      </c>
      <c r="L804">
        <v>2400</v>
      </c>
      <c r="M804">
        <v>2400</v>
      </c>
      <c r="N804">
        <v>0</v>
      </c>
    </row>
    <row r="805" spans="1:14" x14ac:dyDescent="0.25">
      <c r="A805">
        <v>194.700265</v>
      </c>
      <c r="B805" s="1">
        <f>DATE(2010,11,11) + TIME(16,48,22)</f>
        <v>40493.700254629628</v>
      </c>
      <c r="C805">
        <v>80</v>
      </c>
      <c r="D805">
        <v>78.311561584000003</v>
      </c>
      <c r="E805">
        <v>50</v>
      </c>
      <c r="F805">
        <v>49.961212158000002</v>
      </c>
      <c r="G805">
        <v>1328.5463867000001</v>
      </c>
      <c r="H805">
        <v>1327.255249</v>
      </c>
      <c r="I805">
        <v>1339.0712891000001</v>
      </c>
      <c r="J805">
        <v>1336.390625</v>
      </c>
      <c r="K805">
        <v>0</v>
      </c>
      <c r="L805">
        <v>2400</v>
      </c>
      <c r="M805">
        <v>2400</v>
      </c>
      <c r="N805">
        <v>0</v>
      </c>
    </row>
    <row r="806" spans="1:14" x14ac:dyDescent="0.25">
      <c r="A806">
        <v>195.10282699999999</v>
      </c>
      <c r="B806" s="1">
        <f>DATE(2010,11,12) + TIME(2,28,4)</f>
        <v>40494.102824074071</v>
      </c>
      <c r="C806">
        <v>80</v>
      </c>
      <c r="D806">
        <v>78.261108398000005</v>
      </c>
      <c r="E806">
        <v>50</v>
      </c>
      <c r="F806">
        <v>49.961181641000003</v>
      </c>
      <c r="G806">
        <v>1328.5229492000001</v>
      </c>
      <c r="H806">
        <v>1327.2225341999999</v>
      </c>
      <c r="I806">
        <v>1339.059082</v>
      </c>
      <c r="J806">
        <v>1336.3830565999999</v>
      </c>
      <c r="K806">
        <v>0</v>
      </c>
      <c r="L806">
        <v>2400</v>
      </c>
      <c r="M806">
        <v>2400</v>
      </c>
      <c r="N806">
        <v>0</v>
      </c>
    </row>
    <row r="807" spans="1:14" x14ac:dyDescent="0.25">
      <c r="A807">
        <v>195.518924</v>
      </c>
      <c r="B807" s="1">
        <f>DATE(2010,11,12) + TIME(12,27,15)</f>
        <v>40494.518923611111</v>
      </c>
      <c r="C807">
        <v>80</v>
      </c>
      <c r="D807">
        <v>78.209594726999995</v>
      </c>
      <c r="E807">
        <v>50</v>
      </c>
      <c r="F807">
        <v>49.961154938</v>
      </c>
      <c r="G807">
        <v>1328.4990233999999</v>
      </c>
      <c r="H807">
        <v>1327.1892089999999</v>
      </c>
      <c r="I807">
        <v>1339.0471190999999</v>
      </c>
      <c r="J807">
        <v>1336.3756103999999</v>
      </c>
      <c r="K807">
        <v>0</v>
      </c>
      <c r="L807">
        <v>2400</v>
      </c>
      <c r="M807">
        <v>2400</v>
      </c>
      <c r="N807">
        <v>0</v>
      </c>
    </row>
    <row r="808" spans="1:14" x14ac:dyDescent="0.25">
      <c r="A808">
        <v>195.951234</v>
      </c>
      <c r="B808" s="1">
        <f>DATE(2010,11,12) + TIME(22,49,46)</f>
        <v>40494.951226851852</v>
      </c>
      <c r="C808">
        <v>80</v>
      </c>
      <c r="D808">
        <v>78.156784058</v>
      </c>
      <c r="E808">
        <v>50</v>
      </c>
      <c r="F808">
        <v>49.961124419999997</v>
      </c>
      <c r="G808">
        <v>1328.4746094</v>
      </c>
      <c r="H808">
        <v>1327.1552733999999</v>
      </c>
      <c r="I808">
        <v>1339.0350341999999</v>
      </c>
      <c r="J808">
        <v>1336.3681641000001</v>
      </c>
      <c r="K808">
        <v>0</v>
      </c>
      <c r="L808">
        <v>2400</v>
      </c>
      <c r="M808">
        <v>2400</v>
      </c>
      <c r="N808">
        <v>0</v>
      </c>
    </row>
    <row r="809" spans="1:14" x14ac:dyDescent="0.25">
      <c r="A809">
        <v>196.39635000000001</v>
      </c>
      <c r="B809" s="1">
        <f>DATE(2010,11,13) + TIME(9,30,44)</f>
        <v>40495.39634259259</v>
      </c>
      <c r="C809">
        <v>80</v>
      </c>
      <c r="D809">
        <v>78.102867126000007</v>
      </c>
      <c r="E809">
        <v>50</v>
      </c>
      <c r="F809">
        <v>49.961090087999999</v>
      </c>
      <c r="G809">
        <v>1328.449707</v>
      </c>
      <c r="H809">
        <v>1327.1204834</v>
      </c>
      <c r="I809">
        <v>1339.0229492000001</v>
      </c>
      <c r="J809">
        <v>1336.3608397999999</v>
      </c>
      <c r="K809">
        <v>0</v>
      </c>
      <c r="L809">
        <v>2400</v>
      </c>
      <c r="M809">
        <v>2400</v>
      </c>
      <c r="N809">
        <v>0</v>
      </c>
    </row>
    <row r="810" spans="1:14" x14ac:dyDescent="0.25">
      <c r="A810">
        <v>196.856213</v>
      </c>
      <c r="B810" s="1">
        <f>DATE(2010,11,13) + TIME(20,32,56)</f>
        <v>40495.856203703705</v>
      </c>
      <c r="C810">
        <v>80</v>
      </c>
      <c r="D810">
        <v>78.047729492000002</v>
      </c>
      <c r="E810">
        <v>50</v>
      </c>
      <c r="F810">
        <v>49.961059570000003</v>
      </c>
      <c r="G810">
        <v>1328.4241943</v>
      </c>
      <c r="H810">
        <v>1327.0852050999999</v>
      </c>
      <c r="I810">
        <v>1339.0109863</v>
      </c>
      <c r="J810">
        <v>1336.3533935999999</v>
      </c>
      <c r="K810">
        <v>0</v>
      </c>
      <c r="L810">
        <v>2400</v>
      </c>
      <c r="M810">
        <v>2400</v>
      </c>
      <c r="N810">
        <v>0</v>
      </c>
    </row>
    <row r="811" spans="1:14" x14ac:dyDescent="0.25">
      <c r="A811">
        <v>197.32923400000001</v>
      </c>
      <c r="B811" s="1">
        <f>DATE(2010,11,14) + TIME(7,54,5)</f>
        <v>40496.329224537039</v>
      </c>
      <c r="C811">
        <v>80</v>
      </c>
      <c r="D811">
        <v>77.991462708</v>
      </c>
      <c r="E811">
        <v>50</v>
      </c>
      <c r="F811">
        <v>49.961025237999998</v>
      </c>
      <c r="G811">
        <v>1328.3981934000001</v>
      </c>
      <c r="H811">
        <v>1327.0490723</v>
      </c>
      <c r="I811">
        <v>1338.9990233999999</v>
      </c>
      <c r="J811">
        <v>1336.3461914</v>
      </c>
      <c r="K811">
        <v>0</v>
      </c>
      <c r="L811">
        <v>2400</v>
      </c>
      <c r="M811">
        <v>2400</v>
      </c>
      <c r="N811">
        <v>0</v>
      </c>
    </row>
    <row r="812" spans="1:14" x14ac:dyDescent="0.25">
      <c r="A812">
        <v>197.815538</v>
      </c>
      <c r="B812" s="1">
        <f>DATE(2010,11,14) + TIME(19,34,22)</f>
        <v>40496.815532407411</v>
      </c>
      <c r="C812">
        <v>80</v>
      </c>
      <c r="D812">
        <v>77.934082031000003</v>
      </c>
      <c r="E812">
        <v>50</v>
      </c>
      <c r="F812">
        <v>49.960990905999999</v>
      </c>
      <c r="G812">
        <v>1328.3717041</v>
      </c>
      <c r="H812">
        <v>1327.0123291</v>
      </c>
      <c r="I812">
        <v>1338.9871826000001</v>
      </c>
      <c r="J812">
        <v>1336.3389893000001</v>
      </c>
      <c r="K812">
        <v>0</v>
      </c>
      <c r="L812">
        <v>2400</v>
      </c>
      <c r="M812">
        <v>2400</v>
      </c>
      <c r="N812">
        <v>0</v>
      </c>
    </row>
    <row r="813" spans="1:14" x14ac:dyDescent="0.25">
      <c r="A813">
        <v>198.31370699999999</v>
      </c>
      <c r="B813" s="1">
        <f>DATE(2010,11,15) + TIME(7,31,44)</f>
        <v>40497.313703703701</v>
      </c>
      <c r="C813">
        <v>80</v>
      </c>
      <c r="D813">
        <v>77.875709533999995</v>
      </c>
      <c r="E813">
        <v>50</v>
      </c>
      <c r="F813">
        <v>49.960956572999997</v>
      </c>
      <c r="G813">
        <v>1328.3447266000001</v>
      </c>
      <c r="H813">
        <v>1326.9750977000001</v>
      </c>
      <c r="I813">
        <v>1338.9754639</v>
      </c>
      <c r="J813">
        <v>1336.3317870999999</v>
      </c>
      <c r="K813">
        <v>0</v>
      </c>
      <c r="L813">
        <v>2400</v>
      </c>
      <c r="M813">
        <v>2400</v>
      </c>
      <c r="N813">
        <v>0</v>
      </c>
    </row>
    <row r="814" spans="1:14" x14ac:dyDescent="0.25">
      <c r="A814">
        <v>198.819729</v>
      </c>
      <c r="B814" s="1">
        <f>DATE(2010,11,15) + TIME(19,40,24)</f>
        <v>40497.819722222222</v>
      </c>
      <c r="C814">
        <v>80</v>
      </c>
      <c r="D814">
        <v>77.816650390999996</v>
      </c>
      <c r="E814">
        <v>50</v>
      </c>
      <c r="F814">
        <v>49.960922240999999</v>
      </c>
      <c r="G814">
        <v>1328.3173827999999</v>
      </c>
      <c r="H814">
        <v>1326.9372559000001</v>
      </c>
      <c r="I814">
        <v>1338.9637451000001</v>
      </c>
      <c r="J814">
        <v>1336.3248291</v>
      </c>
      <c r="K814">
        <v>0</v>
      </c>
      <c r="L814">
        <v>2400</v>
      </c>
      <c r="M814">
        <v>2400</v>
      </c>
      <c r="N814">
        <v>0</v>
      </c>
    </row>
    <row r="815" spans="1:14" x14ac:dyDescent="0.25">
      <c r="A815">
        <v>199.33521200000001</v>
      </c>
      <c r="B815" s="1">
        <f>DATE(2010,11,16) + TIME(8,2,42)</f>
        <v>40498.33520833333</v>
      </c>
      <c r="C815">
        <v>80</v>
      </c>
      <c r="D815">
        <v>77.756904602000006</v>
      </c>
      <c r="E815">
        <v>50</v>
      </c>
      <c r="F815">
        <v>49.960887909</v>
      </c>
      <c r="G815">
        <v>1328.2899170000001</v>
      </c>
      <c r="H815">
        <v>1326.8992920000001</v>
      </c>
      <c r="I815">
        <v>1338.9523925999999</v>
      </c>
      <c r="J815">
        <v>1336.3179932</v>
      </c>
      <c r="K815">
        <v>0</v>
      </c>
      <c r="L815">
        <v>2400</v>
      </c>
      <c r="M815">
        <v>2400</v>
      </c>
      <c r="N815">
        <v>0</v>
      </c>
    </row>
    <row r="816" spans="1:14" x14ac:dyDescent="0.25">
      <c r="A816">
        <v>199.858296</v>
      </c>
      <c r="B816" s="1">
        <f>DATE(2010,11,16) + TIME(20,35,56)</f>
        <v>40498.858287037037</v>
      </c>
      <c r="C816">
        <v>80</v>
      </c>
      <c r="D816">
        <v>77.696609496999997</v>
      </c>
      <c r="E816">
        <v>50</v>
      </c>
      <c r="F816">
        <v>49.960857390999998</v>
      </c>
      <c r="G816">
        <v>1328.262207</v>
      </c>
      <c r="H816">
        <v>1326.8609618999999</v>
      </c>
      <c r="I816">
        <v>1338.9410399999999</v>
      </c>
      <c r="J816">
        <v>1336.3112793</v>
      </c>
      <c r="K816">
        <v>0</v>
      </c>
      <c r="L816">
        <v>2400</v>
      </c>
      <c r="M816">
        <v>2400</v>
      </c>
      <c r="N816">
        <v>0</v>
      </c>
    </row>
    <row r="817" spans="1:14" x14ac:dyDescent="0.25">
      <c r="A817">
        <v>200.39183499999999</v>
      </c>
      <c r="B817" s="1">
        <f>DATE(2010,11,17) + TIME(9,24,14)</f>
        <v>40499.391828703701</v>
      </c>
      <c r="C817">
        <v>80</v>
      </c>
      <c r="D817">
        <v>77.635627747000001</v>
      </c>
      <c r="E817">
        <v>50</v>
      </c>
      <c r="F817">
        <v>49.960823058999999</v>
      </c>
      <c r="G817">
        <v>1328.2342529</v>
      </c>
      <c r="H817">
        <v>1326.8223877</v>
      </c>
      <c r="I817">
        <v>1338.9300536999999</v>
      </c>
      <c r="J817">
        <v>1336.3046875</v>
      </c>
      <c r="K817">
        <v>0</v>
      </c>
      <c r="L817">
        <v>2400</v>
      </c>
      <c r="M817">
        <v>2400</v>
      </c>
      <c r="N817">
        <v>0</v>
      </c>
    </row>
    <row r="818" spans="1:14" x14ac:dyDescent="0.25">
      <c r="A818">
        <v>200.93879000000001</v>
      </c>
      <c r="B818" s="1">
        <f>DATE(2010,11,17) + TIME(22,31,51)</f>
        <v>40499.938784722224</v>
      </c>
      <c r="C818">
        <v>80</v>
      </c>
      <c r="D818">
        <v>77.573753357000001</v>
      </c>
      <c r="E818">
        <v>50</v>
      </c>
      <c r="F818">
        <v>49.960792542</v>
      </c>
      <c r="G818">
        <v>1328.2061768000001</v>
      </c>
      <c r="H818">
        <v>1326.7835693</v>
      </c>
      <c r="I818">
        <v>1338.9190673999999</v>
      </c>
      <c r="J818">
        <v>1336.2982178</v>
      </c>
      <c r="K818">
        <v>0</v>
      </c>
      <c r="L818">
        <v>2400</v>
      </c>
      <c r="M818">
        <v>2400</v>
      </c>
      <c r="N818">
        <v>0</v>
      </c>
    </row>
    <row r="819" spans="1:14" x14ac:dyDescent="0.25">
      <c r="A819">
        <v>201.50236799999999</v>
      </c>
      <c r="B819" s="1">
        <f>DATE(2010,11,18) + TIME(12,3,24)</f>
        <v>40500.50236111111</v>
      </c>
      <c r="C819">
        <v>80</v>
      </c>
      <c r="D819">
        <v>77.510688782000003</v>
      </c>
      <c r="E819">
        <v>50</v>
      </c>
      <c r="F819">
        <v>49.960762023999997</v>
      </c>
      <c r="G819">
        <v>1328.1776123</v>
      </c>
      <c r="H819">
        <v>1326.7443848</v>
      </c>
      <c r="I819">
        <v>1338.9083252</v>
      </c>
      <c r="J819">
        <v>1336.2918701000001</v>
      </c>
      <c r="K819">
        <v>0</v>
      </c>
      <c r="L819">
        <v>2400</v>
      </c>
      <c r="M819">
        <v>2400</v>
      </c>
      <c r="N819">
        <v>0</v>
      </c>
    </row>
    <row r="820" spans="1:14" x14ac:dyDescent="0.25">
      <c r="A820">
        <v>202.08175</v>
      </c>
      <c r="B820" s="1">
        <f>DATE(2010,11,19) + TIME(1,57,43)</f>
        <v>40501.081747685188</v>
      </c>
      <c r="C820">
        <v>80</v>
      </c>
      <c r="D820">
        <v>77.446380614999995</v>
      </c>
      <c r="E820">
        <v>50</v>
      </c>
      <c r="F820">
        <v>49.960731506000002</v>
      </c>
      <c r="G820">
        <v>1328.1486815999999</v>
      </c>
      <c r="H820">
        <v>1326.7044678</v>
      </c>
      <c r="I820">
        <v>1338.8974608999999</v>
      </c>
      <c r="J820">
        <v>1336.2855225000001</v>
      </c>
      <c r="K820">
        <v>0</v>
      </c>
      <c r="L820">
        <v>2400</v>
      </c>
      <c r="M820">
        <v>2400</v>
      </c>
      <c r="N820">
        <v>0</v>
      </c>
    </row>
    <row r="821" spans="1:14" x14ac:dyDescent="0.25">
      <c r="A821">
        <v>202.67575299999999</v>
      </c>
      <c r="B821" s="1">
        <f>DATE(2010,11,19) + TIME(16,13,5)</f>
        <v>40501.675752314812</v>
      </c>
      <c r="C821">
        <v>80</v>
      </c>
      <c r="D821">
        <v>77.380844116000006</v>
      </c>
      <c r="E821">
        <v>50</v>
      </c>
      <c r="F821">
        <v>49.960704802999999</v>
      </c>
      <c r="G821">
        <v>1328.1192627</v>
      </c>
      <c r="H821">
        <v>1326.6640625</v>
      </c>
      <c r="I821">
        <v>1338.8867187999999</v>
      </c>
      <c r="J821">
        <v>1336.2792969</v>
      </c>
      <c r="K821">
        <v>0</v>
      </c>
      <c r="L821">
        <v>2400</v>
      </c>
      <c r="M821">
        <v>2400</v>
      </c>
      <c r="N821">
        <v>0</v>
      </c>
    </row>
    <row r="822" spans="1:14" x14ac:dyDescent="0.25">
      <c r="A822">
        <v>203.28828200000001</v>
      </c>
      <c r="B822" s="1">
        <f>DATE(2010,11,20) + TIME(6,55,7)</f>
        <v>40502.288275462961</v>
      </c>
      <c r="C822">
        <v>80</v>
      </c>
      <c r="D822">
        <v>77.313835143999995</v>
      </c>
      <c r="E822">
        <v>50</v>
      </c>
      <c r="F822">
        <v>49.960674286</v>
      </c>
      <c r="G822">
        <v>1328.0893555</v>
      </c>
      <c r="H822">
        <v>1326.6230469</v>
      </c>
      <c r="I822">
        <v>1338.8760986</v>
      </c>
      <c r="J822">
        <v>1336.2731934000001</v>
      </c>
      <c r="K822">
        <v>0</v>
      </c>
      <c r="L822">
        <v>2400</v>
      </c>
      <c r="M822">
        <v>2400</v>
      </c>
      <c r="N822">
        <v>0</v>
      </c>
    </row>
    <row r="823" spans="1:14" x14ac:dyDescent="0.25">
      <c r="A823">
        <v>203.92147199999999</v>
      </c>
      <c r="B823" s="1">
        <f>DATE(2010,11,20) + TIME(22,6,55)</f>
        <v>40502.921469907407</v>
      </c>
      <c r="C823">
        <v>80</v>
      </c>
      <c r="D823">
        <v>77.245147704999994</v>
      </c>
      <c r="E823">
        <v>50</v>
      </c>
      <c r="F823">
        <v>49.960647582999997</v>
      </c>
      <c r="G823">
        <v>1328.0589600000001</v>
      </c>
      <c r="H823">
        <v>1326.5812988</v>
      </c>
      <c r="I823">
        <v>1338.8654785000001</v>
      </c>
      <c r="J823">
        <v>1336.2669678</v>
      </c>
      <c r="K823">
        <v>0</v>
      </c>
      <c r="L823">
        <v>2400</v>
      </c>
      <c r="M823">
        <v>2400</v>
      </c>
      <c r="N823">
        <v>0</v>
      </c>
    </row>
    <row r="824" spans="1:14" x14ac:dyDescent="0.25">
      <c r="A824">
        <v>204.56550300000001</v>
      </c>
      <c r="B824" s="1">
        <f>DATE(2010,11,21) + TIME(13,34,19)</f>
        <v>40503.565497685187</v>
      </c>
      <c r="C824">
        <v>80</v>
      </c>
      <c r="D824">
        <v>77.175209045000003</v>
      </c>
      <c r="E824">
        <v>50</v>
      </c>
      <c r="F824">
        <v>49.96062088</v>
      </c>
      <c r="G824">
        <v>1328.0280762</v>
      </c>
      <c r="H824">
        <v>1326.5388184000001</v>
      </c>
      <c r="I824">
        <v>1338.8547363</v>
      </c>
      <c r="J824">
        <v>1336.2608643000001</v>
      </c>
      <c r="K824">
        <v>0</v>
      </c>
      <c r="L824">
        <v>2400</v>
      </c>
      <c r="M824">
        <v>2400</v>
      </c>
      <c r="N824">
        <v>0</v>
      </c>
    </row>
    <row r="825" spans="1:14" x14ac:dyDescent="0.25">
      <c r="A825">
        <v>205.21614299999999</v>
      </c>
      <c r="B825" s="1">
        <f>DATE(2010,11,22) + TIME(5,11,14)</f>
        <v>40504.216134259259</v>
      </c>
      <c r="C825">
        <v>80</v>
      </c>
      <c r="D825">
        <v>77.104423522999994</v>
      </c>
      <c r="E825">
        <v>50</v>
      </c>
      <c r="F825">
        <v>49.960594176999997</v>
      </c>
      <c r="G825">
        <v>1327.9968262</v>
      </c>
      <c r="H825">
        <v>1326.4959716999999</v>
      </c>
      <c r="I825">
        <v>1338.8442382999999</v>
      </c>
      <c r="J825">
        <v>1336.2548827999999</v>
      </c>
      <c r="K825">
        <v>0</v>
      </c>
      <c r="L825">
        <v>2400</v>
      </c>
      <c r="M825">
        <v>2400</v>
      </c>
      <c r="N825">
        <v>0</v>
      </c>
    </row>
    <row r="826" spans="1:14" x14ac:dyDescent="0.25">
      <c r="A826">
        <v>205.87700899999999</v>
      </c>
      <c r="B826" s="1">
        <f>DATE(2010,11,22) + TIME(21,2,53)</f>
        <v>40504.877002314817</v>
      </c>
      <c r="C826">
        <v>80</v>
      </c>
      <c r="D826">
        <v>77.032791137999993</v>
      </c>
      <c r="E826">
        <v>50</v>
      </c>
      <c r="F826">
        <v>49.960567474000001</v>
      </c>
      <c r="G826">
        <v>1327.9654541</v>
      </c>
      <c r="H826">
        <v>1326.453125</v>
      </c>
      <c r="I826">
        <v>1338.8339844</v>
      </c>
      <c r="J826">
        <v>1336.2491454999999</v>
      </c>
      <c r="K826">
        <v>0</v>
      </c>
      <c r="L826">
        <v>2400</v>
      </c>
      <c r="M826">
        <v>2400</v>
      </c>
      <c r="N826">
        <v>0</v>
      </c>
    </row>
    <row r="827" spans="1:14" x14ac:dyDescent="0.25">
      <c r="A827">
        <v>206.54952800000001</v>
      </c>
      <c r="B827" s="1">
        <f>DATE(2010,11,23) + TIME(13,11,19)</f>
        <v>40505.549525462964</v>
      </c>
      <c r="C827">
        <v>80</v>
      </c>
      <c r="D827">
        <v>76.960212708</v>
      </c>
      <c r="E827">
        <v>50</v>
      </c>
      <c r="F827">
        <v>49.960544585999997</v>
      </c>
      <c r="G827">
        <v>1327.934082</v>
      </c>
      <c r="H827">
        <v>1326.4100341999999</v>
      </c>
      <c r="I827">
        <v>1338.8238524999999</v>
      </c>
      <c r="J827">
        <v>1336.2434082</v>
      </c>
      <c r="K827">
        <v>0</v>
      </c>
      <c r="L827">
        <v>2400</v>
      </c>
      <c r="M827">
        <v>2400</v>
      </c>
      <c r="N827">
        <v>0</v>
      </c>
    </row>
    <row r="828" spans="1:14" x14ac:dyDescent="0.25">
      <c r="A828">
        <v>207.23740000000001</v>
      </c>
      <c r="B828" s="1">
        <f>DATE(2010,11,24) + TIME(5,41,51)</f>
        <v>40506.237395833334</v>
      </c>
      <c r="C828">
        <v>80</v>
      </c>
      <c r="D828">
        <v>76.886436462000006</v>
      </c>
      <c r="E828">
        <v>50</v>
      </c>
      <c r="F828">
        <v>49.960521698000001</v>
      </c>
      <c r="G828">
        <v>1327.9024658000001</v>
      </c>
      <c r="H828">
        <v>1326.3668213000001</v>
      </c>
      <c r="I828">
        <v>1338.8138428</v>
      </c>
      <c r="J828">
        <v>1336.237793</v>
      </c>
      <c r="K828">
        <v>0</v>
      </c>
      <c r="L828">
        <v>2400</v>
      </c>
      <c r="M828">
        <v>2400</v>
      </c>
      <c r="N828">
        <v>0</v>
      </c>
    </row>
    <row r="829" spans="1:14" x14ac:dyDescent="0.25">
      <c r="A829">
        <v>207.94300000000001</v>
      </c>
      <c r="B829" s="1">
        <f>DATE(2010,11,24) + TIME(22,37,55)</f>
        <v>40506.942997685182</v>
      </c>
      <c r="C829">
        <v>80</v>
      </c>
      <c r="D829">
        <v>76.811210631999998</v>
      </c>
      <c r="E829">
        <v>50</v>
      </c>
      <c r="F829">
        <v>49.960498809999997</v>
      </c>
      <c r="G829">
        <v>1327.8704834</v>
      </c>
      <c r="H829">
        <v>1326.3232422000001</v>
      </c>
      <c r="I829">
        <v>1338.8039550999999</v>
      </c>
      <c r="J829">
        <v>1336.2322998</v>
      </c>
      <c r="K829">
        <v>0</v>
      </c>
      <c r="L829">
        <v>2400</v>
      </c>
      <c r="M829">
        <v>2400</v>
      </c>
      <c r="N829">
        <v>0</v>
      </c>
    </row>
    <row r="830" spans="1:14" x14ac:dyDescent="0.25">
      <c r="A830">
        <v>208.658411</v>
      </c>
      <c r="B830" s="1">
        <f>DATE(2010,11,25) + TIME(15,48,6)</f>
        <v>40507.658402777779</v>
      </c>
      <c r="C830">
        <v>80</v>
      </c>
      <c r="D830">
        <v>76.734764099000003</v>
      </c>
      <c r="E830">
        <v>50</v>
      </c>
      <c r="F830">
        <v>49.960479736000003</v>
      </c>
      <c r="G830">
        <v>1327.8382568</v>
      </c>
      <c r="H830">
        <v>1326.2791748</v>
      </c>
      <c r="I830">
        <v>1338.7940673999999</v>
      </c>
      <c r="J830">
        <v>1336.2268065999999</v>
      </c>
      <c r="K830">
        <v>0</v>
      </c>
      <c r="L830">
        <v>2400</v>
      </c>
      <c r="M830">
        <v>2400</v>
      </c>
      <c r="N830">
        <v>0</v>
      </c>
    </row>
    <row r="831" spans="1:14" x14ac:dyDescent="0.25">
      <c r="A831">
        <v>209.38828899999999</v>
      </c>
      <c r="B831" s="1">
        <f>DATE(2010,11,26) + TIME(9,19,8)</f>
        <v>40508.388287037036</v>
      </c>
      <c r="C831">
        <v>80</v>
      </c>
      <c r="D831">
        <v>76.656997681000007</v>
      </c>
      <c r="E831">
        <v>50</v>
      </c>
      <c r="F831">
        <v>49.960460662999999</v>
      </c>
      <c r="G831">
        <v>1327.8057861</v>
      </c>
      <c r="H831">
        <v>1326.2348632999999</v>
      </c>
      <c r="I831">
        <v>1338.7843018000001</v>
      </c>
      <c r="J831">
        <v>1336.2215576000001</v>
      </c>
      <c r="K831">
        <v>0</v>
      </c>
      <c r="L831">
        <v>2400</v>
      </c>
      <c r="M831">
        <v>2400</v>
      </c>
      <c r="N831">
        <v>0</v>
      </c>
    </row>
    <row r="832" spans="1:14" x14ac:dyDescent="0.25">
      <c r="A832">
        <v>210.13728499999999</v>
      </c>
      <c r="B832" s="1">
        <f>DATE(2010,11,27) + TIME(3,17,41)</f>
        <v>40509.137280092589</v>
      </c>
      <c r="C832">
        <v>80</v>
      </c>
      <c r="D832">
        <v>76.577598571999999</v>
      </c>
      <c r="E832">
        <v>50</v>
      </c>
      <c r="F832">
        <v>49.960441588999998</v>
      </c>
      <c r="G832">
        <v>1327.7731934000001</v>
      </c>
      <c r="H832">
        <v>1326.1903076000001</v>
      </c>
      <c r="I832">
        <v>1338.7747803</v>
      </c>
      <c r="J832">
        <v>1336.2161865</v>
      </c>
      <c r="K832">
        <v>0</v>
      </c>
      <c r="L832">
        <v>2400</v>
      </c>
      <c r="M832">
        <v>2400</v>
      </c>
      <c r="N832">
        <v>0</v>
      </c>
    </row>
    <row r="833" spans="1:14" x14ac:dyDescent="0.25">
      <c r="A833">
        <v>210.91041000000001</v>
      </c>
      <c r="B833" s="1">
        <f>DATE(2010,11,27) + TIME(21,50,59)</f>
        <v>40509.910405092596</v>
      </c>
      <c r="C833">
        <v>80</v>
      </c>
      <c r="D833">
        <v>76.496116638000004</v>
      </c>
      <c r="E833">
        <v>50</v>
      </c>
      <c r="F833">
        <v>49.960426331000001</v>
      </c>
      <c r="G833">
        <v>1327.7401123</v>
      </c>
      <c r="H833">
        <v>1326.1452637</v>
      </c>
      <c r="I833">
        <v>1338.7651367000001</v>
      </c>
      <c r="J833">
        <v>1336.2110596</v>
      </c>
      <c r="K833">
        <v>0</v>
      </c>
      <c r="L833">
        <v>2400</v>
      </c>
      <c r="M833">
        <v>2400</v>
      </c>
      <c r="N833">
        <v>0</v>
      </c>
    </row>
    <row r="834" spans="1:14" x14ac:dyDescent="0.25">
      <c r="A834">
        <v>211.70559399999999</v>
      </c>
      <c r="B834" s="1">
        <f>DATE(2010,11,28) + TIME(16,56,3)</f>
        <v>40510.705590277779</v>
      </c>
      <c r="C834">
        <v>80</v>
      </c>
      <c r="D834">
        <v>76.412368774000001</v>
      </c>
      <c r="E834">
        <v>50</v>
      </c>
      <c r="F834">
        <v>49.960407257</v>
      </c>
      <c r="G834">
        <v>1327.7064209</v>
      </c>
      <c r="H834">
        <v>1326.0994873</v>
      </c>
      <c r="I834">
        <v>1338.7556152</v>
      </c>
      <c r="J834">
        <v>1336.2058105000001</v>
      </c>
      <c r="K834">
        <v>0</v>
      </c>
      <c r="L834">
        <v>2400</v>
      </c>
      <c r="M834">
        <v>2400</v>
      </c>
      <c r="N834">
        <v>0</v>
      </c>
    </row>
    <row r="835" spans="1:14" x14ac:dyDescent="0.25">
      <c r="A835">
        <v>212.50677300000001</v>
      </c>
      <c r="B835" s="1">
        <f>DATE(2010,11,29) + TIME(12,9,45)</f>
        <v>40511.50677083333</v>
      </c>
      <c r="C835">
        <v>80</v>
      </c>
      <c r="D835">
        <v>76.327026367000002</v>
      </c>
      <c r="E835">
        <v>50</v>
      </c>
      <c r="F835">
        <v>49.960391997999999</v>
      </c>
      <c r="G835">
        <v>1327.6723632999999</v>
      </c>
      <c r="H835">
        <v>1326.0531006000001</v>
      </c>
      <c r="I835">
        <v>1338.7459716999999</v>
      </c>
      <c r="J835">
        <v>1336.2006836</v>
      </c>
      <c r="K835">
        <v>0</v>
      </c>
      <c r="L835">
        <v>2400</v>
      </c>
      <c r="M835">
        <v>2400</v>
      </c>
      <c r="N835">
        <v>0</v>
      </c>
    </row>
    <row r="836" spans="1:14" x14ac:dyDescent="0.25">
      <c r="A836">
        <v>213.31858700000001</v>
      </c>
      <c r="B836" s="1">
        <f>DATE(2010,11,30) + TIME(7,38,45)</f>
        <v>40512.318576388891</v>
      </c>
      <c r="C836">
        <v>80</v>
      </c>
      <c r="D836">
        <v>76.240341186999999</v>
      </c>
      <c r="E836">
        <v>50</v>
      </c>
      <c r="F836">
        <v>49.960376740000001</v>
      </c>
      <c r="G836">
        <v>1327.6381836</v>
      </c>
      <c r="H836">
        <v>1326.0067139</v>
      </c>
      <c r="I836">
        <v>1338.7365723</v>
      </c>
      <c r="J836">
        <v>1336.1956786999999</v>
      </c>
      <c r="K836">
        <v>0</v>
      </c>
      <c r="L836">
        <v>2400</v>
      </c>
      <c r="M836">
        <v>2400</v>
      </c>
      <c r="N836">
        <v>0</v>
      </c>
    </row>
    <row r="837" spans="1:14" x14ac:dyDescent="0.25">
      <c r="A837">
        <v>214</v>
      </c>
      <c r="B837" s="1">
        <f>DATE(2010,12,1) + TIME(0,0,0)</f>
        <v>40513</v>
      </c>
      <c r="C837">
        <v>80</v>
      </c>
      <c r="D837">
        <v>76.159622192</v>
      </c>
      <c r="E837">
        <v>50</v>
      </c>
      <c r="F837">
        <v>49.960357666</v>
      </c>
      <c r="G837">
        <v>1327.6043701000001</v>
      </c>
      <c r="H837">
        <v>1325.9609375</v>
      </c>
      <c r="I837">
        <v>1338.7272949000001</v>
      </c>
      <c r="J837">
        <v>1336.1906738</v>
      </c>
      <c r="K837">
        <v>0</v>
      </c>
      <c r="L837">
        <v>2400</v>
      </c>
      <c r="M837">
        <v>2400</v>
      </c>
      <c r="N837">
        <v>0</v>
      </c>
    </row>
    <row r="838" spans="1:14" x14ac:dyDescent="0.25">
      <c r="A838">
        <v>214.818884</v>
      </c>
      <c r="B838" s="1">
        <f>DATE(2010,12,1) + TIME(19,39,11)</f>
        <v>40513.818877314814</v>
      </c>
      <c r="C838">
        <v>80</v>
      </c>
      <c r="D838">
        <v>76.075531006000006</v>
      </c>
      <c r="E838">
        <v>50</v>
      </c>
      <c r="F838">
        <v>49.960350036999998</v>
      </c>
      <c r="G838">
        <v>1327.5743408000001</v>
      </c>
      <c r="H838">
        <v>1325.9194336</v>
      </c>
      <c r="I838">
        <v>1338.7197266000001</v>
      </c>
      <c r="J838">
        <v>1336.1867675999999</v>
      </c>
      <c r="K838">
        <v>0</v>
      </c>
      <c r="L838">
        <v>2400</v>
      </c>
      <c r="M838">
        <v>2400</v>
      </c>
      <c r="N838">
        <v>0</v>
      </c>
    </row>
    <row r="839" spans="1:14" x14ac:dyDescent="0.25">
      <c r="A839">
        <v>215.66168999999999</v>
      </c>
      <c r="B839" s="1">
        <f>DATE(2010,12,2) + TIME(15,52,49)</f>
        <v>40514.661678240744</v>
      </c>
      <c r="C839">
        <v>80</v>
      </c>
      <c r="D839">
        <v>75.987480164000004</v>
      </c>
      <c r="E839">
        <v>50</v>
      </c>
      <c r="F839">
        <v>49.960342406999999</v>
      </c>
      <c r="G839">
        <v>1327.5412598</v>
      </c>
      <c r="H839">
        <v>1325.8746338000001</v>
      </c>
      <c r="I839">
        <v>1338.7109375</v>
      </c>
      <c r="J839">
        <v>1336.1821289</v>
      </c>
      <c r="K839">
        <v>0</v>
      </c>
      <c r="L839">
        <v>2400</v>
      </c>
      <c r="M839">
        <v>2400</v>
      </c>
      <c r="N839">
        <v>0</v>
      </c>
    </row>
    <row r="840" spans="1:14" x14ac:dyDescent="0.25">
      <c r="A840">
        <v>216.525261</v>
      </c>
      <c r="B840" s="1">
        <f>DATE(2010,12,3) + TIME(12,36,22)</f>
        <v>40515.525254629632</v>
      </c>
      <c r="C840">
        <v>80</v>
      </c>
      <c r="D840">
        <v>75.896224975999999</v>
      </c>
      <c r="E840">
        <v>50</v>
      </c>
      <c r="F840">
        <v>49.960330962999997</v>
      </c>
      <c r="G840">
        <v>1327.5073242000001</v>
      </c>
      <c r="H840">
        <v>1325.8288574000001</v>
      </c>
      <c r="I840">
        <v>1338.7020264</v>
      </c>
      <c r="J840">
        <v>1336.1774902</v>
      </c>
      <c r="K840">
        <v>0</v>
      </c>
      <c r="L840">
        <v>2400</v>
      </c>
      <c r="M840">
        <v>2400</v>
      </c>
      <c r="N840">
        <v>0</v>
      </c>
    </row>
    <row r="841" spans="1:14" x14ac:dyDescent="0.25">
      <c r="A841">
        <v>217.415887</v>
      </c>
      <c r="B841" s="1">
        <f>DATE(2010,12,4) + TIME(9,58,52)</f>
        <v>40516.415879629632</v>
      </c>
      <c r="C841">
        <v>80</v>
      </c>
      <c r="D841">
        <v>75.801872252999999</v>
      </c>
      <c r="E841">
        <v>50</v>
      </c>
      <c r="F841">
        <v>49.960323334000002</v>
      </c>
      <c r="G841">
        <v>1327.4729004000001</v>
      </c>
      <c r="H841">
        <v>1325.7822266000001</v>
      </c>
      <c r="I841">
        <v>1338.6932373</v>
      </c>
      <c r="J841">
        <v>1336.1728516000001</v>
      </c>
      <c r="K841">
        <v>0</v>
      </c>
      <c r="L841">
        <v>2400</v>
      </c>
      <c r="M841">
        <v>2400</v>
      </c>
      <c r="N841">
        <v>0</v>
      </c>
    </row>
    <row r="842" spans="1:14" x14ac:dyDescent="0.25">
      <c r="A842">
        <v>218.32756499999999</v>
      </c>
      <c r="B842" s="1">
        <f>DATE(2010,12,5) + TIME(7,51,41)</f>
        <v>40517.327557870369</v>
      </c>
      <c r="C842">
        <v>80</v>
      </c>
      <c r="D842">
        <v>75.704589843999997</v>
      </c>
      <c r="E842">
        <v>50</v>
      </c>
      <c r="F842">
        <v>49.960315704000003</v>
      </c>
      <c r="G842">
        <v>1327.4379882999999</v>
      </c>
      <c r="H842">
        <v>1325.7349853999999</v>
      </c>
      <c r="I842">
        <v>1338.6843262</v>
      </c>
      <c r="J842">
        <v>1336.1682129000001</v>
      </c>
      <c r="K842">
        <v>0</v>
      </c>
      <c r="L842">
        <v>2400</v>
      </c>
      <c r="M842">
        <v>2400</v>
      </c>
      <c r="N842">
        <v>0</v>
      </c>
    </row>
    <row r="843" spans="1:14" x14ac:dyDescent="0.25">
      <c r="A843">
        <v>219.26622</v>
      </c>
      <c r="B843" s="1">
        <f>DATE(2010,12,6) + TIME(6,23,21)</f>
        <v>40518.266215277778</v>
      </c>
      <c r="C843">
        <v>80</v>
      </c>
      <c r="D843">
        <v>75.604278563999998</v>
      </c>
      <c r="E843">
        <v>50</v>
      </c>
      <c r="F843">
        <v>49.96031189</v>
      </c>
      <c r="G843">
        <v>1327.4024658000001</v>
      </c>
      <c r="H843">
        <v>1325.6870117000001</v>
      </c>
      <c r="I843">
        <v>1338.6755370999999</v>
      </c>
      <c r="J843">
        <v>1336.1636963000001</v>
      </c>
      <c r="K843">
        <v>0</v>
      </c>
      <c r="L843">
        <v>2400</v>
      </c>
      <c r="M843">
        <v>2400</v>
      </c>
      <c r="N843">
        <v>0</v>
      </c>
    </row>
    <row r="844" spans="1:14" x14ac:dyDescent="0.25">
      <c r="A844">
        <v>220.21258900000001</v>
      </c>
      <c r="B844" s="1">
        <f>DATE(2010,12,7) + TIME(5,6,7)</f>
        <v>40519.212581018517</v>
      </c>
      <c r="C844">
        <v>80</v>
      </c>
      <c r="D844">
        <v>75.501564025999997</v>
      </c>
      <c r="E844">
        <v>50</v>
      </c>
      <c r="F844">
        <v>49.960304260000001</v>
      </c>
      <c r="G844">
        <v>1327.3665771000001</v>
      </c>
      <c r="H844">
        <v>1325.6385498</v>
      </c>
      <c r="I844">
        <v>1338.666626</v>
      </c>
      <c r="J844">
        <v>1336.1591797000001</v>
      </c>
      <c r="K844">
        <v>0</v>
      </c>
      <c r="L844">
        <v>2400</v>
      </c>
      <c r="M844">
        <v>2400</v>
      </c>
      <c r="N844">
        <v>0</v>
      </c>
    </row>
    <row r="845" spans="1:14" x14ac:dyDescent="0.25">
      <c r="A845">
        <v>221.16250299999999</v>
      </c>
      <c r="B845" s="1">
        <f>DATE(2010,12,8) + TIME(3,54,0)</f>
        <v>40520.162499999999</v>
      </c>
      <c r="C845">
        <v>80</v>
      </c>
      <c r="D845">
        <v>75.397308350000003</v>
      </c>
      <c r="E845">
        <v>50</v>
      </c>
      <c r="F845">
        <v>49.960300445999998</v>
      </c>
      <c r="G845">
        <v>1327.3306885</v>
      </c>
      <c r="H845">
        <v>1325.5899658000001</v>
      </c>
      <c r="I845">
        <v>1338.6579589999999</v>
      </c>
      <c r="J845">
        <v>1336.1546631000001</v>
      </c>
      <c r="K845">
        <v>0</v>
      </c>
      <c r="L845">
        <v>2400</v>
      </c>
      <c r="M845">
        <v>2400</v>
      </c>
      <c r="N845">
        <v>0</v>
      </c>
    </row>
    <row r="846" spans="1:14" x14ac:dyDescent="0.25">
      <c r="A846">
        <v>222.12228099999999</v>
      </c>
      <c r="B846" s="1">
        <f>DATE(2010,12,9) + TIME(2,56,5)</f>
        <v>40521.12228009259</v>
      </c>
      <c r="C846">
        <v>80</v>
      </c>
      <c r="D846">
        <v>75.291687011999997</v>
      </c>
      <c r="E846">
        <v>50</v>
      </c>
      <c r="F846">
        <v>49.960296630999999</v>
      </c>
      <c r="G846">
        <v>1327.2949219</v>
      </c>
      <c r="H846">
        <v>1325.541626</v>
      </c>
      <c r="I846">
        <v>1338.6494141000001</v>
      </c>
      <c r="J846">
        <v>1336.1503906</v>
      </c>
      <c r="K846">
        <v>0</v>
      </c>
      <c r="L846">
        <v>2400</v>
      </c>
      <c r="M846">
        <v>2400</v>
      </c>
      <c r="N846">
        <v>0</v>
      </c>
    </row>
    <row r="847" spans="1:14" x14ac:dyDescent="0.25">
      <c r="A847">
        <v>223.09601499999999</v>
      </c>
      <c r="B847" s="1">
        <f>DATE(2010,12,10) + TIME(2,18,15)</f>
        <v>40522.096006944441</v>
      </c>
      <c r="C847">
        <v>80</v>
      </c>
      <c r="D847">
        <v>75.184432982999994</v>
      </c>
      <c r="E847">
        <v>50</v>
      </c>
      <c r="F847">
        <v>49.960292815999999</v>
      </c>
      <c r="G847">
        <v>1327.2593993999999</v>
      </c>
      <c r="H847">
        <v>1325.4935303</v>
      </c>
      <c r="I847">
        <v>1338.6411132999999</v>
      </c>
      <c r="J847">
        <v>1336.1462402</v>
      </c>
      <c r="K847">
        <v>0</v>
      </c>
      <c r="L847">
        <v>2400</v>
      </c>
      <c r="M847">
        <v>2400</v>
      </c>
      <c r="N847">
        <v>0</v>
      </c>
    </row>
    <row r="848" spans="1:14" x14ac:dyDescent="0.25">
      <c r="A848">
        <v>224.085555</v>
      </c>
      <c r="B848" s="1">
        <f>DATE(2010,12,11) + TIME(2,3,11)</f>
        <v>40523.085543981484</v>
      </c>
      <c r="C848">
        <v>80</v>
      </c>
      <c r="D848">
        <v>75.075256347999996</v>
      </c>
      <c r="E848">
        <v>50</v>
      </c>
      <c r="F848">
        <v>49.960292815999999</v>
      </c>
      <c r="G848">
        <v>1327.2237548999999</v>
      </c>
      <c r="H848">
        <v>1325.4454346</v>
      </c>
      <c r="I848">
        <v>1338.6328125</v>
      </c>
      <c r="J848">
        <v>1336.1420897999999</v>
      </c>
      <c r="K848">
        <v>0</v>
      </c>
      <c r="L848">
        <v>2400</v>
      </c>
      <c r="M848">
        <v>2400</v>
      </c>
      <c r="N848">
        <v>0</v>
      </c>
    </row>
    <row r="849" spans="1:14" x14ac:dyDescent="0.25">
      <c r="A849">
        <v>225.09792899999999</v>
      </c>
      <c r="B849" s="1">
        <f>DATE(2010,12,12) + TIME(2,21,1)</f>
        <v>40524.097928240742</v>
      </c>
      <c r="C849">
        <v>80</v>
      </c>
      <c r="D849">
        <v>74.963638306000007</v>
      </c>
      <c r="E849">
        <v>50</v>
      </c>
      <c r="F849">
        <v>49.960292815999999</v>
      </c>
      <c r="G849">
        <v>1327.1882324000001</v>
      </c>
      <c r="H849">
        <v>1325.3973389</v>
      </c>
      <c r="I849">
        <v>1338.6246338000001</v>
      </c>
      <c r="J849">
        <v>1336.1379394999999</v>
      </c>
      <c r="K849">
        <v>0</v>
      </c>
      <c r="L849">
        <v>2400</v>
      </c>
      <c r="M849">
        <v>2400</v>
      </c>
      <c r="N849">
        <v>0</v>
      </c>
    </row>
    <row r="850" spans="1:14" x14ac:dyDescent="0.25">
      <c r="A850">
        <v>226.14054300000001</v>
      </c>
      <c r="B850" s="1">
        <f>DATE(2010,12,13) + TIME(3,22,22)</f>
        <v>40525.140532407408</v>
      </c>
      <c r="C850">
        <v>80</v>
      </c>
      <c r="D850">
        <v>74.848808289000004</v>
      </c>
      <c r="E850">
        <v>50</v>
      </c>
      <c r="F850">
        <v>49.960296630999999</v>
      </c>
      <c r="G850">
        <v>1327.1523437999999</v>
      </c>
      <c r="H850">
        <v>1325.348999</v>
      </c>
      <c r="I850">
        <v>1338.6164550999999</v>
      </c>
      <c r="J850">
        <v>1336.1339111</v>
      </c>
      <c r="K850">
        <v>0</v>
      </c>
      <c r="L850">
        <v>2400</v>
      </c>
      <c r="M850">
        <v>2400</v>
      </c>
      <c r="N850">
        <v>0</v>
      </c>
    </row>
    <row r="851" spans="1:14" x14ac:dyDescent="0.25">
      <c r="A851">
        <v>226.68075200000001</v>
      </c>
      <c r="B851" s="1">
        <f>DATE(2010,12,13) + TIME(16,20,16)</f>
        <v>40525.68074074074</v>
      </c>
      <c r="C851">
        <v>80</v>
      </c>
      <c r="D851">
        <v>74.760879517000006</v>
      </c>
      <c r="E851">
        <v>50</v>
      </c>
      <c r="F851">
        <v>49.960281371999997</v>
      </c>
      <c r="G851">
        <v>1327.1169434000001</v>
      </c>
      <c r="H851">
        <v>1325.3024902</v>
      </c>
      <c r="I851">
        <v>1338.6081543</v>
      </c>
      <c r="J851">
        <v>1336.1297606999999</v>
      </c>
      <c r="K851">
        <v>0</v>
      </c>
      <c r="L851">
        <v>2400</v>
      </c>
      <c r="M851">
        <v>2400</v>
      </c>
      <c r="N851">
        <v>0</v>
      </c>
    </row>
    <row r="852" spans="1:14" x14ac:dyDescent="0.25">
      <c r="A852">
        <v>227.22096099999999</v>
      </c>
      <c r="B852" s="1">
        <f>DATE(2010,12,14) + TIME(5,18,11)</f>
        <v>40526.220960648148</v>
      </c>
      <c r="C852">
        <v>80</v>
      </c>
      <c r="D852">
        <v>74.685478209999999</v>
      </c>
      <c r="E852">
        <v>50</v>
      </c>
      <c r="F852">
        <v>49.960273743000002</v>
      </c>
      <c r="G852">
        <v>1327.0947266000001</v>
      </c>
      <c r="H852">
        <v>1325.270874</v>
      </c>
      <c r="I852">
        <v>1338.6038818</v>
      </c>
      <c r="J852">
        <v>1336.1275635</v>
      </c>
      <c r="K852">
        <v>0</v>
      </c>
      <c r="L852">
        <v>2400</v>
      </c>
      <c r="M852">
        <v>2400</v>
      </c>
      <c r="N852">
        <v>0</v>
      </c>
    </row>
    <row r="853" spans="1:14" x14ac:dyDescent="0.25">
      <c r="A853">
        <v>227.76117099999999</v>
      </c>
      <c r="B853" s="1">
        <f>DATE(2010,12,14) + TIME(18,16,5)</f>
        <v>40526.76116898148</v>
      </c>
      <c r="C853">
        <v>80</v>
      </c>
      <c r="D853">
        <v>74.616539001000007</v>
      </c>
      <c r="E853">
        <v>50</v>
      </c>
      <c r="F853">
        <v>49.960269928000002</v>
      </c>
      <c r="G853">
        <v>1327.0740966999999</v>
      </c>
      <c r="H853">
        <v>1325.2421875</v>
      </c>
      <c r="I853">
        <v>1338.5998535000001</v>
      </c>
      <c r="J853">
        <v>1336.1256103999999</v>
      </c>
      <c r="K853">
        <v>0</v>
      </c>
      <c r="L853">
        <v>2400</v>
      </c>
      <c r="M853">
        <v>2400</v>
      </c>
      <c r="N853">
        <v>0</v>
      </c>
    </row>
    <row r="854" spans="1:14" x14ac:dyDescent="0.25">
      <c r="A854">
        <v>228.30137999999999</v>
      </c>
      <c r="B854" s="1">
        <f>DATE(2010,12,15) + TIME(7,13,59)</f>
        <v>40527.301377314812</v>
      </c>
      <c r="C854">
        <v>80</v>
      </c>
      <c r="D854">
        <v>74.550888061999999</v>
      </c>
      <c r="E854">
        <v>50</v>
      </c>
      <c r="F854">
        <v>49.960273743000002</v>
      </c>
      <c r="G854">
        <v>1327.0545654</v>
      </c>
      <c r="H854">
        <v>1325.215332</v>
      </c>
      <c r="I854">
        <v>1338.5958252</v>
      </c>
      <c r="J854">
        <v>1336.1235352000001</v>
      </c>
      <c r="K854">
        <v>0</v>
      </c>
      <c r="L854">
        <v>2400</v>
      </c>
      <c r="M854">
        <v>2400</v>
      </c>
      <c r="N854">
        <v>0</v>
      </c>
    </row>
    <row r="855" spans="1:14" x14ac:dyDescent="0.25">
      <c r="A855">
        <v>228.841589</v>
      </c>
      <c r="B855" s="1">
        <f>DATE(2010,12,15) + TIME(20,11,53)</f>
        <v>40527.841585648152</v>
      </c>
      <c r="C855">
        <v>80</v>
      </c>
      <c r="D855">
        <v>74.486877441000004</v>
      </c>
      <c r="E855">
        <v>50</v>
      </c>
      <c r="F855">
        <v>49.960273743000002</v>
      </c>
      <c r="G855">
        <v>1327.0355225000001</v>
      </c>
      <c r="H855">
        <v>1325.1894531</v>
      </c>
      <c r="I855">
        <v>1338.5917969</v>
      </c>
      <c r="J855">
        <v>1336.121582</v>
      </c>
      <c r="K855">
        <v>0</v>
      </c>
      <c r="L855">
        <v>2400</v>
      </c>
      <c r="M855">
        <v>2400</v>
      </c>
      <c r="N855">
        <v>0</v>
      </c>
    </row>
    <row r="856" spans="1:14" x14ac:dyDescent="0.25">
      <c r="A856">
        <v>229.381798</v>
      </c>
      <c r="B856" s="1">
        <f>DATE(2010,12,16) + TIME(9,9,47)</f>
        <v>40528.381793981483</v>
      </c>
      <c r="C856">
        <v>80</v>
      </c>
      <c r="D856">
        <v>74.423637389999996</v>
      </c>
      <c r="E856">
        <v>50</v>
      </c>
      <c r="F856">
        <v>49.960277556999998</v>
      </c>
      <c r="G856">
        <v>1327.0169678</v>
      </c>
      <c r="H856">
        <v>1325.1643065999999</v>
      </c>
      <c r="I856">
        <v>1338.5877685999999</v>
      </c>
      <c r="J856">
        <v>1336.1196289</v>
      </c>
      <c r="K856">
        <v>0</v>
      </c>
      <c r="L856">
        <v>2400</v>
      </c>
      <c r="M856">
        <v>2400</v>
      </c>
      <c r="N856">
        <v>0</v>
      </c>
    </row>
    <row r="857" spans="1:14" x14ac:dyDescent="0.25">
      <c r="A857">
        <v>230.46221700000001</v>
      </c>
      <c r="B857" s="1">
        <f>DATE(2010,12,17) + TIME(11,5,35)</f>
        <v>40529.462210648147</v>
      </c>
      <c r="C857">
        <v>80</v>
      </c>
      <c r="D857">
        <v>74.338905334000003</v>
      </c>
      <c r="E857">
        <v>50</v>
      </c>
      <c r="F857">
        <v>49.960304260000001</v>
      </c>
      <c r="G857">
        <v>1326.9979248</v>
      </c>
      <c r="H857">
        <v>1325.1376952999999</v>
      </c>
      <c r="I857">
        <v>1338.5839844</v>
      </c>
      <c r="J857">
        <v>1336.1177978999999</v>
      </c>
      <c r="K857">
        <v>0</v>
      </c>
      <c r="L857">
        <v>2400</v>
      </c>
      <c r="M857">
        <v>2400</v>
      </c>
      <c r="N857">
        <v>0</v>
      </c>
    </row>
    <row r="858" spans="1:14" x14ac:dyDescent="0.25">
      <c r="A858">
        <v>231.54663300000001</v>
      </c>
      <c r="B858" s="1">
        <f>DATE(2010,12,18) + TIME(13,7,9)</f>
        <v>40530.546631944446</v>
      </c>
      <c r="C858">
        <v>80</v>
      </c>
      <c r="D858">
        <v>74.227554321</v>
      </c>
      <c r="E858">
        <v>50</v>
      </c>
      <c r="F858">
        <v>49.960315704000003</v>
      </c>
      <c r="G858">
        <v>1326.9667969</v>
      </c>
      <c r="H858">
        <v>1325.0979004000001</v>
      </c>
      <c r="I858">
        <v>1338.5762939000001</v>
      </c>
      <c r="J858">
        <v>1336.1141356999999</v>
      </c>
      <c r="K858">
        <v>0</v>
      </c>
      <c r="L858">
        <v>2400</v>
      </c>
      <c r="M858">
        <v>2400</v>
      </c>
      <c r="N858">
        <v>0</v>
      </c>
    </row>
    <row r="859" spans="1:14" x14ac:dyDescent="0.25">
      <c r="A859">
        <v>232.65600599999999</v>
      </c>
      <c r="B859" s="1">
        <f>DATE(2010,12,19) + TIME(15,44,38)</f>
        <v>40531.655995370369</v>
      </c>
      <c r="C859">
        <v>80</v>
      </c>
      <c r="D859">
        <v>74.105430603000002</v>
      </c>
      <c r="E859">
        <v>50</v>
      </c>
      <c r="F859">
        <v>49.960327147999998</v>
      </c>
      <c r="G859">
        <v>1326.9329834</v>
      </c>
      <c r="H859">
        <v>1325.0532227000001</v>
      </c>
      <c r="I859">
        <v>1338.5687256000001</v>
      </c>
      <c r="J859">
        <v>1336.1104736</v>
      </c>
      <c r="K859">
        <v>0</v>
      </c>
      <c r="L859">
        <v>2400</v>
      </c>
      <c r="M859">
        <v>2400</v>
      </c>
      <c r="N859">
        <v>0</v>
      </c>
    </row>
    <row r="860" spans="1:14" x14ac:dyDescent="0.25">
      <c r="A860">
        <v>233.797957</v>
      </c>
      <c r="B860" s="1">
        <f>DATE(2010,12,20) + TIME(19,9,3)</f>
        <v>40532.797951388886</v>
      </c>
      <c r="C860">
        <v>80</v>
      </c>
      <c r="D860">
        <v>73.976982117000006</v>
      </c>
      <c r="E860">
        <v>50</v>
      </c>
      <c r="F860">
        <v>49.960338593000003</v>
      </c>
      <c r="G860">
        <v>1326.8980713000001</v>
      </c>
      <c r="H860">
        <v>1325.0064697</v>
      </c>
      <c r="I860">
        <v>1338.5611572</v>
      </c>
      <c r="J860">
        <v>1336.1068115</v>
      </c>
      <c r="K860">
        <v>0</v>
      </c>
      <c r="L860">
        <v>2400</v>
      </c>
      <c r="M860">
        <v>2400</v>
      </c>
      <c r="N860">
        <v>0</v>
      </c>
    </row>
    <row r="861" spans="1:14" x14ac:dyDescent="0.25">
      <c r="A861">
        <v>234.98144600000001</v>
      </c>
      <c r="B861" s="1">
        <f>DATE(2010,12,21) + TIME(23,33,16)</f>
        <v>40533.981435185182</v>
      </c>
      <c r="C861">
        <v>80</v>
      </c>
      <c r="D861">
        <v>73.843147278000004</v>
      </c>
      <c r="E861">
        <v>50</v>
      </c>
      <c r="F861">
        <v>49.960350036999998</v>
      </c>
      <c r="G861">
        <v>1326.8621826000001</v>
      </c>
      <c r="H861">
        <v>1324.9584961</v>
      </c>
      <c r="I861">
        <v>1338.5535889</v>
      </c>
      <c r="J861">
        <v>1336.1031493999999</v>
      </c>
      <c r="K861">
        <v>0</v>
      </c>
      <c r="L861">
        <v>2400</v>
      </c>
      <c r="M861">
        <v>2400</v>
      </c>
      <c r="N861">
        <v>0</v>
      </c>
    </row>
    <row r="862" spans="1:14" x14ac:dyDescent="0.25">
      <c r="A862">
        <v>236.204992</v>
      </c>
      <c r="B862" s="1">
        <f>DATE(2010,12,23) + TIME(4,55,11)</f>
        <v>40535.204988425925</v>
      </c>
      <c r="C862">
        <v>80</v>
      </c>
      <c r="D862">
        <v>73.703910828000005</v>
      </c>
      <c r="E862">
        <v>50</v>
      </c>
      <c r="F862">
        <v>49.960365295000003</v>
      </c>
      <c r="G862">
        <v>1326.8255615</v>
      </c>
      <c r="H862">
        <v>1324.9094238</v>
      </c>
      <c r="I862">
        <v>1338.5458983999999</v>
      </c>
      <c r="J862">
        <v>1336.0994873</v>
      </c>
      <c r="K862">
        <v>0</v>
      </c>
      <c r="L862">
        <v>2400</v>
      </c>
      <c r="M862">
        <v>2400</v>
      </c>
      <c r="N862">
        <v>0</v>
      </c>
    </row>
    <row r="863" spans="1:14" x14ac:dyDescent="0.25">
      <c r="A863">
        <v>237.42977099999999</v>
      </c>
      <c r="B863" s="1">
        <f>DATE(2010,12,24) + TIME(10,18,52)</f>
        <v>40536.429768518516</v>
      </c>
      <c r="C863">
        <v>80</v>
      </c>
      <c r="D863">
        <v>73.560691833000007</v>
      </c>
      <c r="E863">
        <v>50</v>
      </c>
      <c r="F863">
        <v>49.960376740000001</v>
      </c>
      <c r="G863">
        <v>1326.7882079999999</v>
      </c>
      <c r="H863">
        <v>1324.859375</v>
      </c>
      <c r="I863">
        <v>1338.5380858999999</v>
      </c>
      <c r="J863">
        <v>1336.0957031</v>
      </c>
      <c r="K863">
        <v>0</v>
      </c>
      <c r="L863">
        <v>2400</v>
      </c>
      <c r="M863">
        <v>2400</v>
      </c>
      <c r="N863">
        <v>0</v>
      </c>
    </row>
    <row r="864" spans="1:14" x14ac:dyDescent="0.25">
      <c r="A864">
        <v>238.657062</v>
      </c>
      <c r="B864" s="1">
        <f>DATE(2010,12,25) + TIME(15,46,10)</f>
        <v>40537.657060185185</v>
      </c>
      <c r="C864">
        <v>80</v>
      </c>
      <c r="D864">
        <v>73.415657042999996</v>
      </c>
      <c r="E864">
        <v>50</v>
      </c>
      <c r="F864">
        <v>49.960391997999999</v>
      </c>
      <c r="G864">
        <v>1326.7510986</v>
      </c>
      <c r="H864">
        <v>1324.8094481999999</v>
      </c>
      <c r="I864">
        <v>1338.5303954999999</v>
      </c>
      <c r="J864">
        <v>1336.0921631000001</v>
      </c>
      <c r="K864">
        <v>0</v>
      </c>
      <c r="L864">
        <v>2400</v>
      </c>
      <c r="M864">
        <v>2400</v>
      </c>
      <c r="N864">
        <v>0</v>
      </c>
    </row>
    <row r="865" spans="1:14" x14ac:dyDescent="0.25">
      <c r="A865">
        <v>239.896467</v>
      </c>
      <c r="B865" s="1">
        <f>DATE(2010,12,26) + TIME(21,30,54)</f>
        <v>40538.896458333336</v>
      </c>
      <c r="C865">
        <v>80</v>
      </c>
      <c r="D865">
        <v>73.269096375000004</v>
      </c>
      <c r="E865">
        <v>50</v>
      </c>
      <c r="F865">
        <v>49.960407257</v>
      </c>
      <c r="G865">
        <v>1326.7142334</v>
      </c>
      <c r="H865">
        <v>1324.7600098</v>
      </c>
      <c r="I865">
        <v>1338.5229492000001</v>
      </c>
      <c r="J865">
        <v>1336.0886230000001</v>
      </c>
      <c r="K865">
        <v>0</v>
      </c>
      <c r="L865">
        <v>2400</v>
      </c>
      <c r="M865">
        <v>2400</v>
      </c>
      <c r="N865">
        <v>0</v>
      </c>
    </row>
    <row r="866" spans="1:14" x14ac:dyDescent="0.25">
      <c r="A866">
        <v>241.15522799999999</v>
      </c>
      <c r="B866" s="1">
        <f>DATE(2010,12,28) + TIME(3,43,31)</f>
        <v>40540.155219907407</v>
      </c>
      <c r="C866">
        <v>80</v>
      </c>
      <c r="D866">
        <v>73.120407103999995</v>
      </c>
      <c r="E866">
        <v>50</v>
      </c>
      <c r="F866">
        <v>49.960426331000001</v>
      </c>
      <c r="G866">
        <v>1326.6776123</v>
      </c>
      <c r="H866">
        <v>1324.7106934000001</v>
      </c>
      <c r="I866">
        <v>1338.515625</v>
      </c>
      <c r="J866">
        <v>1336.0850829999999</v>
      </c>
      <c r="K866">
        <v>0</v>
      </c>
      <c r="L866">
        <v>2400</v>
      </c>
      <c r="M866">
        <v>2400</v>
      </c>
      <c r="N866">
        <v>0</v>
      </c>
    </row>
    <row r="867" spans="1:14" x14ac:dyDescent="0.25">
      <c r="A867">
        <v>242.43698000000001</v>
      </c>
      <c r="B867" s="1">
        <f>DATE(2010,12,29) + TIME(10,29,15)</f>
        <v>40541.436979166669</v>
      </c>
      <c r="C867">
        <v>80</v>
      </c>
      <c r="D867">
        <v>72.968933105000005</v>
      </c>
      <c r="E867">
        <v>50</v>
      </c>
      <c r="F867">
        <v>49.960441588999998</v>
      </c>
      <c r="G867">
        <v>1326.6409911999999</v>
      </c>
      <c r="H867">
        <v>1324.6616211</v>
      </c>
      <c r="I867">
        <v>1338.5083007999999</v>
      </c>
      <c r="J867">
        <v>1336.0816649999999</v>
      </c>
      <c r="K867">
        <v>0</v>
      </c>
      <c r="L867">
        <v>2400</v>
      </c>
      <c r="M867">
        <v>2400</v>
      </c>
      <c r="N867">
        <v>0</v>
      </c>
    </row>
    <row r="868" spans="1:14" x14ac:dyDescent="0.25">
      <c r="A868">
        <v>243.75161700000001</v>
      </c>
      <c r="B868" s="1">
        <f>DATE(2010,12,30) + TIME(18,2,19)</f>
        <v>40542.751608796294</v>
      </c>
      <c r="C868">
        <v>80</v>
      </c>
      <c r="D868">
        <v>72.813964843999997</v>
      </c>
      <c r="E868">
        <v>50</v>
      </c>
      <c r="F868">
        <v>49.960464477999999</v>
      </c>
      <c r="G868">
        <v>1326.6043701000001</v>
      </c>
      <c r="H868">
        <v>1324.6124268000001</v>
      </c>
      <c r="I868">
        <v>1338.5009766000001</v>
      </c>
      <c r="J868">
        <v>1336.0782471</v>
      </c>
      <c r="K868">
        <v>0</v>
      </c>
      <c r="L868">
        <v>2400</v>
      </c>
      <c r="M868">
        <v>2400</v>
      </c>
      <c r="N868">
        <v>0</v>
      </c>
    </row>
    <row r="869" spans="1:14" x14ac:dyDescent="0.25">
      <c r="A869">
        <v>245</v>
      </c>
      <c r="B869" s="1">
        <f>DATE(2011,1,1) + TIME(0,0,0)</f>
        <v>40544</v>
      </c>
      <c r="C869">
        <v>80</v>
      </c>
      <c r="D869">
        <v>72.658332825000002</v>
      </c>
      <c r="E869">
        <v>50</v>
      </c>
      <c r="F869">
        <v>49.960479736000003</v>
      </c>
      <c r="G869">
        <v>1326.5675048999999</v>
      </c>
      <c r="H869">
        <v>1324.5631103999999</v>
      </c>
      <c r="I869">
        <v>1338.4936522999999</v>
      </c>
      <c r="J869">
        <v>1336.074707</v>
      </c>
      <c r="K869">
        <v>0</v>
      </c>
      <c r="L869">
        <v>2400</v>
      </c>
      <c r="M869">
        <v>2400</v>
      </c>
      <c r="N869">
        <v>0</v>
      </c>
    </row>
    <row r="870" spans="1:14" x14ac:dyDescent="0.25">
      <c r="A870">
        <v>246.35323</v>
      </c>
      <c r="B870" s="1">
        <f>DATE(2011,1,2) + TIME(8,28,39)</f>
        <v>40545.353229166663</v>
      </c>
      <c r="C870">
        <v>80</v>
      </c>
      <c r="D870">
        <v>72.501686096</v>
      </c>
      <c r="E870">
        <v>50</v>
      </c>
      <c r="F870">
        <v>49.960506439</v>
      </c>
      <c r="G870">
        <v>1326.5321045000001</v>
      </c>
      <c r="H870">
        <v>1324.5152588000001</v>
      </c>
      <c r="I870">
        <v>1338.4868164</v>
      </c>
      <c r="J870">
        <v>1336.0715332</v>
      </c>
      <c r="K870">
        <v>0</v>
      </c>
      <c r="L870">
        <v>2400</v>
      </c>
      <c r="M870">
        <v>2400</v>
      </c>
      <c r="N870">
        <v>0</v>
      </c>
    </row>
    <row r="871" spans="1:14" x14ac:dyDescent="0.25">
      <c r="A871">
        <v>247.710758</v>
      </c>
      <c r="B871" s="1">
        <f>DATE(2011,1,3) + TIME(17,3,29)</f>
        <v>40546.710752314815</v>
      </c>
      <c r="C871">
        <v>80</v>
      </c>
      <c r="D871">
        <v>72.338897704999994</v>
      </c>
      <c r="E871">
        <v>50</v>
      </c>
      <c r="F871">
        <v>49.960529327000003</v>
      </c>
      <c r="G871">
        <v>1326.4954834</v>
      </c>
      <c r="H871">
        <v>1324.4663086</v>
      </c>
      <c r="I871">
        <v>1338.4796143000001</v>
      </c>
      <c r="J871">
        <v>1336.0682373</v>
      </c>
      <c r="K871">
        <v>0</v>
      </c>
      <c r="L871">
        <v>2400</v>
      </c>
      <c r="M871">
        <v>2400</v>
      </c>
      <c r="N871">
        <v>0</v>
      </c>
    </row>
    <row r="872" spans="1:14" x14ac:dyDescent="0.25">
      <c r="A872">
        <v>249.07642100000001</v>
      </c>
      <c r="B872" s="1">
        <f>DATE(2011,1,5) + TIME(1,50,2)</f>
        <v>40548.076412037037</v>
      </c>
      <c r="C872">
        <v>80</v>
      </c>
      <c r="D872">
        <v>72.173477172999995</v>
      </c>
      <c r="E872">
        <v>50</v>
      </c>
      <c r="F872">
        <v>49.960552216000004</v>
      </c>
      <c r="G872">
        <v>1326.4588623</v>
      </c>
      <c r="H872">
        <v>1324.4173584</v>
      </c>
      <c r="I872">
        <v>1338.4725341999999</v>
      </c>
      <c r="J872">
        <v>1336.0648193</v>
      </c>
      <c r="K872">
        <v>0</v>
      </c>
      <c r="L872">
        <v>2400</v>
      </c>
      <c r="M872">
        <v>2400</v>
      </c>
      <c r="N872">
        <v>0</v>
      </c>
    </row>
    <row r="873" spans="1:14" x14ac:dyDescent="0.25">
      <c r="A873">
        <v>250.46059600000001</v>
      </c>
      <c r="B873" s="1">
        <f>DATE(2011,1,6) + TIME(11,3,15)</f>
        <v>40549.460590277777</v>
      </c>
      <c r="C873">
        <v>80</v>
      </c>
      <c r="D873">
        <v>72.005897521999998</v>
      </c>
      <c r="E873">
        <v>50</v>
      </c>
      <c r="F873">
        <v>49.960578918000003</v>
      </c>
      <c r="G873">
        <v>1326.4224853999999</v>
      </c>
      <c r="H873">
        <v>1324.3685303</v>
      </c>
      <c r="I873">
        <v>1338.4654541</v>
      </c>
      <c r="J873">
        <v>1336.0615233999999</v>
      </c>
      <c r="K873">
        <v>0</v>
      </c>
      <c r="L873">
        <v>2400</v>
      </c>
      <c r="M873">
        <v>2400</v>
      </c>
      <c r="N873">
        <v>0</v>
      </c>
    </row>
    <row r="874" spans="1:14" x14ac:dyDescent="0.25">
      <c r="A874">
        <v>251.873977</v>
      </c>
      <c r="B874" s="1">
        <f>DATE(2011,1,7) + TIME(20,58,31)</f>
        <v>40550.873969907407</v>
      </c>
      <c r="C874">
        <v>80</v>
      </c>
      <c r="D874">
        <v>71.835388183999996</v>
      </c>
      <c r="E874">
        <v>50</v>
      </c>
      <c r="F874">
        <v>49.960605620999999</v>
      </c>
      <c r="G874">
        <v>1326.3861084</v>
      </c>
      <c r="H874">
        <v>1324.3198242000001</v>
      </c>
      <c r="I874">
        <v>1338.4584961</v>
      </c>
      <c r="J874">
        <v>1336.0583495999999</v>
      </c>
      <c r="K874">
        <v>0</v>
      </c>
      <c r="L874">
        <v>2400</v>
      </c>
      <c r="M874">
        <v>2400</v>
      </c>
      <c r="N874">
        <v>0</v>
      </c>
    </row>
    <row r="875" spans="1:14" x14ac:dyDescent="0.25">
      <c r="A875">
        <v>253.324004</v>
      </c>
      <c r="B875" s="1">
        <f>DATE(2011,1,9) + TIME(7,46,33)</f>
        <v>40552.323993055557</v>
      </c>
      <c r="C875">
        <v>80</v>
      </c>
      <c r="D875">
        <v>71.660911560000002</v>
      </c>
      <c r="E875">
        <v>50</v>
      </c>
      <c r="F875">
        <v>49.960636139000002</v>
      </c>
      <c r="G875">
        <v>1326.3497314000001</v>
      </c>
      <c r="H875">
        <v>1324.2709961</v>
      </c>
      <c r="I875">
        <v>1338.4515381000001</v>
      </c>
      <c r="J875">
        <v>1336.0550536999999</v>
      </c>
      <c r="K875">
        <v>0</v>
      </c>
      <c r="L875">
        <v>2400</v>
      </c>
      <c r="M875">
        <v>2400</v>
      </c>
      <c r="N875">
        <v>0</v>
      </c>
    </row>
    <row r="876" spans="1:14" x14ac:dyDescent="0.25">
      <c r="A876">
        <v>254.81070800000001</v>
      </c>
      <c r="B876" s="1">
        <f>DATE(2011,1,10) + TIME(19,27,25)</f>
        <v>40553.810706018521</v>
      </c>
      <c r="C876">
        <v>80</v>
      </c>
      <c r="D876">
        <v>71.481742858999993</v>
      </c>
      <c r="E876">
        <v>50</v>
      </c>
      <c r="F876">
        <v>49.960666656000001</v>
      </c>
      <c r="G876">
        <v>1326.3129882999999</v>
      </c>
      <c r="H876">
        <v>1324.2218018000001</v>
      </c>
      <c r="I876">
        <v>1338.4445800999999</v>
      </c>
      <c r="J876">
        <v>1336.0517577999999</v>
      </c>
      <c r="K876">
        <v>0</v>
      </c>
      <c r="L876">
        <v>2400</v>
      </c>
      <c r="M876">
        <v>2400</v>
      </c>
      <c r="N876">
        <v>0</v>
      </c>
    </row>
    <row r="877" spans="1:14" x14ac:dyDescent="0.25">
      <c r="A877">
        <v>255.55799400000001</v>
      </c>
      <c r="B877" s="1">
        <f>DATE(2011,1,11) + TIME(13,23,30)</f>
        <v>40554.557986111111</v>
      </c>
      <c r="C877">
        <v>80</v>
      </c>
      <c r="D877">
        <v>71.336425781000003</v>
      </c>
      <c r="E877">
        <v>50</v>
      </c>
      <c r="F877">
        <v>49.960662841999998</v>
      </c>
      <c r="G877">
        <v>1326.2767334</v>
      </c>
      <c r="H877">
        <v>1324.1744385</v>
      </c>
      <c r="I877">
        <v>1338.4376221</v>
      </c>
      <c r="J877">
        <v>1336.0484618999999</v>
      </c>
      <c r="K877">
        <v>0</v>
      </c>
      <c r="L877">
        <v>2400</v>
      </c>
      <c r="M877">
        <v>2400</v>
      </c>
      <c r="N877">
        <v>0</v>
      </c>
    </row>
    <row r="878" spans="1:14" x14ac:dyDescent="0.25">
      <c r="A878">
        <v>256.30528099999998</v>
      </c>
      <c r="B878" s="1">
        <f>DATE(2011,1,12) + TIME(7,19,36)</f>
        <v>40555.305277777778</v>
      </c>
      <c r="C878">
        <v>80</v>
      </c>
      <c r="D878">
        <v>71.221801757999998</v>
      </c>
      <c r="E878">
        <v>50</v>
      </c>
      <c r="F878">
        <v>49.960670471</v>
      </c>
      <c r="G878">
        <v>1326.2541504000001</v>
      </c>
      <c r="H878">
        <v>1324.1419678</v>
      </c>
      <c r="I878">
        <v>1338.4339600000001</v>
      </c>
      <c r="J878">
        <v>1336.0467529</v>
      </c>
      <c r="K878">
        <v>0</v>
      </c>
      <c r="L878">
        <v>2400</v>
      </c>
      <c r="M878">
        <v>2400</v>
      </c>
      <c r="N878">
        <v>0</v>
      </c>
    </row>
    <row r="879" spans="1:14" x14ac:dyDescent="0.25">
      <c r="A879">
        <v>257.05256700000001</v>
      </c>
      <c r="B879" s="1">
        <f>DATE(2011,1,13) + TIME(1,15,41)</f>
        <v>40556.052557870367</v>
      </c>
      <c r="C879">
        <v>80</v>
      </c>
      <c r="D879">
        <v>71.119819641000007</v>
      </c>
      <c r="E879">
        <v>50</v>
      </c>
      <c r="F879">
        <v>49.960685730000002</v>
      </c>
      <c r="G879">
        <v>1326.2338867000001</v>
      </c>
      <c r="H879">
        <v>1324.1137695</v>
      </c>
      <c r="I879">
        <v>1338.4305420000001</v>
      </c>
      <c r="J879">
        <v>1336.0451660000001</v>
      </c>
      <c r="K879">
        <v>0</v>
      </c>
      <c r="L879">
        <v>2400</v>
      </c>
      <c r="M879">
        <v>2400</v>
      </c>
      <c r="N879">
        <v>0</v>
      </c>
    </row>
    <row r="880" spans="1:14" x14ac:dyDescent="0.25">
      <c r="A880">
        <v>258.54714000000001</v>
      </c>
      <c r="B880" s="1">
        <f>DATE(2011,1,14) + TIME(13,7,52)</f>
        <v>40557.547129629631</v>
      </c>
      <c r="C880">
        <v>80</v>
      </c>
      <c r="D880">
        <v>70.997894286999994</v>
      </c>
      <c r="E880">
        <v>50</v>
      </c>
      <c r="F880">
        <v>49.960739136000001</v>
      </c>
      <c r="G880">
        <v>1326.2143555</v>
      </c>
      <c r="H880">
        <v>1324.0860596</v>
      </c>
      <c r="I880">
        <v>1338.427124</v>
      </c>
      <c r="J880">
        <v>1336.0435791</v>
      </c>
      <c r="K880">
        <v>0</v>
      </c>
      <c r="L880">
        <v>2400</v>
      </c>
      <c r="M880">
        <v>2400</v>
      </c>
      <c r="N880">
        <v>0</v>
      </c>
    </row>
    <row r="881" spans="1:14" x14ac:dyDescent="0.25">
      <c r="A881">
        <v>260.04267199999998</v>
      </c>
      <c r="B881" s="1">
        <f>DATE(2011,1,16) + TIME(1,1,26)</f>
        <v>40559.042662037034</v>
      </c>
      <c r="C881">
        <v>80</v>
      </c>
      <c r="D881">
        <v>70.828247070000003</v>
      </c>
      <c r="E881">
        <v>50</v>
      </c>
      <c r="F881">
        <v>49.960777282999999</v>
      </c>
      <c r="G881">
        <v>1326.1826172000001</v>
      </c>
      <c r="H881">
        <v>1324.0460204999999</v>
      </c>
      <c r="I881">
        <v>1338.4204102000001</v>
      </c>
      <c r="J881">
        <v>1336.0405272999999</v>
      </c>
      <c r="K881">
        <v>0</v>
      </c>
      <c r="L881">
        <v>2400</v>
      </c>
      <c r="M881">
        <v>2400</v>
      </c>
      <c r="N881">
        <v>0</v>
      </c>
    </row>
    <row r="882" spans="1:14" x14ac:dyDescent="0.25">
      <c r="A882">
        <v>261.56958100000003</v>
      </c>
      <c r="B882" s="1">
        <f>DATE(2011,1,17) + TIME(13,40,11)</f>
        <v>40560.569571759261</v>
      </c>
      <c r="C882">
        <v>80</v>
      </c>
      <c r="D882">
        <v>70.644943237000007</v>
      </c>
      <c r="E882">
        <v>50</v>
      </c>
      <c r="F882">
        <v>49.960811614999997</v>
      </c>
      <c r="G882">
        <v>1326.1483154</v>
      </c>
      <c r="H882">
        <v>1324.0006103999999</v>
      </c>
      <c r="I882">
        <v>1338.4138184000001</v>
      </c>
      <c r="J882">
        <v>1336.0373535000001</v>
      </c>
      <c r="K882">
        <v>0</v>
      </c>
      <c r="L882">
        <v>2400</v>
      </c>
      <c r="M882">
        <v>2400</v>
      </c>
      <c r="N882">
        <v>0</v>
      </c>
    </row>
    <row r="883" spans="1:14" x14ac:dyDescent="0.25">
      <c r="A883">
        <v>263.139633</v>
      </c>
      <c r="B883" s="1">
        <f>DATE(2011,1,19) + TIME(3,21,4)</f>
        <v>40562.13962962963</v>
      </c>
      <c r="C883">
        <v>80</v>
      </c>
      <c r="D883">
        <v>70.454627990999995</v>
      </c>
      <c r="E883">
        <v>50</v>
      </c>
      <c r="F883">
        <v>49.960849762000002</v>
      </c>
      <c r="G883">
        <v>1326.1130370999999</v>
      </c>
      <c r="H883">
        <v>1323.9534911999999</v>
      </c>
      <c r="I883">
        <v>1338.4071045000001</v>
      </c>
      <c r="J883">
        <v>1336.0343018000001</v>
      </c>
      <c r="K883">
        <v>0</v>
      </c>
      <c r="L883">
        <v>2400</v>
      </c>
      <c r="M883">
        <v>2400</v>
      </c>
      <c r="N883">
        <v>0</v>
      </c>
    </row>
    <row r="884" spans="1:14" x14ac:dyDescent="0.25">
      <c r="A884">
        <v>264.762607</v>
      </c>
      <c r="B884" s="1">
        <f>DATE(2011,1,20) + TIME(18,18,9)</f>
        <v>40563.762604166666</v>
      </c>
      <c r="C884">
        <v>80</v>
      </c>
      <c r="D884">
        <v>70.258010863999999</v>
      </c>
      <c r="E884">
        <v>50</v>
      </c>
      <c r="F884">
        <v>49.960891724</v>
      </c>
      <c r="G884">
        <v>1326.0772704999999</v>
      </c>
      <c r="H884">
        <v>1323.9055175999999</v>
      </c>
      <c r="I884">
        <v>1338.4003906</v>
      </c>
      <c r="J884">
        <v>1336.0311279</v>
      </c>
      <c r="K884">
        <v>0</v>
      </c>
      <c r="L884">
        <v>2400</v>
      </c>
      <c r="M884">
        <v>2400</v>
      </c>
      <c r="N884">
        <v>0</v>
      </c>
    </row>
    <row r="885" spans="1:14" x14ac:dyDescent="0.25">
      <c r="A885">
        <v>265.59111200000001</v>
      </c>
      <c r="B885" s="1">
        <f>DATE(2011,1,21) + TIME(14,11,12)</f>
        <v>40564.591111111113</v>
      </c>
      <c r="C885">
        <v>80</v>
      </c>
      <c r="D885">
        <v>70.094047545999999</v>
      </c>
      <c r="E885">
        <v>50</v>
      </c>
      <c r="F885">
        <v>49.960891724</v>
      </c>
      <c r="G885">
        <v>1326.0413818</v>
      </c>
      <c r="H885">
        <v>1323.8588867000001</v>
      </c>
      <c r="I885">
        <v>1338.3936768000001</v>
      </c>
      <c r="J885">
        <v>1336.0279541</v>
      </c>
      <c r="K885">
        <v>0</v>
      </c>
      <c r="L885">
        <v>2400</v>
      </c>
      <c r="M885">
        <v>2400</v>
      </c>
      <c r="N885">
        <v>0</v>
      </c>
    </row>
    <row r="886" spans="1:14" x14ac:dyDescent="0.25">
      <c r="A886">
        <v>266.41859699999998</v>
      </c>
      <c r="B886" s="1">
        <f>DATE(2011,1,22) + TIME(10,2,46)</f>
        <v>40565.418587962966</v>
      </c>
      <c r="C886">
        <v>80</v>
      </c>
      <c r="D886">
        <v>69.966911315999994</v>
      </c>
      <c r="E886">
        <v>50</v>
      </c>
      <c r="F886">
        <v>49.960906981999997</v>
      </c>
      <c r="G886">
        <v>1326.0187988</v>
      </c>
      <c r="H886">
        <v>1323.8262939000001</v>
      </c>
      <c r="I886">
        <v>1338.3901367000001</v>
      </c>
      <c r="J886">
        <v>1336.0262451000001</v>
      </c>
      <c r="K886">
        <v>0</v>
      </c>
      <c r="L886">
        <v>2400</v>
      </c>
      <c r="M886">
        <v>2400</v>
      </c>
      <c r="N886">
        <v>0</v>
      </c>
    </row>
    <row r="887" spans="1:14" x14ac:dyDescent="0.25">
      <c r="A887">
        <v>267.246081</v>
      </c>
      <c r="B887" s="1">
        <f>DATE(2011,1,23) + TIME(5,54,21)</f>
        <v>40566.246076388888</v>
      </c>
      <c r="C887">
        <v>80</v>
      </c>
      <c r="D887">
        <v>69.853790282999995</v>
      </c>
      <c r="E887">
        <v>50</v>
      </c>
      <c r="F887">
        <v>49.960926055999998</v>
      </c>
      <c r="G887">
        <v>1325.9987793</v>
      </c>
      <c r="H887">
        <v>1323.7983397999999</v>
      </c>
      <c r="I887">
        <v>1338.3867187999999</v>
      </c>
      <c r="J887">
        <v>1336.0245361</v>
      </c>
      <c r="K887">
        <v>0</v>
      </c>
      <c r="L887">
        <v>2400</v>
      </c>
      <c r="M887">
        <v>2400</v>
      </c>
      <c r="N887">
        <v>0</v>
      </c>
    </row>
    <row r="888" spans="1:14" x14ac:dyDescent="0.25">
      <c r="A888">
        <v>268.07356499999997</v>
      </c>
      <c r="B888" s="1">
        <f>DATE(2011,1,24) + TIME(1,45,56)</f>
        <v>40567.073564814818</v>
      </c>
      <c r="C888">
        <v>80</v>
      </c>
      <c r="D888">
        <v>69.745994568</v>
      </c>
      <c r="E888">
        <v>50</v>
      </c>
      <c r="F888">
        <v>49.960945129000002</v>
      </c>
      <c r="G888">
        <v>1325.9797363</v>
      </c>
      <c r="H888">
        <v>1323.7723389</v>
      </c>
      <c r="I888">
        <v>1338.3834228999999</v>
      </c>
      <c r="J888">
        <v>1336.0229492000001</v>
      </c>
      <c r="K888">
        <v>0</v>
      </c>
      <c r="L888">
        <v>2400</v>
      </c>
      <c r="M888">
        <v>2400</v>
      </c>
      <c r="N888">
        <v>0</v>
      </c>
    </row>
    <row r="889" spans="1:14" x14ac:dyDescent="0.25">
      <c r="A889">
        <v>268.901049</v>
      </c>
      <c r="B889" s="1">
        <f>DATE(2011,1,24) + TIME(21,37,30)</f>
        <v>40567.901041666664</v>
      </c>
      <c r="C889">
        <v>80</v>
      </c>
      <c r="D889">
        <v>69.640182495000005</v>
      </c>
      <c r="E889">
        <v>50</v>
      </c>
      <c r="F889">
        <v>49.960964203000003</v>
      </c>
      <c r="G889">
        <v>1325.9611815999999</v>
      </c>
      <c r="H889">
        <v>1323.7474365</v>
      </c>
      <c r="I889">
        <v>1338.3800048999999</v>
      </c>
      <c r="J889">
        <v>1336.0213623</v>
      </c>
      <c r="K889">
        <v>0</v>
      </c>
      <c r="L889">
        <v>2400</v>
      </c>
      <c r="M889">
        <v>2400</v>
      </c>
      <c r="N889">
        <v>0</v>
      </c>
    </row>
    <row r="890" spans="1:14" x14ac:dyDescent="0.25">
      <c r="A890">
        <v>269.72853300000003</v>
      </c>
      <c r="B890" s="1">
        <f>DATE(2011,1,25) + TIME(17,29,5)</f>
        <v>40568.728530092594</v>
      </c>
      <c r="C890">
        <v>80</v>
      </c>
      <c r="D890">
        <v>69.535087584999999</v>
      </c>
      <c r="E890">
        <v>50</v>
      </c>
      <c r="F890">
        <v>49.960987091</v>
      </c>
      <c r="G890">
        <v>1325.9431152</v>
      </c>
      <c r="H890">
        <v>1323.7229004000001</v>
      </c>
      <c r="I890">
        <v>1338.3767089999999</v>
      </c>
      <c r="J890">
        <v>1336.0198975000001</v>
      </c>
      <c r="K890">
        <v>0</v>
      </c>
      <c r="L890">
        <v>2400</v>
      </c>
      <c r="M890">
        <v>2400</v>
      </c>
      <c r="N890">
        <v>0</v>
      </c>
    </row>
    <row r="891" spans="1:14" x14ac:dyDescent="0.25">
      <c r="A891">
        <v>270.55601799999999</v>
      </c>
      <c r="B891" s="1">
        <f>DATE(2011,1,26) + TIME(13,20,39)</f>
        <v>40569.556006944447</v>
      </c>
      <c r="C891">
        <v>80</v>
      </c>
      <c r="D891">
        <v>69.430221558</v>
      </c>
      <c r="E891">
        <v>50</v>
      </c>
      <c r="F891">
        <v>49.961006165000001</v>
      </c>
      <c r="G891">
        <v>1325.9251709</v>
      </c>
      <c r="H891">
        <v>1323.6988524999999</v>
      </c>
      <c r="I891">
        <v>1338.3735352000001</v>
      </c>
      <c r="J891">
        <v>1336.0183105000001</v>
      </c>
      <c r="K891">
        <v>0</v>
      </c>
      <c r="L891">
        <v>2400</v>
      </c>
      <c r="M891">
        <v>2400</v>
      </c>
      <c r="N891">
        <v>0</v>
      </c>
    </row>
    <row r="892" spans="1:14" x14ac:dyDescent="0.25">
      <c r="A892">
        <v>272.21098599999999</v>
      </c>
      <c r="B892" s="1">
        <f>DATE(2011,1,28) + TIME(5,3,49)</f>
        <v>40571.2109837963</v>
      </c>
      <c r="C892">
        <v>80</v>
      </c>
      <c r="D892">
        <v>69.300727843999994</v>
      </c>
      <c r="E892">
        <v>50</v>
      </c>
      <c r="F892">
        <v>49.961071013999998</v>
      </c>
      <c r="G892">
        <v>1325.9071045000001</v>
      </c>
      <c r="H892">
        <v>1323.6735839999999</v>
      </c>
      <c r="I892">
        <v>1338.3702393000001</v>
      </c>
      <c r="J892">
        <v>1336.0167236</v>
      </c>
      <c r="K892">
        <v>0</v>
      </c>
      <c r="L892">
        <v>2400</v>
      </c>
      <c r="M892">
        <v>2400</v>
      </c>
      <c r="N892">
        <v>0</v>
      </c>
    </row>
    <row r="893" spans="1:14" x14ac:dyDescent="0.25">
      <c r="A893">
        <v>273.87991199999999</v>
      </c>
      <c r="B893" s="1">
        <f>DATE(2011,1,29) + TIME(21,7,4)</f>
        <v>40572.879907407405</v>
      </c>
      <c r="C893">
        <v>80</v>
      </c>
      <c r="D893">
        <v>69.109909058</v>
      </c>
      <c r="E893">
        <v>50</v>
      </c>
      <c r="F893">
        <v>49.961120604999998</v>
      </c>
      <c r="G893">
        <v>1325.8768310999999</v>
      </c>
      <c r="H893">
        <v>1323.6356201000001</v>
      </c>
      <c r="I893">
        <v>1338.3638916</v>
      </c>
      <c r="J893">
        <v>1336.0137939000001</v>
      </c>
      <c r="K893">
        <v>0</v>
      </c>
      <c r="L893">
        <v>2400</v>
      </c>
      <c r="M893">
        <v>2400</v>
      </c>
      <c r="N893">
        <v>0</v>
      </c>
    </row>
    <row r="894" spans="1:14" x14ac:dyDescent="0.25">
      <c r="A894">
        <v>275.60751800000003</v>
      </c>
      <c r="B894" s="1">
        <f>DATE(2011,1,31) + TIME(14,34,49)</f>
        <v>40574.607511574075</v>
      </c>
      <c r="C894">
        <v>80</v>
      </c>
      <c r="D894">
        <v>68.901870728000006</v>
      </c>
      <c r="E894">
        <v>50</v>
      </c>
      <c r="F894">
        <v>49.961166382000002</v>
      </c>
      <c r="G894">
        <v>1325.8433838000001</v>
      </c>
      <c r="H894">
        <v>1323.5913086</v>
      </c>
      <c r="I894">
        <v>1338.3575439000001</v>
      </c>
      <c r="J894">
        <v>1336.0107422000001</v>
      </c>
      <c r="K894">
        <v>0</v>
      </c>
      <c r="L894">
        <v>2400</v>
      </c>
      <c r="M894">
        <v>2400</v>
      </c>
      <c r="N894">
        <v>0</v>
      </c>
    </row>
    <row r="895" spans="1:14" x14ac:dyDescent="0.25">
      <c r="A895">
        <v>276</v>
      </c>
      <c r="B895" s="1">
        <f>DATE(2011,2,1) + TIME(0,0,0)</f>
        <v>40575</v>
      </c>
      <c r="C895">
        <v>80</v>
      </c>
      <c r="D895">
        <v>68.779663085999999</v>
      </c>
      <c r="E895">
        <v>50</v>
      </c>
      <c r="F895">
        <v>49.961162567000002</v>
      </c>
      <c r="G895">
        <v>1325.8096923999999</v>
      </c>
      <c r="H895">
        <v>1323.5494385</v>
      </c>
      <c r="I895">
        <v>1338.3514404</v>
      </c>
      <c r="J895">
        <v>1336.0079346</v>
      </c>
      <c r="K895">
        <v>0</v>
      </c>
      <c r="L895">
        <v>2400</v>
      </c>
      <c r="M895">
        <v>2400</v>
      </c>
      <c r="N895">
        <v>0</v>
      </c>
    </row>
    <row r="896" spans="1:14" x14ac:dyDescent="0.25">
      <c r="A896">
        <v>277.80022500000001</v>
      </c>
      <c r="B896" s="1">
        <f>DATE(2011,2,2) + TIME(19,12,19)</f>
        <v>40576.800219907411</v>
      </c>
      <c r="C896">
        <v>80</v>
      </c>
      <c r="D896">
        <v>68.617721558</v>
      </c>
      <c r="E896">
        <v>50</v>
      </c>
      <c r="F896">
        <v>49.961223601999997</v>
      </c>
      <c r="G896">
        <v>1325.7967529</v>
      </c>
      <c r="H896">
        <v>1323.5267334</v>
      </c>
      <c r="I896">
        <v>1338.3494873</v>
      </c>
      <c r="J896">
        <v>1336.0068358999999</v>
      </c>
      <c r="K896">
        <v>0</v>
      </c>
      <c r="L896">
        <v>2400</v>
      </c>
      <c r="M896">
        <v>2400</v>
      </c>
      <c r="N896">
        <v>0</v>
      </c>
    </row>
    <row r="897" spans="1:14" x14ac:dyDescent="0.25">
      <c r="A897">
        <v>279.62036899999998</v>
      </c>
      <c r="B897" s="1">
        <f>DATE(2011,2,4) + TIME(14,53,19)</f>
        <v>40578.620358796295</v>
      </c>
      <c r="C897">
        <v>80</v>
      </c>
      <c r="D897">
        <v>68.403312682999996</v>
      </c>
      <c r="E897">
        <v>50</v>
      </c>
      <c r="F897">
        <v>49.961277008000003</v>
      </c>
      <c r="G897">
        <v>1325.7637939000001</v>
      </c>
      <c r="H897">
        <v>1323.4844971</v>
      </c>
      <c r="I897">
        <v>1338.3428954999999</v>
      </c>
      <c r="J897">
        <v>1336.0036620999999</v>
      </c>
      <c r="K897">
        <v>0</v>
      </c>
      <c r="L897">
        <v>2400</v>
      </c>
      <c r="M897">
        <v>2400</v>
      </c>
      <c r="N897">
        <v>0</v>
      </c>
    </row>
    <row r="898" spans="1:14" x14ac:dyDescent="0.25">
      <c r="A898">
        <v>281.44201900000002</v>
      </c>
      <c r="B898" s="1">
        <f>DATE(2011,2,6) + TIME(10,36,30)</f>
        <v>40580.442013888889</v>
      </c>
      <c r="C898">
        <v>80</v>
      </c>
      <c r="D898">
        <v>68.175804138000004</v>
      </c>
      <c r="E898">
        <v>50</v>
      </c>
      <c r="F898">
        <v>49.961330414000003</v>
      </c>
      <c r="G898">
        <v>1325.7286377</v>
      </c>
      <c r="H898">
        <v>1323.4376221</v>
      </c>
      <c r="I898">
        <v>1338.3363036999999</v>
      </c>
      <c r="J898">
        <v>1336.0004882999999</v>
      </c>
      <c r="K898">
        <v>0</v>
      </c>
      <c r="L898">
        <v>2400</v>
      </c>
      <c r="M898">
        <v>2400</v>
      </c>
      <c r="N898">
        <v>0</v>
      </c>
    </row>
    <row r="899" spans="1:14" x14ac:dyDescent="0.25">
      <c r="A899">
        <v>283.282895</v>
      </c>
      <c r="B899" s="1">
        <f>DATE(2011,2,8) + TIME(6,47,22)</f>
        <v>40582.282893518517</v>
      </c>
      <c r="C899">
        <v>80</v>
      </c>
      <c r="D899">
        <v>67.944572449000006</v>
      </c>
      <c r="E899">
        <v>50</v>
      </c>
      <c r="F899">
        <v>49.961380005000002</v>
      </c>
      <c r="G899">
        <v>1325.6933594</v>
      </c>
      <c r="H899">
        <v>1323.3901367000001</v>
      </c>
      <c r="I899">
        <v>1338.3298339999999</v>
      </c>
      <c r="J899">
        <v>1335.9974365</v>
      </c>
      <c r="K899">
        <v>0</v>
      </c>
      <c r="L899">
        <v>2400</v>
      </c>
      <c r="M899">
        <v>2400</v>
      </c>
      <c r="N899">
        <v>0</v>
      </c>
    </row>
    <row r="900" spans="1:14" x14ac:dyDescent="0.25">
      <c r="A900">
        <v>285.15450299999998</v>
      </c>
      <c r="B900" s="1">
        <f>DATE(2011,2,10) + TIME(3,42,29)</f>
        <v>40584.154502314814</v>
      </c>
      <c r="C900">
        <v>80</v>
      </c>
      <c r="D900">
        <v>67.710090636999993</v>
      </c>
      <c r="E900">
        <v>50</v>
      </c>
      <c r="F900">
        <v>49.961433411000002</v>
      </c>
      <c r="G900">
        <v>1325.6580810999999</v>
      </c>
      <c r="H900">
        <v>1323.3427733999999</v>
      </c>
      <c r="I900">
        <v>1338.3233643000001</v>
      </c>
      <c r="J900">
        <v>1335.9942627</v>
      </c>
      <c r="K900">
        <v>0</v>
      </c>
      <c r="L900">
        <v>2400</v>
      </c>
      <c r="M900">
        <v>2400</v>
      </c>
      <c r="N900">
        <v>0</v>
      </c>
    </row>
    <row r="901" spans="1:14" x14ac:dyDescent="0.25">
      <c r="A901">
        <v>287.07128499999999</v>
      </c>
      <c r="B901" s="1">
        <f>DATE(2011,2,12) + TIME(1,42,39)</f>
        <v>40586.071284722224</v>
      </c>
      <c r="C901">
        <v>80</v>
      </c>
      <c r="D901">
        <v>67.471244811999995</v>
      </c>
      <c r="E901">
        <v>50</v>
      </c>
      <c r="F901">
        <v>49.961490630999997</v>
      </c>
      <c r="G901">
        <v>1325.6229248</v>
      </c>
      <c r="H901">
        <v>1323.2952881000001</v>
      </c>
      <c r="I901">
        <v>1338.3168945</v>
      </c>
      <c r="J901">
        <v>1335.9910889</v>
      </c>
      <c r="K901">
        <v>0</v>
      </c>
      <c r="L901">
        <v>2400</v>
      </c>
      <c r="M901">
        <v>2400</v>
      </c>
      <c r="N901">
        <v>0</v>
      </c>
    </row>
    <row r="902" spans="1:14" x14ac:dyDescent="0.25">
      <c r="A902">
        <v>288.05291199999999</v>
      </c>
      <c r="B902" s="1">
        <f>DATE(2011,2,13) + TIME(1,16,11)</f>
        <v>40587.052905092591</v>
      </c>
      <c r="C902">
        <v>80</v>
      </c>
      <c r="D902">
        <v>67.267929077000005</v>
      </c>
      <c r="E902">
        <v>50</v>
      </c>
      <c r="F902">
        <v>49.961502074999999</v>
      </c>
      <c r="G902">
        <v>1325.5878906</v>
      </c>
      <c r="H902">
        <v>1323.2496338000001</v>
      </c>
      <c r="I902">
        <v>1338.3105469</v>
      </c>
      <c r="J902">
        <v>1335.9879149999999</v>
      </c>
      <c r="K902">
        <v>0</v>
      </c>
      <c r="L902">
        <v>2400</v>
      </c>
      <c r="M902">
        <v>2400</v>
      </c>
      <c r="N902">
        <v>0</v>
      </c>
    </row>
    <row r="903" spans="1:14" x14ac:dyDescent="0.25">
      <c r="A903">
        <v>289.03285699999998</v>
      </c>
      <c r="B903" s="1">
        <f>DATE(2011,2,14) + TIME(0,47,18)</f>
        <v>40588.032847222225</v>
      </c>
      <c r="C903">
        <v>80</v>
      </c>
      <c r="D903">
        <v>67.116104125999996</v>
      </c>
      <c r="E903">
        <v>50</v>
      </c>
      <c r="F903">
        <v>49.961524963000002</v>
      </c>
      <c r="G903">
        <v>1325.5660399999999</v>
      </c>
      <c r="H903">
        <v>1323.2176514</v>
      </c>
      <c r="I903">
        <v>1338.3070068</v>
      </c>
      <c r="J903">
        <v>1335.9862060999999</v>
      </c>
      <c r="K903">
        <v>0</v>
      </c>
      <c r="L903">
        <v>2400</v>
      </c>
      <c r="M903">
        <v>2400</v>
      </c>
      <c r="N903">
        <v>0</v>
      </c>
    </row>
    <row r="904" spans="1:14" x14ac:dyDescent="0.25">
      <c r="A904">
        <v>290.01280100000002</v>
      </c>
      <c r="B904" s="1">
        <f>DATE(2011,2,15) + TIME(0,18,26)</f>
        <v>40589.012800925928</v>
      </c>
      <c r="C904">
        <v>80</v>
      </c>
      <c r="D904">
        <v>66.981575011999993</v>
      </c>
      <c r="E904">
        <v>50</v>
      </c>
      <c r="F904">
        <v>49.961551665999998</v>
      </c>
      <c r="G904">
        <v>1325.5467529</v>
      </c>
      <c r="H904">
        <v>1323.1905518000001</v>
      </c>
      <c r="I904">
        <v>1338.3037108999999</v>
      </c>
      <c r="J904">
        <v>1335.9844971</v>
      </c>
      <c r="K904">
        <v>0</v>
      </c>
      <c r="L904">
        <v>2400</v>
      </c>
      <c r="M904">
        <v>2400</v>
      </c>
      <c r="N904">
        <v>0</v>
      </c>
    </row>
    <row r="905" spans="1:14" x14ac:dyDescent="0.25">
      <c r="A905">
        <v>290.99274600000001</v>
      </c>
      <c r="B905" s="1">
        <f>DATE(2011,2,15) + TIME(23,49,33)</f>
        <v>40589.992743055554</v>
      </c>
      <c r="C905">
        <v>80</v>
      </c>
      <c r="D905">
        <v>66.852828978999995</v>
      </c>
      <c r="E905">
        <v>50</v>
      </c>
      <c r="F905">
        <v>49.961578369000001</v>
      </c>
      <c r="G905">
        <v>1325.5284423999999</v>
      </c>
      <c r="H905">
        <v>1323.1655272999999</v>
      </c>
      <c r="I905">
        <v>1338.3005370999999</v>
      </c>
      <c r="J905">
        <v>1335.9829102000001</v>
      </c>
      <c r="K905">
        <v>0</v>
      </c>
      <c r="L905">
        <v>2400</v>
      </c>
      <c r="M905">
        <v>2400</v>
      </c>
      <c r="N905">
        <v>0</v>
      </c>
    </row>
    <row r="906" spans="1:14" x14ac:dyDescent="0.25">
      <c r="A906">
        <v>291.97269</v>
      </c>
      <c r="B906" s="1">
        <f>DATE(2011,2,16) + TIME(23,20,40)</f>
        <v>40590.972685185188</v>
      </c>
      <c r="C906">
        <v>80</v>
      </c>
      <c r="D906">
        <v>66.725975036999998</v>
      </c>
      <c r="E906">
        <v>50</v>
      </c>
      <c r="F906">
        <v>49.961608886999997</v>
      </c>
      <c r="G906">
        <v>1325.5106201000001</v>
      </c>
      <c r="H906">
        <v>1323.1413574000001</v>
      </c>
      <c r="I906">
        <v>1338.2973632999999</v>
      </c>
      <c r="J906">
        <v>1335.9813231999999</v>
      </c>
      <c r="K906">
        <v>0</v>
      </c>
      <c r="L906">
        <v>2400</v>
      </c>
      <c r="M906">
        <v>2400</v>
      </c>
      <c r="N906">
        <v>0</v>
      </c>
    </row>
    <row r="907" spans="1:14" x14ac:dyDescent="0.25">
      <c r="A907">
        <v>292.95263499999999</v>
      </c>
      <c r="B907" s="1">
        <f>DATE(2011,2,17) + TIME(22,51,47)</f>
        <v>40591.952627314815</v>
      </c>
      <c r="C907">
        <v>80</v>
      </c>
      <c r="D907">
        <v>66.599723815999994</v>
      </c>
      <c r="E907">
        <v>50</v>
      </c>
      <c r="F907">
        <v>49.96163559</v>
      </c>
      <c r="G907">
        <v>1325.4931641000001</v>
      </c>
      <c r="H907">
        <v>1323.1176757999999</v>
      </c>
      <c r="I907">
        <v>1338.2940673999999</v>
      </c>
      <c r="J907">
        <v>1335.9797363</v>
      </c>
      <c r="K907">
        <v>0</v>
      </c>
      <c r="L907">
        <v>2400</v>
      </c>
      <c r="M907">
        <v>2400</v>
      </c>
      <c r="N907">
        <v>0</v>
      </c>
    </row>
    <row r="908" spans="1:14" x14ac:dyDescent="0.25">
      <c r="A908">
        <v>293.93257899999998</v>
      </c>
      <c r="B908" s="1">
        <f>DATE(2011,2,18) + TIME(22,22,54)</f>
        <v>40592.932569444441</v>
      </c>
      <c r="C908">
        <v>80</v>
      </c>
      <c r="D908">
        <v>66.473632812000005</v>
      </c>
      <c r="E908">
        <v>50</v>
      </c>
      <c r="F908">
        <v>49.961666106999999</v>
      </c>
      <c r="G908">
        <v>1325.4758300999999</v>
      </c>
      <c r="H908">
        <v>1323.0942382999999</v>
      </c>
      <c r="I908">
        <v>1338.2908935999999</v>
      </c>
      <c r="J908">
        <v>1335.9780272999999</v>
      </c>
      <c r="K908">
        <v>0</v>
      </c>
      <c r="L908">
        <v>2400</v>
      </c>
      <c r="M908">
        <v>2400</v>
      </c>
      <c r="N908">
        <v>0</v>
      </c>
    </row>
    <row r="909" spans="1:14" x14ac:dyDescent="0.25">
      <c r="A909">
        <v>295.89246800000001</v>
      </c>
      <c r="B909" s="1">
        <f>DATE(2011,2,20) + TIME(21,25,9)</f>
        <v>40594.892465277779</v>
      </c>
      <c r="C909">
        <v>80</v>
      </c>
      <c r="D909">
        <v>66.322044372999997</v>
      </c>
      <c r="E909">
        <v>50</v>
      </c>
      <c r="F909">
        <v>49.961746216000002</v>
      </c>
      <c r="G909">
        <v>1325.4584961</v>
      </c>
      <c r="H909">
        <v>1323.0699463000001</v>
      </c>
      <c r="I909">
        <v>1338.2877197</v>
      </c>
      <c r="J909">
        <v>1335.9764404</v>
      </c>
      <c r="K909">
        <v>0</v>
      </c>
      <c r="L909">
        <v>2400</v>
      </c>
      <c r="M909">
        <v>2400</v>
      </c>
      <c r="N909">
        <v>0</v>
      </c>
    </row>
    <row r="910" spans="1:14" x14ac:dyDescent="0.25">
      <c r="A910">
        <v>297.859891</v>
      </c>
      <c r="B910" s="1">
        <f>DATE(2011,2,22) + TIME(20,38,14)</f>
        <v>40596.859884259262</v>
      </c>
      <c r="C910">
        <v>80</v>
      </c>
      <c r="D910">
        <v>66.090454101999995</v>
      </c>
      <c r="E910">
        <v>50</v>
      </c>
      <c r="F910">
        <v>49.961811066000003</v>
      </c>
      <c r="G910">
        <v>1325.4293213000001</v>
      </c>
      <c r="H910">
        <v>1323.0330810999999</v>
      </c>
      <c r="I910">
        <v>1338.2816161999999</v>
      </c>
      <c r="J910">
        <v>1335.9733887</v>
      </c>
      <c r="K910">
        <v>0</v>
      </c>
      <c r="L910">
        <v>2400</v>
      </c>
      <c r="M910">
        <v>2400</v>
      </c>
      <c r="N910">
        <v>0</v>
      </c>
    </row>
    <row r="911" spans="1:14" x14ac:dyDescent="0.25">
      <c r="A911">
        <v>299.89870200000001</v>
      </c>
      <c r="B911" s="1">
        <f>DATE(2011,2,24) + TIME(21,34,7)</f>
        <v>40598.898692129631</v>
      </c>
      <c r="C911">
        <v>80</v>
      </c>
      <c r="D911">
        <v>65.840301514000004</v>
      </c>
      <c r="E911">
        <v>50</v>
      </c>
      <c r="F911">
        <v>49.961875915999997</v>
      </c>
      <c r="G911">
        <v>1325.3969727000001</v>
      </c>
      <c r="H911">
        <v>1322.9898682</v>
      </c>
      <c r="I911">
        <v>1338.2753906</v>
      </c>
      <c r="J911">
        <v>1335.9702147999999</v>
      </c>
      <c r="K911">
        <v>0</v>
      </c>
      <c r="L911">
        <v>2400</v>
      </c>
      <c r="M911">
        <v>2400</v>
      </c>
      <c r="N911">
        <v>0</v>
      </c>
    </row>
    <row r="912" spans="1:14" x14ac:dyDescent="0.25">
      <c r="A912">
        <v>302.02582899999999</v>
      </c>
      <c r="B912" s="1">
        <f>DATE(2011,2,27) + TIME(0,37,11)</f>
        <v>40601.025821759256</v>
      </c>
      <c r="C912">
        <v>80</v>
      </c>
      <c r="D912">
        <v>65.578399657999995</v>
      </c>
      <c r="E912">
        <v>50</v>
      </c>
      <c r="F912">
        <v>49.961940765000001</v>
      </c>
      <c r="G912">
        <v>1325.3635254000001</v>
      </c>
      <c r="H912">
        <v>1322.9447021000001</v>
      </c>
      <c r="I912">
        <v>1338.2691649999999</v>
      </c>
      <c r="J912">
        <v>1335.9670410000001</v>
      </c>
      <c r="K912">
        <v>0</v>
      </c>
      <c r="L912">
        <v>2400</v>
      </c>
      <c r="M912">
        <v>2400</v>
      </c>
      <c r="N912">
        <v>0</v>
      </c>
    </row>
    <row r="913" spans="1:14" x14ac:dyDescent="0.25">
      <c r="A913">
        <v>304</v>
      </c>
      <c r="B913" s="1">
        <f>DATE(2011,3,1) + TIME(0,0,0)</f>
        <v>40603</v>
      </c>
      <c r="C913">
        <v>80</v>
      </c>
      <c r="D913">
        <v>65.310768127000003</v>
      </c>
      <c r="E913">
        <v>50</v>
      </c>
      <c r="F913">
        <v>49.961997986</v>
      </c>
      <c r="G913">
        <v>1325.3291016000001</v>
      </c>
      <c r="H913">
        <v>1322.8985596</v>
      </c>
      <c r="I913">
        <v>1338.2625731999999</v>
      </c>
      <c r="J913">
        <v>1335.9637451000001</v>
      </c>
      <c r="K913">
        <v>0</v>
      </c>
      <c r="L913">
        <v>2400</v>
      </c>
      <c r="M913">
        <v>2400</v>
      </c>
      <c r="N913">
        <v>0</v>
      </c>
    </row>
    <row r="914" spans="1:14" x14ac:dyDescent="0.25">
      <c r="A914">
        <v>306.14523200000002</v>
      </c>
      <c r="B914" s="1">
        <f>DATE(2011,3,3) + TIME(3,29,8)</f>
        <v>40605.145231481481</v>
      </c>
      <c r="C914">
        <v>80</v>
      </c>
      <c r="D914">
        <v>65.049392699999999</v>
      </c>
      <c r="E914">
        <v>50</v>
      </c>
      <c r="F914">
        <v>49.962066649999997</v>
      </c>
      <c r="G914">
        <v>1325.2966309000001</v>
      </c>
      <c r="H914">
        <v>1322.8538818</v>
      </c>
      <c r="I914">
        <v>1338.2565918</v>
      </c>
      <c r="J914">
        <v>1335.9605713000001</v>
      </c>
      <c r="K914">
        <v>0</v>
      </c>
      <c r="L914">
        <v>2400</v>
      </c>
      <c r="M914">
        <v>2400</v>
      </c>
      <c r="N914">
        <v>0</v>
      </c>
    </row>
    <row r="915" spans="1:14" x14ac:dyDescent="0.25">
      <c r="A915">
        <v>308.31043399999999</v>
      </c>
      <c r="B915" s="1">
        <f>DATE(2011,3,5) + TIME(7,27,1)</f>
        <v>40607.310428240744</v>
      </c>
      <c r="C915">
        <v>80</v>
      </c>
      <c r="D915">
        <v>64.774963378999999</v>
      </c>
      <c r="E915">
        <v>50</v>
      </c>
      <c r="F915">
        <v>49.962135314999998</v>
      </c>
      <c r="G915">
        <v>1325.2631836</v>
      </c>
      <c r="H915">
        <v>1322.8087158000001</v>
      </c>
      <c r="I915">
        <v>1338.2502440999999</v>
      </c>
      <c r="J915">
        <v>1335.9572754000001</v>
      </c>
      <c r="K915">
        <v>0</v>
      </c>
      <c r="L915">
        <v>2400</v>
      </c>
      <c r="M915">
        <v>2400</v>
      </c>
      <c r="N915">
        <v>0</v>
      </c>
    </row>
    <row r="916" spans="1:14" x14ac:dyDescent="0.25">
      <c r="A916">
        <v>310.51266199999998</v>
      </c>
      <c r="B916" s="1">
        <f>DATE(2011,3,7) + TIME(12,18,13)</f>
        <v>40609.512650462966</v>
      </c>
      <c r="C916">
        <v>80</v>
      </c>
      <c r="D916">
        <v>64.495315551999994</v>
      </c>
      <c r="E916">
        <v>50</v>
      </c>
      <c r="F916">
        <v>49.962203979000002</v>
      </c>
      <c r="G916">
        <v>1325.2296143000001</v>
      </c>
      <c r="H916">
        <v>1322.7630615</v>
      </c>
      <c r="I916">
        <v>1338.2438964999999</v>
      </c>
      <c r="J916">
        <v>1335.9539795000001</v>
      </c>
      <c r="K916">
        <v>0</v>
      </c>
      <c r="L916">
        <v>2400</v>
      </c>
      <c r="M916">
        <v>2400</v>
      </c>
      <c r="N916">
        <v>0</v>
      </c>
    </row>
    <row r="917" spans="1:14" x14ac:dyDescent="0.25">
      <c r="A917">
        <v>312.76798300000002</v>
      </c>
      <c r="B917" s="1">
        <f>DATE(2011,3,9) + TIME(18,25,53)</f>
        <v>40611.767974537041</v>
      </c>
      <c r="C917">
        <v>80</v>
      </c>
      <c r="D917">
        <v>64.210098267000006</v>
      </c>
      <c r="E917">
        <v>50</v>
      </c>
      <c r="F917">
        <v>49.962276459000002</v>
      </c>
      <c r="G917">
        <v>1325.1959228999999</v>
      </c>
      <c r="H917">
        <v>1322.7172852000001</v>
      </c>
      <c r="I917">
        <v>1338.2375488</v>
      </c>
      <c r="J917">
        <v>1335.9505615</v>
      </c>
      <c r="K917">
        <v>0</v>
      </c>
      <c r="L917">
        <v>2400</v>
      </c>
      <c r="M917">
        <v>2400</v>
      </c>
      <c r="N917">
        <v>0</v>
      </c>
    </row>
    <row r="918" spans="1:14" x14ac:dyDescent="0.25">
      <c r="A918">
        <v>313.91933599999999</v>
      </c>
      <c r="B918" s="1">
        <f>DATE(2011,3,10) + TIME(22,3,50)</f>
        <v>40612.919328703705</v>
      </c>
      <c r="C918">
        <v>80</v>
      </c>
      <c r="D918">
        <v>63.961734772</v>
      </c>
      <c r="E918">
        <v>50</v>
      </c>
      <c r="F918">
        <v>49.962299346999998</v>
      </c>
      <c r="G918">
        <v>1325.1624756000001</v>
      </c>
      <c r="H918">
        <v>1322.6732178</v>
      </c>
      <c r="I918">
        <v>1338.2313231999999</v>
      </c>
      <c r="J918">
        <v>1335.9472656</v>
      </c>
      <c r="K918">
        <v>0</v>
      </c>
      <c r="L918">
        <v>2400</v>
      </c>
      <c r="M918">
        <v>2400</v>
      </c>
      <c r="N918">
        <v>0</v>
      </c>
    </row>
    <row r="919" spans="1:14" x14ac:dyDescent="0.25">
      <c r="A919">
        <v>315.06397800000002</v>
      </c>
      <c r="B919" s="1">
        <f>DATE(2011,3,12) + TIME(1,32,7)</f>
        <v>40614.063969907409</v>
      </c>
      <c r="C919">
        <v>80</v>
      </c>
      <c r="D919">
        <v>63.782638550000001</v>
      </c>
      <c r="E919">
        <v>50</v>
      </c>
      <c r="F919">
        <v>49.962329865000001</v>
      </c>
      <c r="G919">
        <v>1325.1417236</v>
      </c>
      <c r="H919">
        <v>1322.6422118999999</v>
      </c>
      <c r="I919">
        <v>1338.2277832</v>
      </c>
      <c r="J919">
        <v>1335.9454346</v>
      </c>
      <c r="K919">
        <v>0</v>
      </c>
      <c r="L919">
        <v>2400</v>
      </c>
      <c r="M919">
        <v>2400</v>
      </c>
      <c r="N919">
        <v>0</v>
      </c>
    </row>
    <row r="920" spans="1:14" x14ac:dyDescent="0.25">
      <c r="A920">
        <v>316.208619</v>
      </c>
      <c r="B920" s="1">
        <f>DATE(2011,3,13) + TIME(5,0,24)</f>
        <v>40615.208611111113</v>
      </c>
      <c r="C920">
        <v>80</v>
      </c>
      <c r="D920">
        <v>63.624298095999997</v>
      </c>
      <c r="E920">
        <v>50</v>
      </c>
      <c r="F920">
        <v>49.962364196999999</v>
      </c>
      <c r="G920">
        <v>1325.1236572</v>
      </c>
      <c r="H920">
        <v>1322.6165771000001</v>
      </c>
      <c r="I920">
        <v>1338.2246094</v>
      </c>
      <c r="J920">
        <v>1335.9436035000001</v>
      </c>
      <c r="K920">
        <v>0</v>
      </c>
      <c r="L920">
        <v>2400</v>
      </c>
      <c r="M920">
        <v>2400</v>
      </c>
      <c r="N920">
        <v>0</v>
      </c>
    </row>
    <row r="921" spans="1:14" x14ac:dyDescent="0.25">
      <c r="A921">
        <v>317.35326099999997</v>
      </c>
      <c r="B921" s="1">
        <f>DATE(2011,3,14) + TIME(8,28,41)</f>
        <v>40616.353252314817</v>
      </c>
      <c r="C921">
        <v>80</v>
      </c>
      <c r="D921">
        <v>63.472114562999998</v>
      </c>
      <c r="E921">
        <v>50</v>
      </c>
      <c r="F921">
        <v>49.962398528999998</v>
      </c>
      <c r="G921">
        <v>1325.1065673999999</v>
      </c>
      <c r="H921">
        <v>1322.5927733999999</v>
      </c>
      <c r="I921">
        <v>1338.2214355000001</v>
      </c>
      <c r="J921">
        <v>1335.9418945</v>
      </c>
      <c r="K921">
        <v>0</v>
      </c>
      <c r="L921">
        <v>2400</v>
      </c>
      <c r="M921">
        <v>2400</v>
      </c>
      <c r="N921">
        <v>0</v>
      </c>
    </row>
    <row r="922" spans="1:14" x14ac:dyDescent="0.25">
      <c r="A922">
        <v>318.49790300000001</v>
      </c>
      <c r="B922" s="1">
        <f>DATE(2011,3,15) + TIME(11,56,58)</f>
        <v>40617.497893518521</v>
      </c>
      <c r="C922">
        <v>80</v>
      </c>
      <c r="D922">
        <v>63.321723937999998</v>
      </c>
      <c r="E922">
        <v>50</v>
      </c>
      <c r="F922">
        <v>49.962436676000003</v>
      </c>
      <c r="G922">
        <v>1325.0898437999999</v>
      </c>
      <c r="H922">
        <v>1322.5699463000001</v>
      </c>
      <c r="I922">
        <v>1338.2182617000001</v>
      </c>
      <c r="J922">
        <v>1335.9401855000001</v>
      </c>
      <c r="K922">
        <v>0</v>
      </c>
      <c r="L922">
        <v>2400</v>
      </c>
      <c r="M922">
        <v>2400</v>
      </c>
      <c r="N922">
        <v>0</v>
      </c>
    </row>
    <row r="923" spans="1:14" x14ac:dyDescent="0.25">
      <c r="A923">
        <v>319.64254499999998</v>
      </c>
      <c r="B923" s="1">
        <f>DATE(2011,3,16) + TIME(15,25,15)</f>
        <v>40618.642534722225</v>
      </c>
      <c r="C923">
        <v>80</v>
      </c>
      <c r="D923">
        <v>63.171817779999998</v>
      </c>
      <c r="E923">
        <v>50</v>
      </c>
      <c r="F923">
        <v>49.962474823000001</v>
      </c>
      <c r="G923">
        <v>1325.0734863</v>
      </c>
      <c r="H923">
        <v>1322.5474853999999</v>
      </c>
      <c r="I923">
        <v>1338.2150879000001</v>
      </c>
      <c r="J923">
        <v>1335.9384766000001</v>
      </c>
      <c r="K923">
        <v>0</v>
      </c>
      <c r="L923">
        <v>2400</v>
      </c>
      <c r="M923">
        <v>2400</v>
      </c>
      <c r="N923">
        <v>0</v>
      </c>
    </row>
    <row r="924" spans="1:14" x14ac:dyDescent="0.25">
      <c r="A924">
        <v>321.93182899999999</v>
      </c>
      <c r="B924" s="1">
        <f>DATE(2011,3,18) + TIME(22,21,49)</f>
        <v>40620.931817129633</v>
      </c>
      <c r="C924">
        <v>80</v>
      </c>
      <c r="D924">
        <v>62.995517731</v>
      </c>
      <c r="E924">
        <v>50</v>
      </c>
      <c r="F924">
        <v>49.962566375999998</v>
      </c>
      <c r="G924">
        <v>1325.057251</v>
      </c>
      <c r="H924">
        <v>1322.5241699000001</v>
      </c>
      <c r="I924">
        <v>1338.2119141000001</v>
      </c>
      <c r="J924">
        <v>1335.9366454999999</v>
      </c>
      <c r="K924">
        <v>0</v>
      </c>
      <c r="L924">
        <v>2400</v>
      </c>
      <c r="M924">
        <v>2400</v>
      </c>
      <c r="N924">
        <v>0</v>
      </c>
    </row>
    <row r="925" spans="1:14" x14ac:dyDescent="0.25">
      <c r="A925">
        <v>324.22383500000001</v>
      </c>
      <c r="B925" s="1">
        <f>DATE(2011,3,21) + TIME(5,22,19)</f>
        <v>40623.22383101852</v>
      </c>
      <c r="C925">
        <v>80</v>
      </c>
      <c r="D925">
        <v>62.718349457000002</v>
      </c>
      <c r="E925">
        <v>50</v>
      </c>
      <c r="F925">
        <v>49.962642670000001</v>
      </c>
      <c r="G925">
        <v>1325.0296631000001</v>
      </c>
      <c r="H925">
        <v>1322.4890137</v>
      </c>
      <c r="I925">
        <v>1338.2058105000001</v>
      </c>
      <c r="J925">
        <v>1335.9334716999999</v>
      </c>
      <c r="K925">
        <v>0</v>
      </c>
      <c r="L925">
        <v>2400</v>
      </c>
      <c r="M925">
        <v>2400</v>
      </c>
      <c r="N925">
        <v>0</v>
      </c>
    </row>
    <row r="926" spans="1:14" x14ac:dyDescent="0.25">
      <c r="A926">
        <v>326.599853</v>
      </c>
      <c r="B926" s="1">
        <f>DATE(2011,3,23) + TIME(14,23,47)</f>
        <v>40625.599849537037</v>
      </c>
      <c r="C926">
        <v>80</v>
      </c>
      <c r="D926">
        <v>62.421344757</v>
      </c>
      <c r="E926">
        <v>50</v>
      </c>
      <c r="F926">
        <v>49.962722778</v>
      </c>
      <c r="G926">
        <v>1324.9992675999999</v>
      </c>
      <c r="H926">
        <v>1322.4475098</v>
      </c>
      <c r="I926">
        <v>1338.1995850000001</v>
      </c>
      <c r="J926">
        <v>1335.9300536999999</v>
      </c>
      <c r="K926">
        <v>0</v>
      </c>
      <c r="L926">
        <v>2400</v>
      </c>
      <c r="M926">
        <v>2400</v>
      </c>
      <c r="N926">
        <v>0</v>
      </c>
    </row>
    <row r="927" spans="1:14" x14ac:dyDescent="0.25">
      <c r="A927">
        <v>329.08061400000003</v>
      </c>
      <c r="B927" s="1">
        <f>DATE(2011,3,26) + TIME(1,56,5)</f>
        <v>40628.080613425926</v>
      </c>
      <c r="C927">
        <v>80</v>
      </c>
      <c r="D927">
        <v>62.110980988000001</v>
      </c>
      <c r="E927">
        <v>50</v>
      </c>
      <c r="F927">
        <v>49.962806702000002</v>
      </c>
      <c r="G927">
        <v>1324.9678954999999</v>
      </c>
      <c r="H927">
        <v>1322.4045410000001</v>
      </c>
      <c r="I927">
        <v>1338.1933594</v>
      </c>
      <c r="J927">
        <v>1335.9265137</v>
      </c>
      <c r="K927">
        <v>0</v>
      </c>
      <c r="L927">
        <v>2400</v>
      </c>
      <c r="M927">
        <v>2400</v>
      </c>
      <c r="N927">
        <v>0</v>
      </c>
    </row>
    <row r="928" spans="1:14" x14ac:dyDescent="0.25">
      <c r="A928">
        <v>331.57394299999999</v>
      </c>
      <c r="B928" s="1">
        <f>DATE(2011,3,28) + TIME(13,46,28)</f>
        <v>40630.573935185188</v>
      </c>
      <c r="C928">
        <v>80</v>
      </c>
      <c r="D928">
        <v>61.788631439</v>
      </c>
      <c r="E928">
        <v>50</v>
      </c>
      <c r="F928">
        <v>49.962886810000001</v>
      </c>
      <c r="G928">
        <v>1324.9357910000001</v>
      </c>
      <c r="H928">
        <v>1322.3605957</v>
      </c>
      <c r="I928">
        <v>1338.1867675999999</v>
      </c>
      <c r="J928">
        <v>1335.9229736</v>
      </c>
      <c r="K928">
        <v>0</v>
      </c>
      <c r="L928">
        <v>2400</v>
      </c>
      <c r="M928">
        <v>2400</v>
      </c>
      <c r="N928">
        <v>0</v>
      </c>
    </row>
    <row r="929" spans="1:14" x14ac:dyDescent="0.25">
      <c r="A929">
        <v>334.06914899999998</v>
      </c>
      <c r="B929" s="1">
        <f>DATE(2011,3,31) + TIME(1,39,34)</f>
        <v>40633.069143518522</v>
      </c>
      <c r="C929">
        <v>80</v>
      </c>
      <c r="D929">
        <v>61.462711333999998</v>
      </c>
      <c r="E929">
        <v>50</v>
      </c>
      <c r="F929">
        <v>49.962966919000003</v>
      </c>
      <c r="G929">
        <v>1324.9039307</v>
      </c>
      <c r="H929">
        <v>1322.3165283000001</v>
      </c>
      <c r="I929">
        <v>1338.1804199000001</v>
      </c>
      <c r="J929">
        <v>1335.9193115</v>
      </c>
      <c r="K929">
        <v>0</v>
      </c>
      <c r="L929">
        <v>2400</v>
      </c>
      <c r="M929">
        <v>2400</v>
      </c>
      <c r="N929">
        <v>0</v>
      </c>
    </row>
    <row r="930" spans="1:14" x14ac:dyDescent="0.25">
      <c r="A930">
        <v>335</v>
      </c>
      <c r="B930" s="1">
        <f>DATE(2011,4,1) + TIME(0,0,0)</f>
        <v>40634</v>
      </c>
      <c r="C930">
        <v>80</v>
      </c>
      <c r="D930">
        <v>61.206386565999999</v>
      </c>
      <c r="E930">
        <v>50</v>
      </c>
      <c r="F930">
        <v>49.962982177999997</v>
      </c>
      <c r="G930">
        <v>1324.8726807</v>
      </c>
      <c r="H930">
        <v>1322.2757568</v>
      </c>
      <c r="I930">
        <v>1338.1743164</v>
      </c>
      <c r="J930">
        <v>1335.9160156</v>
      </c>
      <c r="K930">
        <v>0</v>
      </c>
      <c r="L930">
        <v>2400</v>
      </c>
      <c r="M930">
        <v>2400</v>
      </c>
      <c r="N930">
        <v>0</v>
      </c>
    </row>
    <row r="931" spans="1:14" x14ac:dyDescent="0.25">
      <c r="A931">
        <v>337.52504299999998</v>
      </c>
      <c r="B931" s="1">
        <f>DATE(2011,4,3) + TIME(12,36,3)</f>
        <v>40636.525034722225</v>
      </c>
      <c r="C931">
        <v>80</v>
      </c>
      <c r="D931">
        <v>60.990379333</v>
      </c>
      <c r="E931">
        <v>50</v>
      </c>
      <c r="F931">
        <v>49.963077544999997</v>
      </c>
      <c r="G931">
        <v>1324.8574219</v>
      </c>
      <c r="H931">
        <v>1322.2492675999999</v>
      </c>
      <c r="I931">
        <v>1338.1715088000001</v>
      </c>
      <c r="J931">
        <v>1335.9141846</v>
      </c>
      <c r="K931">
        <v>0</v>
      </c>
      <c r="L931">
        <v>2400</v>
      </c>
      <c r="M931">
        <v>2400</v>
      </c>
      <c r="N931">
        <v>0</v>
      </c>
    </row>
    <row r="932" spans="1:14" x14ac:dyDescent="0.25">
      <c r="A932">
        <v>340.12293099999999</v>
      </c>
      <c r="B932" s="1">
        <f>DATE(2011,4,6) + TIME(2,57,1)</f>
        <v>40639.122928240744</v>
      </c>
      <c r="C932">
        <v>80</v>
      </c>
      <c r="D932">
        <v>60.675842285000002</v>
      </c>
      <c r="E932">
        <v>50</v>
      </c>
      <c r="F932">
        <v>49.963165283000002</v>
      </c>
      <c r="G932">
        <v>1324.8298339999999</v>
      </c>
      <c r="H932">
        <v>1322.2131348</v>
      </c>
      <c r="I932">
        <v>1338.1652832</v>
      </c>
      <c r="J932">
        <v>1335.9106445</v>
      </c>
      <c r="K932">
        <v>0</v>
      </c>
      <c r="L932">
        <v>2400</v>
      </c>
      <c r="M932">
        <v>2400</v>
      </c>
      <c r="N932">
        <v>0</v>
      </c>
    </row>
    <row r="933" spans="1:14" x14ac:dyDescent="0.25">
      <c r="A933">
        <v>341.45248099999998</v>
      </c>
      <c r="B933" s="1">
        <f>DATE(2011,4,7) + TIME(10,51,34)</f>
        <v>40640.452476851853</v>
      </c>
      <c r="C933">
        <v>80</v>
      </c>
      <c r="D933">
        <v>60.383369446000003</v>
      </c>
      <c r="E933">
        <v>50</v>
      </c>
      <c r="F933">
        <v>49.963195800999998</v>
      </c>
      <c r="G933">
        <v>1324.7998047000001</v>
      </c>
      <c r="H933">
        <v>1322.1734618999999</v>
      </c>
      <c r="I933">
        <v>1338.1590576000001</v>
      </c>
      <c r="J933">
        <v>1335.9071045000001</v>
      </c>
      <c r="K933">
        <v>0</v>
      </c>
      <c r="L933">
        <v>2400</v>
      </c>
      <c r="M933">
        <v>2400</v>
      </c>
      <c r="N933">
        <v>0</v>
      </c>
    </row>
    <row r="934" spans="1:14" x14ac:dyDescent="0.25">
      <c r="A934">
        <v>342.77916299999998</v>
      </c>
      <c r="B934" s="1">
        <f>DATE(2011,4,8) + TIME(18,41,59)</f>
        <v>40641.77915509259</v>
      </c>
      <c r="C934">
        <v>80</v>
      </c>
      <c r="D934">
        <v>60.176502227999997</v>
      </c>
      <c r="E934">
        <v>50</v>
      </c>
      <c r="F934">
        <v>49.963233948000003</v>
      </c>
      <c r="G934">
        <v>1324.78125</v>
      </c>
      <c r="H934">
        <v>1322.1448975000001</v>
      </c>
      <c r="I934">
        <v>1338.1555175999999</v>
      </c>
      <c r="J934">
        <v>1335.9050293</v>
      </c>
      <c r="K934">
        <v>0</v>
      </c>
      <c r="L934">
        <v>2400</v>
      </c>
      <c r="M934">
        <v>2400</v>
      </c>
      <c r="N934">
        <v>0</v>
      </c>
    </row>
    <row r="935" spans="1:14" x14ac:dyDescent="0.25">
      <c r="A935">
        <v>344.10584399999999</v>
      </c>
      <c r="B935" s="1">
        <f>DATE(2011,4,10) + TIME(2,32,24)</f>
        <v>40643.105833333335</v>
      </c>
      <c r="C935">
        <v>80</v>
      </c>
      <c r="D935">
        <v>59.992794037000003</v>
      </c>
      <c r="E935">
        <v>50</v>
      </c>
      <c r="F935">
        <v>49.963275908999996</v>
      </c>
      <c r="G935">
        <v>1324.7651367000001</v>
      </c>
      <c r="H935">
        <v>1322.121582</v>
      </c>
      <c r="I935">
        <v>1338.1522216999999</v>
      </c>
      <c r="J935">
        <v>1335.9030762</v>
      </c>
      <c r="K935">
        <v>0</v>
      </c>
      <c r="L935">
        <v>2400</v>
      </c>
      <c r="M935">
        <v>2400</v>
      </c>
      <c r="N935">
        <v>0</v>
      </c>
    </row>
    <row r="936" spans="1:14" x14ac:dyDescent="0.25">
      <c r="A936">
        <v>345.432525</v>
      </c>
      <c r="B936" s="1">
        <f>DATE(2011,4,11) + TIME(10,22,50)</f>
        <v>40644.432523148149</v>
      </c>
      <c r="C936">
        <v>80</v>
      </c>
      <c r="D936">
        <v>59.815208435000002</v>
      </c>
      <c r="E936">
        <v>50</v>
      </c>
      <c r="F936">
        <v>49.963321686</v>
      </c>
      <c r="G936">
        <v>1324.7498779</v>
      </c>
      <c r="H936">
        <v>1322.0999756000001</v>
      </c>
      <c r="I936">
        <v>1338.1490478999999</v>
      </c>
      <c r="J936">
        <v>1335.9012451000001</v>
      </c>
      <c r="K936">
        <v>0</v>
      </c>
      <c r="L936">
        <v>2400</v>
      </c>
      <c r="M936">
        <v>2400</v>
      </c>
      <c r="N936">
        <v>0</v>
      </c>
    </row>
    <row r="937" spans="1:14" x14ac:dyDescent="0.25">
      <c r="A937">
        <v>346.759207</v>
      </c>
      <c r="B937" s="1">
        <f>DATE(2011,4,12) + TIME(18,13,15)</f>
        <v>40645.759201388886</v>
      </c>
      <c r="C937">
        <v>80</v>
      </c>
      <c r="D937">
        <v>59.639408111999998</v>
      </c>
      <c r="E937">
        <v>50</v>
      </c>
      <c r="F937">
        <v>49.963363647000001</v>
      </c>
      <c r="G937">
        <v>1324.7351074000001</v>
      </c>
      <c r="H937">
        <v>1322.0791016000001</v>
      </c>
      <c r="I937">
        <v>1338.145874</v>
      </c>
      <c r="J937">
        <v>1335.8992920000001</v>
      </c>
      <c r="K937">
        <v>0</v>
      </c>
      <c r="L937">
        <v>2400</v>
      </c>
      <c r="M937">
        <v>2400</v>
      </c>
      <c r="N937">
        <v>0</v>
      </c>
    </row>
    <row r="938" spans="1:14" x14ac:dyDescent="0.25">
      <c r="A938">
        <v>348.08588800000001</v>
      </c>
      <c r="B938" s="1">
        <f>DATE(2011,4,14) + TIME(2,3,40)</f>
        <v>40647.085879629631</v>
      </c>
      <c r="C938">
        <v>80</v>
      </c>
      <c r="D938">
        <v>59.464237212999997</v>
      </c>
      <c r="E938">
        <v>50</v>
      </c>
      <c r="F938">
        <v>49.963409423999998</v>
      </c>
      <c r="G938">
        <v>1324.7205810999999</v>
      </c>
      <c r="H938">
        <v>1322.0587158000001</v>
      </c>
      <c r="I938">
        <v>1338.1427002</v>
      </c>
      <c r="J938">
        <v>1335.8974608999999</v>
      </c>
      <c r="K938">
        <v>0</v>
      </c>
      <c r="L938">
        <v>2400</v>
      </c>
      <c r="M938">
        <v>2400</v>
      </c>
      <c r="N938">
        <v>0</v>
      </c>
    </row>
    <row r="939" spans="1:14" x14ac:dyDescent="0.25">
      <c r="A939">
        <v>349.41256900000002</v>
      </c>
      <c r="B939" s="1">
        <f>DATE(2011,4,15) + TIME(9,54,5)</f>
        <v>40648.412557870368</v>
      </c>
      <c r="C939">
        <v>80</v>
      </c>
      <c r="D939">
        <v>59.289340973000002</v>
      </c>
      <c r="E939">
        <v>50</v>
      </c>
      <c r="F939">
        <v>49.963451384999999</v>
      </c>
      <c r="G939">
        <v>1324.7062988</v>
      </c>
      <c r="H939">
        <v>1322.0386963000001</v>
      </c>
      <c r="I939">
        <v>1338.1395264</v>
      </c>
      <c r="J939">
        <v>1335.8955077999999</v>
      </c>
      <c r="K939">
        <v>0</v>
      </c>
      <c r="L939">
        <v>2400</v>
      </c>
      <c r="M939">
        <v>2400</v>
      </c>
      <c r="N939">
        <v>0</v>
      </c>
    </row>
    <row r="940" spans="1:14" x14ac:dyDescent="0.25">
      <c r="A940">
        <v>352.06593199999998</v>
      </c>
      <c r="B940" s="1">
        <f>DATE(2011,4,18) + TIME(1,34,56)</f>
        <v>40651.065925925926</v>
      </c>
      <c r="C940">
        <v>80</v>
      </c>
      <c r="D940">
        <v>59.087257385000001</v>
      </c>
      <c r="E940">
        <v>50</v>
      </c>
      <c r="F940">
        <v>49.963558196999998</v>
      </c>
      <c r="G940">
        <v>1324.6922606999999</v>
      </c>
      <c r="H940">
        <v>1322.0179443</v>
      </c>
      <c r="I940">
        <v>1338.1362305</v>
      </c>
      <c r="J940">
        <v>1335.8935547000001</v>
      </c>
      <c r="K940">
        <v>0</v>
      </c>
      <c r="L940">
        <v>2400</v>
      </c>
      <c r="M940">
        <v>2400</v>
      </c>
      <c r="N940">
        <v>0</v>
      </c>
    </row>
    <row r="941" spans="1:14" x14ac:dyDescent="0.25">
      <c r="A941">
        <v>354.73104499999999</v>
      </c>
      <c r="B941" s="1">
        <f>DATE(2011,4,20) + TIME(17,32,42)</f>
        <v>40653.731041666666</v>
      </c>
      <c r="C941">
        <v>80</v>
      </c>
      <c r="D941">
        <v>58.762683868000003</v>
      </c>
      <c r="E941">
        <v>50</v>
      </c>
      <c r="F941">
        <v>49.963645935000002</v>
      </c>
      <c r="G941">
        <v>1324.6683350000001</v>
      </c>
      <c r="H941">
        <v>1321.9866943</v>
      </c>
      <c r="I941">
        <v>1338.1301269999999</v>
      </c>
      <c r="J941">
        <v>1335.8900146000001</v>
      </c>
      <c r="K941">
        <v>0</v>
      </c>
      <c r="L941">
        <v>2400</v>
      </c>
      <c r="M941">
        <v>2400</v>
      </c>
      <c r="N941">
        <v>0</v>
      </c>
    </row>
    <row r="942" spans="1:14" x14ac:dyDescent="0.25">
      <c r="A942">
        <v>357.51364799999999</v>
      </c>
      <c r="B942" s="1">
        <f>DATE(2011,4,23) + TIME(12,19,39)</f>
        <v>40656.513645833336</v>
      </c>
      <c r="C942">
        <v>80</v>
      </c>
      <c r="D942">
        <v>58.416622162000003</v>
      </c>
      <c r="E942">
        <v>50</v>
      </c>
      <c r="F942">
        <v>49.963741302000003</v>
      </c>
      <c r="G942">
        <v>1324.6420897999999</v>
      </c>
      <c r="H942">
        <v>1321.9499512</v>
      </c>
      <c r="I942">
        <v>1338.1237793</v>
      </c>
      <c r="J942">
        <v>1335.8862305</v>
      </c>
      <c r="K942">
        <v>0</v>
      </c>
      <c r="L942">
        <v>2400</v>
      </c>
      <c r="M942">
        <v>2400</v>
      </c>
      <c r="N942">
        <v>0</v>
      </c>
    </row>
    <row r="943" spans="1:14" x14ac:dyDescent="0.25">
      <c r="A943">
        <v>358.96536500000002</v>
      </c>
      <c r="B943" s="1">
        <f>DATE(2011,4,24) + TIME(23,10,7)</f>
        <v>40657.965358796297</v>
      </c>
      <c r="C943">
        <v>80</v>
      </c>
      <c r="D943">
        <v>58.101623535000002</v>
      </c>
      <c r="E943">
        <v>50</v>
      </c>
      <c r="F943">
        <v>49.963775634999998</v>
      </c>
      <c r="G943">
        <v>1324.6151123</v>
      </c>
      <c r="H943">
        <v>1321.9135742000001</v>
      </c>
      <c r="I943">
        <v>1338.1176757999999</v>
      </c>
      <c r="J943">
        <v>1335.8825684000001</v>
      </c>
      <c r="K943">
        <v>0</v>
      </c>
      <c r="L943">
        <v>2400</v>
      </c>
      <c r="M943">
        <v>2400</v>
      </c>
      <c r="N943">
        <v>0</v>
      </c>
    </row>
    <row r="944" spans="1:14" x14ac:dyDescent="0.25">
      <c r="A944">
        <v>360.40822500000002</v>
      </c>
      <c r="B944" s="1">
        <f>DATE(2011,4,26) + TIME(9,47,50)</f>
        <v>40659.408217592594</v>
      </c>
      <c r="C944">
        <v>80</v>
      </c>
      <c r="D944">
        <v>57.881450653000002</v>
      </c>
      <c r="E944">
        <v>50</v>
      </c>
      <c r="F944">
        <v>49.963817595999998</v>
      </c>
      <c r="G944">
        <v>1324.5985106999999</v>
      </c>
      <c r="H944">
        <v>1321.8875731999999</v>
      </c>
      <c r="I944">
        <v>1338.1141356999999</v>
      </c>
      <c r="J944">
        <v>1335.880249</v>
      </c>
      <c r="K944">
        <v>0</v>
      </c>
      <c r="L944">
        <v>2400</v>
      </c>
      <c r="M944">
        <v>2400</v>
      </c>
      <c r="N944">
        <v>0</v>
      </c>
    </row>
    <row r="945" spans="1:14" x14ac:dyDescent="0.25">
      <c r="A945">
        <v>361.85108500000001</v>
      </c>
      <c r="B945" s="1">
        <f>DATE(2011,4,27) + TIME(20,25,33)</f>
        <v>40660.851076388892</v>
      </c>
      <c r="C945">
        <v>80</v>
      </c>
      <c r="D945">
        <v>57.686260222999998</v>
      </c>
      <c r="E945">
        <v>50</v>
      </c>
      <c r="F945">
        <v>49.963863373000002</v>
      </c>
      <c r="G945">
        <v>1324.5842285000001</v>
      </c>
      <c r="H945">
        <v>1321.8665771000001</v>
      </c>
      <c r="I945">
        <v>1338.1107178</v>
      </c>
      <c r="J945">
        <v>1335.8782959</v>
      </c>
      <c r="K945">
        <v>0</v>
      </c>
      <c r="L945">
        <v>2400</v>
      </c>
      <c r="M945">
        <v>2400</v>
      </c>
      <c r="N945">
        <v>0</v>
      </c>
    </row>
    <row r="946" spans="1:14" x14ac:dyDescent="0.25">
      <c r="A946">
        <v>363.29394500000001</v>
      </c>
      <c r="B946" s="1">
        <f>DATE(2011,4,29) + TIME(7,3,16)</f>
        <v>40662.293935185182</v>
      </c>
      <c r="C946">
        <v>80</v>
      </c>
      <c r="D946">
        <v>57.497982024999999</v>
      </c>
      <c r="E946">
        <v>50</v>
      </c>
      <c r="F946">
        <v>49.963912964000002</v>
      </c>
      <c r="G946">
        <v>1324.5709228999999</v>
      </c>
      <c r="H946">
        <v>1321.8472899999999</v>
      </c>
      <c r="I946">
        <v>1338.1075439000001</v>
      </c>
      <c r="J946">
        <v>1335.8762207</v>
      </c>
      <c r="K946">
        <v>0</v>
      </c>
      <c r="L946">
        <v>2400</v>
      </c>
      <c r="M946">
        <v>2400</v>
      </c>
      <c r="N946">
        <v>0</v>
      </c>
    </row>
    <row r="947" spans="1:14" x14ac:dyDescent="0.25">
      <c r="A947">
        <v>365</v>
      </c>
      <c r="B947" s="1">
        <f>DATE(2011,5,1) + TIME(0,0,0)</f>
        <v>40664</v>
      </c>
      <c r="C947">
        <v>80</v>
      </c>
      <c r="D947">
        <v>57.304397582999997</v>
      </c>
      <c r="E947">
        <v>50</v>
      </c>
      <c r="F947">
        <v>49.963970183999997</v>
      </c>
      <c r="G947">
        <v>1324.5579834</v>
      </c>
      <c r="H947">
        <v>1321.8284911999999</v>
      </c>
      <c r="I947">
        <v>1338.1042480000001</v>
      </c>
      <c r="J947">
        <v>1335.8741454999999</v>
      </c>
      <c r="K947">
        <v>0</v>
      </c>
      <c r="L947">
        <v>2400</v>
      </c>
      <c r="M947">
        <v>2400</v>
      </c>
      <c r="N947">
        <v>0</v>
      </c>
    </row>
    <row r="948" spans="1:14" x14ac:dyDescent="0.25">
      <c r="A948">
        <v>365.000001</v>
      </c>
      <c r="B948" s="1">
        <f>DATE(2011,5,1) + TIME(0,0,0)</f>
        <v>40664</v>
      </c>
      <c r="C948">
        <v>80</v>
      </c>
      <c r="D948">
        <v>57.304477691999999</v>
      </c>
      <c r="E948">
        <v>50</v>
      </c>
      <c r="F948">
        <v>49.963954926</v>
      </c>
      <c r="G948">
        <v>1327.4265137</v>
      </c>
      <c r="H948">
        <v>1324.5739745999999</v>
      </c>
      <c r="I948">
        <v>1335.8643798999999</v>
      </c>
      <c r="J948">
        <v>1334.2592772999999</v>
      </c>
      <c r="K948">
        <v>2400</v>
      </c>
      <c r="L948">
        <v>0</v>
      </c>
      <c r="M948">
        <v>0</v>
      </c>
      <c r="N948">
        <v>2400</v>
      </c>
    </row>
    <row r="949" spans="1:14" x14ac:dyDescent="0.25">
      <c r="A949">
        <v>365.00000399999999</v>
      </c>
      <c r="B949" s="1">
        <f>DATE(2011,5,1) + TIME(0,0,0)</f>
        <v>40664</v>
      </c>
      <c r="C949">
        <v>80</v>
      </c>
      <c r="D949">
        <v>57.304710387999997</v>
      </c>
      <c r="E949">
        <v>50</v>
      </c>
      <c r="F949">
        <v>49.963909149000003</v>
      </c>
      <c r="G949">
        <v>1327.4588623</v>
      </c>
      <c r="H949">
        <v>1324.6212158000001</v>
      </c>
      <c r="I949">
        <v>1335.8354492000001</v>
      </c>
      <c r="J949">
        <v>1334.2302245999999</v>
      </c>
      <c r="K949">
        <v>2400</v>
      </c>
      <c r="L949">
        <v>0</v>
      </c>
      <c r="M949">
        <v>0</v>
      </c>
      <c r="N949">
        <v>2400</v>
      </c>
    </row>
    <row r="950" spans="1:14" x14ac:dyDescent="0.25">
      <c r="A950">
        <v>365.00001300000002</v>
      </c>
      <c r="B950" s="1">
        <f>DATE(2011,5,1) + TIME(0,0,1)</f>
        <v>40664.000011574077</v>
      </c>
      <c r="C950">
        <v>80</v>
      </c>
      <c r="D950">
        <v>57.305389404000003</v>
      </c>
      <c r="E950">
        <v>50</v>
      </c>
      <c r="F950">
        <v>49.963775634999998</v>
      </c>
      <c r="G950">
        <v>1327.5522461</v>
      </c>
      <c r="H950">
        <v>1324.7554932</v>
      </c>
      <c r="I950">
        <v>1335.7520752</v>
      </c>
      <c r="J950">
        <v>1334.1468506000001</v>
      </c>
      <c r="K950">
        <v>2400</v>
      </c>
      <c r="L950">
        <v>0</v>
      </c>
      <c r="M950">
        <v>0</v>
      </c>
      <c r="N950">
        <v>2400</v>
      </c>
    </row>
    <row r="951" spans="1:14" x14ac:dyDescent="0.25">
      <c r="A951">
        <v>365.00004000000001</v>
      </c>
      <c r="B951" s="1">
        <f>DATE(2011,5,1) + TIME(0,0,3)</f>
        <v>40664.000034722223</v>
      </c>
      <c r="C951">
        <v>80</v>
      </c>
      <c r="D951">
        <v>57.307285309000001</v>
      </c>
      <c r="E951">
        <v>50</v>
      </c>
      <c r="F951">
        <v>49.963420868</v>
      </c>
      <c r="G951">
        <v>1327.8057861</v>
      </c>
      <c r="H951">
        <v>1325.104126</v>
      </c>
      <c r="I951">
        <v>1335.5288086</v>
      </c>
      <c r="J951">
        <v>1333.9235839999999</v>
      </c>
      <c r="K951">
        <v>2400</v>
      </c>
      <c r="L951">
        <v>0</v>
      </c>
      <c r="M951">
        <v>0</v>
      </c>
      <c r="N951">
        <v>2400</v>
      </c>
    </row>
    <row r="952" spans="1:14" x14ac:dyDescent="0.25">
      <c r="A952">
        <v>365.00012099999998</v>
      </c>
      <c r="B952" s="1">
        <f>DATE(2011,5,1) + TIME(0,0,10)</f>
        <v>40664.000115740739</v>
      </c>
      <c r="C952">
        <v>80</v>
      </c>
      <c r="D952">
        <v>57.312191009999999</v>
      </c>
      <c r="E952">
        <v>50</v>
      </c>
      <c r="F952">
        <v>49.962612151999998</v>
      </c>
      <c r="G952">
        <v>1328.4007568</v>
      </c>
      <c r="H952">
        <v>1325.8476562000001</v>
      </c>
      <c r="I952">
        <v>1335.0239257999999</v>
      </c>
      <c r="J952">
        <v>1333.4185791</v>
      </c>
      <c r="K952">
        <v>2400</v>
      </c>
      <c r="L952">
        <v>0</v>
      </c>
      <c r="M952">
        <v>0</v>
      </c>
      <c r="N952">
        <v>2400</v>
      </c>
    </row>
    <row r="953" spans="1:14" x14ac:dyDescent="0.25">
      <c r="A953">
        <v>365.00036399999999</v>
      </c>
      <c r="B953" s="1">
        <f>DATE(2011,5,1) + TIME(0,0,31)</f>
        <v>40664.000358796293</v>
      </c>
      <c r="C953">
        <v>80</v>
      </c>
      <c r="D953">
        <v>57.324489593999999</v>
      </c>
      <c r="E953">
        <v>50</v>
      </c>
      <c r="F953">
        <v>49.961238860999998</v>
      </c>
      <c r="G953">
        <v>1329.4868164</v>
      </c>
      <c r="H953">
        <v>1327.0294189000001</v>
      </c>
      <c r="I953">
        <v>1334.1691894999999</v>
      </c>
      <c r="J953">
        <v>1332.5638428</v>
      </c>
      <c r="K953">
        <v>2400</v>
      </c>
      <c r="L953">
        <v>0</v>
      </c>
      <c r="M953">
        <v>0</v>
      </c>
      <c r="N953">
        <v>2400</v>
      </c>
    </row>
    <row r="954" spans="1:14" x14ac:dyDescent="0.25">
      <c r="A954">
        <v>365.00109300000003</v>
      </c>
      <c r="B954" s="1">
        <f>DATE(2011,5,1) + TIME(0,1,34)</f>
        <v>40664.001087962963</v>
      </c>
      <c r="C954">
        <v>80</v>
      </c>
      <c r="D954">
        <v>57.357563018999997</v>
      </c>
      <c r="E954">
        <v>50</v>
      </c>
      <c r="F954">
        <v>49.959468842</v>
      </c>
      <c r="G954">
        <v>1330.9542236</v>
      </c>
      <c r="H954">
        <v>1328.4693603999999</v>
      </c>
      <c r="I954">
        <v>1333.1123047000001</v>
      </c>
      <c r="J954">
        <v>1331.5075684000001</v>
      </c>
      <c r="K954">
        <v>2400</v>
      </c>
      <c r="L954">
        <v>0</v>
      </c>
      <c r="M954">
        <v>0</v>
      </c>
      <c r="N954">
        <v>2400</v>
      </c>
    </row>
    <row r="955" spans="1:14" x14ac:dyDescent="0.25">
      <c r="A955">
        <v>365.00328000000002</v>
      </c>
      <c r="B955" s="1">
        <f>DATE(2011,5,1) + TIME(0,4,43)</f>
        <v>40664.003275462965</v>
      </c>
      <c r="C955">
        <v>80</v>
      </c>
      <c r="D955">
        <v>57.453433990000001</v>
      </c>
      <c r="E955">
        <v>50</v>
      </c>
      <c r="F955">
        <v>49.957405090000002</v>
      </c>
      <c r="G955">
        <v>1332.541626</v>
      </c>
      <c r="H955">
        <v>1329.9907227000001</v>
      </c>
      <c r="I955">
        <v>1332.0158690999999</v>
      </c>
      <c r="J955">
        <v>1330.4112548999999</v>
      </c>
      <c r="K955">
        <v>2400</v>
      </c>
      <c r="L955">
        <v>0</v>
      </c>
      <c r="M955">
        <v>0</v>
      </c>
      <c r="N955">
        <v>2400</v>
      </c>
    </row>
    <row r="956" spans="1:14" x14ac:dyDescent="0.25">
      <c r="A956">
        <v>365.00984099999999</v>
      </c>
      <c r="B956" s="1">
        <f>DATE(2011,5,1) + TIME(0,14,10)</f>
        <v>40664.009837962964</v>
      </c>
      <c r="C956">
        <v>80</v>
      </c>
      <c r="D956">
        <v>57.738540649000001</v>
      </c>
      <c r="E956">
        <v>50</v>
      </c>
      <c r="F956">
        <v>49.954635619999998</v>
      </c>
      <c r="G956">
        <v>1334.1229248</v>
      </c>
      <c r="H956">
        <v>1331.5180664</v>
      </c>
      <c r="I956">
        <v>1330.909668</v>
      </c>
      <c r="J956">
        <v>1329.2988281</v>
      </c>
      <c r="K956">
        <v>2400</v>
      </c>
      <c r="L956">
        <v>0</v>
      </c>
      <c r="M956">
        <v>0</v>
      </c>
      <c r="N956">
        <v>2400</v>
      </c>
    </row>
    <row r="957" spans="1:14" x14ac:dyDescent="0.25">
      <c r="A957">
        <v>365.026791</v>
      </c>
      <c r="B957" s="1">
        <f>DATE(2011,5,1) + TIME(0,38,34)</f>
        <v>40664.026782407411</v>
      </c>
      <c r="C957">
        <v>80</v>
      </c>
      <c r="D957">
        <v>58.461872100999997</v>
      </c>
      <c r="E957">
        <v>50</v>
      </c>
      <c r="F957">
        <v>49.950305939000003</v>
      </c>
      <c r="G957">
        <v>1335.5455322</v>
      </c>
      <c r="H957">
        <v>1332.911499</v>
      </c>
      <c r="I957">
        <v>1329.8514404</v>
      </c>
      <c r="J957">
        <v>1328.2192382999999</v>
      </c>
      <c r="K957">
        <v>2400</v>
      </c>
      <c r="L957">
        <v>0</v>
      </c>
      <c r="M957">
        <v>0</v>
      </c>
      <c r="N957">
        <v>2400</v>
      </c>
    </row>
    <row r="958" spans="1:14" x14ac:dyDescent="0.25">
      <c r="A958">
        <v>365.04416500000002</v>
      </c>
      <c r="B958" s="1">
        <f>DATE(2011,5,1) + TIME(1,3,35)</f>
        <v>40664.04415509259</v>
      </c>
      <c r="C958">
        <v>80</v>
      </c>
      <c r="D958">
        <v>59.189556121999999</v>
      </c>
      <c r="E958">
        <v>50</v>
      </c>
      <c r="F958">
        <v>49.946605681999998</v>
      </c>
      <c r="G958">
        <v>1336.3267822</v>
      </c>
      <c r="H958">
        <v>1333.6756591999999</v>
      </c>
      <c r="I958">
        <v>1329.2471923999999</v>
      </c>
      <c r="J958">
        <v>1327.5966797000001</v>
      </c>
      <c r="K958">
        <v>2400</v>
      </c>
      <c r="L958">
        <v>0</v>
      </c>
      <c r="M958">
        <v>0</v>
      </c>
      <c r="N958">
        <v>2400</v>
      </c>
    </row>
    <row r="959" spans="1:14" x14ac:dyDescent="0.25">
      <c r="A959">
        <v>365.06188400000002</v>
      </c>
      <c r="B959" s="1">
        <f>DATE(2011,5,1) + TIME(1,29,6)</f>
        <v>40664.061874999999</v>
      </c>
      <c r="C959">
        <v>80</v>
      </c>
      <c r="D959">
        <v>59.914741515999999</v>
      </c>
      <c r="E959">
        <v>50</v>
      </c>
      <c r="F959">
        <v>49.943145752</v>
      </c>
      <c r="G959">
        <v>1336.8322754000001</v>
      </c>
      <c r="H959">
        <v>1334.1751709</v>
      </c>
      <c r="I959">
        <v>1328.8334961</v>
      </c>
      <c r="J959">
        <v>1327.1690673999999</v>
      </c>
      <c r="K959">
        <v>2400</v>
      </c>
      <c r="L959">
        <v>0</v>
      </c>
      <c r="M959">
        <v>0</v>
      </c>
      <c r="N959">
        <v>2400</v>
      </c>
    </row>
    <row r="960" spans="1:14" x14ac:dyDescent="0.25">
      <c r="A960">
        <v>365.07993199999999</v>
      </c>
      <c r="B960" s="1">
        <f>DATE(2011,5,1) + TIME(1,55,6)</f>
        <v>40664.079930555556</v>
      </c>
      <c r="C960">
        <v>80</v>
      </c>
      <c r="D960">
        <v>60.634178161999998</v>
      </c>
      <c r="E960">
        <v>50</v>
      </c>
      <c r="F960">
        <v>49.939796448000003</v>
      </c>
      <c r="G960">
        <v>1337.1934814000001</v>
      </c>
      <c r="H960">
        <v>1334.5354004000001</v>
      </c>
      <c r="I960">
        <v>1328.5238036999999</v>
      </c>
      <c r="J960">
        <v>1326.8492432</v>
      </c>
      <c r="K960">
        <v>2400</v>
      </c>
      <c r="L960">
        <v>0</v>
      </c>
      <c r="M960">
        <v>0</v>
      </c>
      <c r="N960">
        <v>2400</v>
      </c>
    </row>
    <row r="961" spans="1:14" x14ac:dyDescent="0.25">
      <c r="A961">
        <v>365.09831700000001</v>
      </c>
      <c r="B961" s="1">
        <f>DATE(2011,5,1) + TIME(2,21,34)</f>
        <v>40664.098310185182</v>
      </c>
      <c r="C961">
        <v>80</v>
      </c>
      <c r="D961">
        <v>61.346755981000001</v>
      </c>
      <c r="E961">
        <v>50</v>
      </c>
      <c r="F961">
        <v>49.936508179</v>
      </c>
      <c r="G961">
        <v>1337.4676514</v>
      </c>
      <c r="H961">
        <v>1334.8116454999999</v>
      </c>
      <c r="I961">
        <v>1328.2801514</v>
      </c>
      <c r="J961">
        <v>1326.5981445</v>
      </c>
      <c r="K961">
        <v>2400</v>
      </c>
      <c r="L961">
        <v>0</v>
      </c>
      <c r="M961">
        <v>0</v>
      </c>
      <c r="N961">
        <v>2400</v>
      </c>
    </row>
    <row r="962" spans="1:14" x14ac:dyDescent="0.25">
      <c r="A962">
        <v>365.11705000000001</v>
      </c>
      <c r="B962" s="1">
        <f>DATE(2011,5,1) + TIME(2,48,33)</f>
        <v>40664.117048611108</v>
      </c>
      <c r="C962">
        <v>80</v>
      </c>
      <c r="D962">
        <v>62.051597594999997</v>
      </c>
      <c r="E962">
        <v>50</v>
      </c>
      <c r="F962">
        <v>49.933246613000001</v>
      </c>
      <c r="G962">
        <v>1337.6848144999999</v>
      </c>
      <c r="H962">
        <v>1335.0324707</v>
      </c>
      <c r="I962">
        <v>1328.0821533000001</v>
      </c>
      <c r="J962">
        <v>1326.3946533000001</v>
      </c>
      <c r="K962">
        <v>2400</v>
      </c>
      <c r="L962">
        <v>0</v>
      </c>
      <c r="M962">
        <v>0</v>
      </c>
      <c r="N962">
        <v>2400</v>
      </c>
    </row>
    <row r="963" spans="1:14" x14ac:dyDescent="0.25">
      <c r="A963">
        <v>365.13614699999999</v>
      </c>
      <c r="B963" s="1">
        <f>DATE(2011,5,1) + TIME(3,16,3)</f>
        <v>40664.136145833334</v>
      </c>
      <c r="C963">
        <v>80</v>
      </c>
      <c r="D963">
        <v>62.748062134000001</v>
      </c>
      <c r="E963">
        <v>50</v>
      </c>
      <c r="F963">
        <v>49.929996490000001</v>
      </c>
      <c r="G963">
        <v>1337.8625488</v>
      </c>
      <c r="H963">
        <v>1335.2144774999999</v>
      </c>
      <c r="I963">
        <v>1327.9176024999999</v>
      </c>
      <c r="J963">
        <v>1326.2260742000001</v>
      </c>
      <c r="K963">
        <v>2400</v>
      </c>
      <c r="L963">
        <v>0</v>
      </c>
      <c r="M963">
        <v>0</v>
      </c>
      <c r="N963">
        <v>2400</v>
      </c>
    </row>
    <row r="964" spans="1:14" x14ac:dyDescent="0.25">
      <c r="A964">
        <v>365.15562499999999</v>
      </c>
      <c r="B964" s="1">
        <f>DATE(2011,5,1) + TIME(3,44,6)</f>
        <v>40664.155624999999</v>
      </c>
      <c r="C964">
        <v>80</v>
      </c>
      <c r="D964">
        <v>63.435665131</v>
      </c>
      <c r="E964">
        <v>50</v>
      </c>
      <c r="F964">
        <v>49.926738739000001</v>
      </c>
      <c r="G964">
        <v>1338.0118408000001</v>
      </c>
      <c r="H964">
        <v>1335.3684082</v>
      </c>
      <c r="I964">
        <v>1327.7785644999999</v>
      </c>
      <c r="J964">
        <v>1326.0839844</v>
      </c>
      <c r="K964">
        <v>2400</v>
      </c>
      <c r="L964">
        <v>0</v>
      </c>
      <c r="M964">
        <v>0</v>
      </c>
      <c r="N964">
        <v>2400</v>
      </c>
    </row>
    <row r="965" spans="1:14" x14ac:dyDescent="0.25">
      <c r="A965">
        <v>365.17550399999999</v>
      </c>
      <c r="B965" s="1">
        <f>DATE(2011,5,1) + TIME(4,12,43)</f>
        <v>40664.175497685188</v>
      </c>
      <c r="C965">
        <v>80</v>
      </c>
      <c r="D965">
        <v>64.113990783999995</v>
      </c>
      <c r="E965">
        <v>50</v>
      </c>
      <c r="F965">
        <v>49.923465729</v>
      </c>
      <c r="G965">
        <v>1338.1400146000001</v>
      </c>
      <c r="H965">
        <v>1335.5012207</v>
      </c>
      <c r="I965">
        <v>1327.6594238</v>
      </c>
      <c r="J965">
        <v>1325.9624022999999</v>
      </c>
      <c r="K965">
        <v>2400</v>
      </c>
      <c r="L965">
        <v>0</v>
      </c>
      <c r="M965">
        <v>0</v>
      </c>
      <c r="N965">
        <v>2400</v>
      </c>
    </row>
    <row r="966" spans="1:14" x14ac:dyDescent="0.25">
      <c r="A966">
        <v>365.19580100000002</v>
      </c>
      <c r="B966" s="1">
        <f>DATE(2011,5,1) + TIME(4,41,57)</f>
        <v>40664.195798611108</v>
      </c>
      <c r="C966">
        <v>80</v>
      </c>
      <c r="D966">
        <v>64.782615661999998</v>
      </c>
      <c r="E966">
        <v>50</v>
      </c>
      <c r="F966">
        <v>49.920173644999998</v>
      </c>
      <c r="G966">
        <v>1338.2523193</v>
      </c>
      <c r="H966">
        <v>1335.6180420000001</v>
      </c>
      <c r="I966">
        <v>1327.5563964999999</v>
      </c>
      <c r="J966">
        <v>1325.8574219</v>
      </c>
      <c r="K966">
        <v>2400</v>
      </c>
      <c r="L966">
        <v>0</v>
      </c>
      <c r="M966">
        <v>0</v>
      </c>
      <c r="N966">
        <v>2400</v>
      </c>
    </row>
    <row r="967" spans="1:14" x14ac:dyDescent="0.25">
      <c r="A967">
        <v>365.21653600000002</v>
      </c>
      <c r="B967" s="1">
        <f>DATE(2011,5,1) + TIME(5,11,48)</f>
        <v>40664.216527777775</v>
      </c>
      <c r="C967">
        <v>80</v>
      </c>
      <c r="D967">
        <v>65.441268921000002</v>
      </c>
      <c r="E967">
        <v>50</v>
      </c>
      <c r="F967">
        <v>49.916851043999998</v>
      </c>
      <c r="G967">
        <v>1338.3524170000001</v>
      </c>
      <c r="H967">
        <v>1335.7220459</v>
      </c>
      <c r="I967">
        <v>1327.4663086</v>
      </c>
      <c r="J967">
        <v>1325.7657471</v>
      </c>
      <c r="K967">
        <v>2400</v>
      </c>
      <c r="L967">
        <v>0</v>
      </c>
      <c r="M967">
        <v>0</v>
      </c>
      <c r="N967">
        <v>2400</v>
      </c>
    </row>
    <row r="968" spans="1:14" x14ac:dyDescent="0.25">
      <c r="A968">
        <v>365.23773399999999</v>
      </c>
      <c r="B968" s="1">
        <f>DATE(2011,5,1) + TIME(5,42,20)</f>
        <v>40664.23773148148</v>
      </c>
      <c r="C968">
        <v>80</v>
      </c>
      <c r="D968">
        <v>66.089660644999995</v>
      </c>
      <c r="E968">
        <v>50</v>
      </c>
      <c r="F968">
        <v>49.913497925000001</v>
      </c>
      <c r="G968">
        <v>1338.4429932</v>
      </c>
      <c r="H968">
        <v>1335.8161620999999</v>
      </c>
      <c r="I968">
        <v>1327.387207</v>
      </c>
      <c r="J968">
        <v>1325.6853027</v>
      </c>
      <c r="K968">
        <v>2400</v>
      </c>
      <c r="L968">
        <v>0</v>
      </c>
      <c r="M968">
        <v>0</v>
      </c>
      <c r="N968">
        <v>2400</v>
      </c>
    </row>
    <row r="969" spans="1:14" x14ac:dyDescent="0.25">
      <c r="A969">
        <v>365.25941899999998</v>
      </c>
      <c r="B969" s="1">
        <f>DATE(2011,5,1) + TIME(6,13,33)</f>
        <v>40664.259409722225</v>
      </c>
      <c r="C969">
        <v>80</v>
      </c>
      <c r="D969">
        <v>66.727439880000006</v>
      </c>
      <c r="E969">
        <v>50</v>
      </c>
      <c r="F969">
        <v>49.910102844000001</v>
      </c>
      <c r="G969">
        <v>1338.5262451000001</v>
      </c>
      <c r="H969">
        <v>1335.9022216999999</v>
      </c>
      <c r="I969">
        <v>1327.3171387</v>
      </c>
      <c r="J969">
        <v>1325.6141356999999</v>
      </c>
      <c r="K969">
        <v>2400</v>
      </c>
      <c r="L969">
        <v>0</v>
      </c>
      <c r="M969">
        <v>0</v>
      </c>
      <c r="N969">
        <v>2400</v>
      </c>
    </row>
    <row r="970" spans="1:14" x14ac:dyDescent="0.25">
      <c r="A970">
        <v>365.28161599999999</v>
      </c>
      <c r="B970" s="1">
        <f>DATE(2011,5,1) + TIME(6,45,31)</f>
        <v>40664.281608796293</v>
      </c>
      <c r="C970">
        <v>80</v>
      </c>
      <c r="D970">
        <v>67.354286193999997</v>
      </c>
      <c r="E970">
        <v>50</v>
      </c>
      <c r="F970">
        <v>49.906665801999999</v>
      </c>
      <c r="G970">
        <v>1338.6033935999999</v>
      </c>
      <c r="H970">
        <v>1335.9816894999999</v>
      </c>
      <c r="I970">
        <v>1327.2550048999999</v>
      </c>
      <c r="J970">
        <v>1325.5510254000001</v>
      </c>
      <c r="K970">
        <v>2400</v>
      </c>
      <c r="L970">
        <v>0</v>
      </c>
      <c r="M970">
        <v>0</v>
      </c>
      <c r="N970">
        <v>2400</v>
      </c>
    </row>
    <row r="971" spans="1:14" x14ac:dyDescent="0.25">
      <c r="A971">
        <v>365.30435399999999</v>
      </c>
      <c r="B971" s="1">
        <f>DATE(2011,5,1) + TIME(7,18,16)</f>
        <v>40664.304351851853</v>
      </c>
      <c r="C971">
        <v>80</v>
      </c>
      <c r="D971">
        <v>67.969879149999997</v>
      </c>
      <c r="E971">
        <v>50</v>
      </c>
      <c r="F971">
        <v>49.903175353999998</v>
      </c>
      <c r="G971">
        <v>1338.6760254000001</v>
      </c>
      <c r="H971">
        <v>1336.0559082</v>
      </c>
      <c r="I971">
        <v>1327.1994629000001</v>
      </c>
      <c r="J971">
        <v>1325.494751</v>
      </c>
      <c r="K971">
        <v>2400</v>
      </c>
      <c r="L971">
        <v>0</v>
      </c>
      <c r="M971">
        <v>0</v>
      </c>
      <c r="N971">
        <v>2400</v>
      </c>
    </row>
    <row r="972" spans="1:14" x14ac:dyDescent="0.25">
      <c r="A972">
        <v>365.32766099999998</v>
      </c>
      <c r="B972" s="1">
        <f>DATE(2011,5,1) + TIME(7,51,49)</f>
        <v>40664.327650462961</v>
      </c>
      <c r="C972">
        <v>80</v>
      </c>
      <c r="D972">
        <v>68.573890685999999</v>
      </c>
      <c r="E972">
        <v>50</v>
      </c>
      <c r="F972">
        <v>49.899639129999997</v>
      </c>
      <c r="G972">
        <v>1338.744751</v>
      </c>
      <c r="H972">
        <v>1336.1254882999999</v>
      </c>
      <c r="I972">
        <v>1327.1500243999999</v>
      </c>
      <c r="J972">
        <v>1325.4445800999999</v>
      </c>
      <c r="K972">
        <v>2400</v>
      </c>
      <c r="L972">
        <v>0</v>
      </c>
      <c r="M972">
        <v>0</v>
      </c>
      <c r="N972">
        <v>2400</v>
      </c>
    </row>
    <row r="973" spans="1:14" x14ac:dyDescent="0.25">
      <c r="A973">
        <v>365.35156899999998</v>
      </c>
      <c r="B973" s="1">
        <f>DATE(2011,5,1) + TIME(8,26,15)</f>
        <v>40664.3515625</v>
      </c>
      <c r="C973">
        <v>80</v>
      </c>
      <c r="D973">
        <v>69.165992736999996</v>
      </c>
      <c r="E973">
        <v>50</v>
      </c>
      <c r="F973">
        <v>49.896041869999998</v>
      </c>
      <c r="G973">
        <v>1338.8105469</v>
      </c>
      <c r="H973">
        <v>1336.1915283000001</v>
      </c>
      <c r="I973">
        <v>1327.1057129000001</v>
      </c>
      <c r="J973">
        <v>1325.3996582</v>
      </c>
      <c r="K973">
        <v>2400</v>
      </c>
      <c r="L973">
        <v>0</v>
      </c>
      <c r="M973">
        <v>0</v>
      </c>
      <c r="N973">
        <v>2400</v>
      </c>
    </row>
    <row r="974" spans="1:14" x14ac:dyDescent="0.25">
      <c r="A974">
        <v>365.37606299999999</v>
      </c>
      <c r="B974" s="1">
        <f>DATE(2011,5,1) + TIME(9,1,31)</f>
        <v>40664.37605324074</v>
      </c>
      <c r="C974">
        <v>80</v>
      </c>
      <c r="D974">
        <v>69.744735718000001</v>
      </c>
      <c r="E974">
        <v>50</v>
      </c>
      <c r="F974">
        <v>49.892391205000003</v>
      </c>
      <c r="G974">
        <v>1338.8737793</v>
      </c>
      <c r="H974">
        <v>1336.2542725000001</v>
      </c>
      <c r="I974">
        <v>1327.0661620999999</v>
      </c>
      <c r="J974">
        <v>1325.3594971</v>
      </c>
      <c r="K974">
        <v>2400</v>
      </c>
      <c r="L974">
        <v>0</v>
      </c>
      <c r="M974">
        <v>0</v>
      </c>
      <c r="N974">
        <v>2400</v>
      </c>
    </row>
    <row r="975" spans="1:14" x14ac:dyDescent="0.25">
      <c r="A975">
        <v>365.401138</v>
      </c>
      <c r="B975" s="1">
        <f>DATE(2011,5,1) + TIME(9,37,38)</f>
        <v>40664.401134259257</v>
      </c>
      <c r="C975">
        <v>80</v>
      </c>
      <c r="D975">
        <v>70.308799743999998</v>
      </c>
      <c r="E975">
        <v>50</v>
      </c>
      <c r="F975">
        <v>49.888687134000001</v>
      </c>
      <c r="G975">
        <v>1338.9350586</v>
      </c>
      <c r="H975">
        <v>1336.3142089999999</v>
      </c>
      <c r="I975">
        <v>1327.0308838000001</v>
      </c>
      <c r="J975">
        <v>1325.3236084</v>
      </c>
      <c r="K975">
        <v>2400</v>
      </c>
      <c r="L975">
        <v>0</v>
      </c>
      <c r="M975">
        <v>0</v>
      </c>
      <c r="N975">
        <v>2400</v>
      </c>
    </row>
    <row r="976" spans="1:14" x14ac:dyDescent="0.25">
      <c r="A976">
        <v>365.426827</v>
      </c>
      <c r="B976" s="1">
        <f>DATE(2011,5,1) + TIME(10,14,37)</f>
        <v>40664.426817129628</v>
      </c>
      <c r="C976">
        <v>80</v>
      </c>
      <c r="D976">
        <v>70.858039856000005</v>
      </c>
      <c r="E976">
        <v>50</v>
      </c>
      <c r="F976">
        <v>49.884922027999998</v>
      </c>
      <c r="G976">
        <v>1338.9943848</v>
      </c>
      <c r="H976">
        <v>1336.3717041</v>
      </c>
      <c r="I976">
        <v>1326.9993896000001</v>
      </c>
      <c r="J976">
        <v>1325.291626</v>
      </c>
      <c r="K976">
        <v>2400</v>
      </c>
      <c r="L976">
        <v>0</v>
      </c>
      <c r="M976">
        <v>0</v>
      </c>
      <c r="N976">
        <v>2400</v>
      </c>
    </row>
    <row r="977" spans="1:14" x14ac:dyDescent="0.25">
      <c r="A977">
        <v>365.45316400000002</v>
      </c>
      <c r="B977" s="1">
        <f>DATE(2011,5,1) + TIME(10,52,33)</f>
        <v>40664.453159722223</v>
      </c>
      <c r="C977">
        <v>80</v>
      </c>
      <c r="D977">
        <v>71.392303467000005</v>
      </c>
      <c r="E977">
        <v>50</v>
      </c>
      <c r="F977">
        <v>49.881099700999997</v>
      </c>
      <c r="G977">
        <v>1339.0523682</v>
      </c>
      <c r="H977">
        <v>1336.427124</v>
      </c>
      <c r="I977">
        <v>1326.9713135</v>
      </c>
      <c r="J977">
        <v>1325.2631836</v>
      </c>
      <c r="K977">
        <v>2400</v>
      </c>
      <c r="L977">
        <v>0</v>
      </c>
      <c r="M977">
        <v>0</v>
      </c>
      <c r="N977">
        <v>2400</v>
      </c>
    </row>
    <row r="978" spans="1:14" x14ac:dyDescent="0.25">
      <c r="A978">
        <v>365.48018000000002</v>
      </c>
      <c r="B978" s="1">
        <f>DATE(2011,5,1) + TIME(11,31,27)</f>
        <v>40664.480173611111</v>
      </c>
      <c r="C978">
        <v>80</v>
      </c>
      <c r="D978">
        <v>71.911300659000005</v>
      </c>
      <c r="E978">
        <v>50</v>
      </c>
      <c r="F978">
        <v>49.877212524000001</v>
      </c>
      <c r="G978">
        <v>1339.1090088000001</v>
      </c>
      <c r="H978">
        <v>1336.4805908000001</v>
      </c>
      <c r="I978">
        <v>1326.9464111</v>
      </c>
      <c r="J978">
        <v>1325.2379149999999</v>
      </c>
      <c r="K978">
        <v>2400</v>
      </c>
      <c r="L978">
        <v>0</v>
      </c>
      <c r="M978">
        <v>0</v>
      </c>
      <c r="N978">
        <v>2400</v>
      </c>
    </row>
    <row r="979" spans="1:14" x14ac:dyDescent="0.25">
      <c r="A979">
        <v>365.50791400000003</v>
      </c>
      <c r="B979" s="1">
        <f>DATE(2011,5,1) + TIME(12,11,23)</f>
        <v>40664.507905092592</v>
      </c>
      <c r="C979">
        <v>80</v>
      </c>
      <c r="D979">
        <v>72.414733886999997</v>
      </c>
      <c r="E979">
        <v>50</v>
      </c>
      <c r="F979">
        <v>49.873252868999998</v>
      </c>
      <c r="G979">
        <v>1339.1646728999999</v>
      </c>
      <c r="H979">
        <v>1336.5324707</v>
      </c>
      <c r="I979">
        <v>1326.9243164</v>
      </c>
      <c r="J979">
        <v>1325.2154541</v>
      </c>
      <c r="K979">
        <v>2400</v>
      </c>
      <c r="L979">
        <v>0</v>
      </c>
      <c r="M979">
        <v>0</v>
      </c>
      <c r="N979">
        <v>2400</v>
      </c>
    </row>
    <row r="980" spans="1:14" x14ac:dyDescent="0.25">
      <c r="A980">
        <v>365.53640300000001</v>
      </c>
      <c r="B980" s="1">
        <f>DATE(2011,5,1) + TIME(12,52,25)</f>
        <v>40664.536400462966</v>
      </c>
      <c r="C980">
        <v>80</v>
      </c>
      <c r="D980">
        <v>72.902320861999996</v>
      </c>
      <c r="E980">
        <v>50</v>
      </c>
      <c r="F980">
        <v>49.869224547999998</v>
      </c>
      <c r="G980">
        <v>1339.2193603999999</v>
      </c>
      <c r="H980">
        <v>1336.5828856999999</v>
      </c>
      <c r="I980">
        <v>1326.9049072</v>
      </c>
      <c r="J980">
        <v>1325.1956786999999</v>
      </c>
      <c r="K980">
        <v>2400</v>
      </c>
      <c r="L980">
        <v>0</v>
      </c>
      <c r="M980">
        <v>0</v>
      </c>
      <c r="N980">
        <v>2400</v>
      </c>
    </row>
    <row r="981" spans="1:14" x14ac:dyDescent="0.25">
      <c r="A981">
        <v>365.56569100000002</v>
      </c>
      <c r="B981" s="1">
        <f>DATE(2011,5,1) + TIME(13,34,35)</f>
        <v>40664.565682870372</v>
      </c>
      <c r="C981">
        <v>80</v>
      </c>
      <c r="D981">
        <v>73.373786925999994</v>
      </c>
      <c r="E981">
        <v>50</v>
      </c>
      <c r="F981">
        <v>49.865112304999997</v>
      </c>
      <c r="G981">
        <v>1339.2733154</v>
      </c>
      <c r="H981">
        <v>1336.6319579999999</v>
      </c>
      <c r="I981">
        <v>1326.8878173999999</v>
      </c>
      <c r="J981">
        <v>1325.1782227000001</v>
      </c>
      <c r="K981">
        <v>2400</v>
      </c>
      <c r="L981">
        <v>0</v>
      </c>
      <c r="M981">
        <v>0</v>
      </c>
      <c r="N981">
        <v>2400</v>
      </c>
    </row>
    <row r="982" spans="1:14" x14ac:dyDescent="0.25">
      <c r="A982">
        <v>365.59582399999999</v>
      </c>
      <c r="B982" s="1">
        <f>DATE(2011,5,1) + TIME(14,17,59)</f>
        <v>40664.595821759256</v>
      </c>
      <c r="C982">
        <v>80</v>
      </c>
      <c r="D982">
        <v>73.828872681000007</v>
      </c>
      <c r="E982">
        <v>50</v>
      </c>
      <c r="F982">
        <v>49.860919952000003</v>
      </c>
      <c r="G982">
        <v>1339.3265381000001</v>
      </c>
      <c r="H982">
        <v>1336.6796875</v>
      </c>
      <c r="I982">
        <v>1326.8729248</v>
      </c>
      <c r="J982">
        <v>1325.1629639</v>
      </c>
      <c r="K982">
        <v>2400</v>
      </c>
      <c r="L982">
        <v>0</v>
      </c>
      <c r="M982">
        <v>0</v>
      </c>
      <c r="N982">
        <v>2400</v>
      </c>
    </row>
    <row r="983" spans="1:14" x14ac:dyDescent="0.25">
      <c r="A983">
        <v>365.62684999999999</v>
      </c>
      <c r="B983" s="1">
        <f>DATE(2011,5,1) + TIME(15,2,39)</f>
        <v>40664.626840277779</v>
      </c>
      <c r="C983">
        <v>80</v>
      </c>
      <c r="D983">
        <v>74.267333984000004</v>
      </c>
      <c r="E983">
        <v>50</v>
      </c>
      <c r="F983">
        <v>49.856639862000002</v>
      </c>
      <c r="G983">
        <v>1339.3791504000001</v>
      </c>
      <c r="H983">
        <v>1336.7264404</v>
      </c>
      <c r="I983">
        <v>1326.8599853999999</v>
      </c>
      <c r="J983">
        <v>1325.1497803</v>
      </c>
      <c r="K983">
        <v>2400</v>
      </c>
      <c r="L983">
        <v>0</v>
      </c>
      <c r="M983">
        <v>0</v>
      </c>
      <c r="N983">
        <v>2400</v>
      </c>
    </row>
    <row r="984" spans="1:14" x14ac:dyDescent="0.25">
      <c r="A984">
        <v>365.65882499999998</v>
      </c>
      <c r="B984" s="1">
        <f>DATE(2011,5,1) + TIME(15,48,42)</f>
        <v>40664.658819444441</v>
      </c>
      <c r="C984">
        <v>80</v>
      </c>
      <c r="D984">
        <v>74.688957213999998</v>
      </c>
      <c r="E984">
        <v>50</v>
      </c>
      <c r="F984">
        <v>49.852264404000003</v>
      </c>
      <c r="G984">
        <v>1339.4311522999999</v>
      </c>
      <c r="H984">
        <v>1336.7720947</v>
      </c>
      <c r="I984">
        <v>1326.8488769999999</v>
      </c>
      <c r="J984">
        <v>1325.1384277</v>
      </c>
      <c r="K984">
        <v>2400</v>
      </c>
      <c r="L984">
        <v>0</v>
      </c>
      <c r="M984">
        <v>0</v>
      </c>
      <c r="N984">
        <v>2400</v>
      </c>
    </row>
    <row r="985" spans="1:14" x14ac:dyDescent="0.25">
      <c r="A985">
        <v>365.69182000000001</v>
      </c>
      <c r="B985" s="1">
        <f>DATE(2011,5,1) + TIME(16,36,13)</f>
        <v>40664.691817129627</v>
      </c>
      <c r="C985">
        <v>80</v>
      </c>
      <c r="D985">
        <v>75.093612671000002</v>
      </c>
      <c r="E985">
        <v>50</v>
      </c>
      <c r="F985">
        <v>49.847789763999998</v>
      </c>
      <c r="G985">
        <v>1339.4825439000001</v>
      </c>
      <c r="H985">
        <v>1336.8167725000001</v>
      </c>
      <c r="I985">
        <v>1326.8394774999999</v>
      </c>
      <c r="J985">
        <v>1325.1286620999999</v>
      </c>
      <c r="K985">
        <v>2400</v>
      </c>
      <c r="L985">
        <v>0</v>
      </c>
      <c r="M985">
        <v>0</v>
      </c>
      <c r="N985">
        <v>2400</v>
      </c>
    </row>
    <row r="986" spans="1:14" x14ac:dyDescent="0.25">
      <c r="A986">
        <v>365.72589299999999</v>
      </c>
      <c r="B986" s="1">
        <f>DATE(2011,5,1) + TIME(17,25,17)</f>
        <v>40664.725891203707</v>
      </c>
      <c r="C986">
        <v>80</v>
      </c>
      <c r="D986">
        <v>75.480880737000007</v>
      </c>
      <c r="E986">
        <v>50</v>
      </c>
      <c r="F986">
        <v>49.843204497999999</v>
      </c>
      <c r="G986">
        <v>1339.5334473</v>
      </c>
      <c r="H986">
        <v>1336.8604736</v>
      </c>
      <c r="I986">
        <v>1326.831543</v>
      </c>
      <c r="J986">
        <v>1325.1206055</v>
      </c>
      <c r="K986">
        <v>2400</v>
      </c>
      <c r="L986">
        <v>0</v>
      </c>
      <c r="M986">
        <v>0</v>
      </c>
      <c r="N986">
        <v>2400</v>
      </c>
    </row>
    <row r="987" spans="1:14" x14ac:dyDescent="0.25">
      <c r="A987">
        <v>365.76111200000003</v>
      </c>
      <c r="B987" s="1">
        <f>DATE(2011,5,1) + TIME(18,16,0)</f>
        <v>40664.761111111111</v>
      </c>
      <c r="C987">
        <v>80</v>
      </c>
      <c r="D987">
        <v>75.850776671999995</v>
      </c>
      <c r="E987">
        <v>50</v>
      </c>
      <c r="F987">
        <v>49.838508605999998</v>
      </c>
      <c r="G987">
        <v>1339.5838623</v>
      </c>
      <c r="H987">
        <v>1336.9033202999999</v>
      </c>
      <c r="I987">
        <v>1326.8249512</v>
      </c>
      <c r="J987">
        <v>1325.1137695</v>
      </c>
      <c r="K987">
        <v>2400</v>
      </c>
      <c r="L987">
        <v>0</v>
      </c>
      <c r="M987">
        <v>0</v>
      </c>
      <c r="N987">
        <v>2400</v>
      </c>
    </row>
    <row r="988" spans="1:14" x14ac:dyDescent="0.25">
      <c r="A988">
        <v>365.79755599999999</v>
      </c>
      <c r="B988" s="1">
        <f>DATE(2011,5,1) + TIME(19,8,28)</f>
        <v>40664.797546296293</v>
      </c>
      <c r="C988">
        <v>80</v>
      </c>
      <c r="D988">
        <v>76.203208923000005</v>
      </c>
      <c r="E988">
        <v>50</v>
      </c>
      <c r="F988">
        <v>49.833686829000001</v>
      </c>
      <c r="G988">
        <v>1339.6336670000001</v>
      </c>
      <c r="H988">
        <v>1336.9451904</v>
      </c>
      <c r="I988">
        <v>1326.8197021000001</v>
      </c>
      <c r="J988">
        <v>1325.1082764</v>
      </c>
      <c r="K988">
        <v>2400</v>
      </c>
      <c r="L988">
        <v>0</v>
      </c>
      <c r="M988">
        <v>0</v>
      </c>
      <c r="N988">
        <v>2400</v>
      </c>
    </row>
    <row r="989" spans="1:14" x14ac:dyDescent="0.25">
      <c r="A989">
        <v>365.83531199999999</v>
      </c>
      <c r="B989" s="1">
        <f>DATE(2011,5,1) + TIME(20,2,50)</f>
        <v>40664.835300925923</v>
      </c>
      <c r="C989">
        <v>80</v>
      </c>
      <c r="D989">
        <v>76.538093567000004</v>
      </c>
      <c r="E989">
        <v>50</v>
      </c>
      <c r="F989">
        <v>49.828735352000002</v>
      </c>
      <c r="G989">
        <v>1339.6829834</v>
      </c>
      <c r="H989">
        <v>1336.9863281</v>
      </c>
      <c r="I989">
        <v>1326.8155518000001</v>
      </c>
      <c r="J989">
        <v>1325.1038818</v>
      </c>
      <c r="K989">
        <v>2400</v>
      </c>
      <c r="L989">
        <v>0</v>
      </c>
      <c r="M989">
        <v>0</v>
      </c>
      <c r="N989">
        <v>2400</v>
      </c>
    </row>
    <row r="990" spans="1:14" x14ac:dyDescent="0.25">
      <c r="A990">
        <v>365.87447700000001</v>
      </c>
      <c r="B990" s="1">
        <f>DATE(2011,5,1) + TIME(20,59,14)</f>
        <v>40664.874467592592</v>
      </c>
      <c r="C990">
        <v>80</v>
      </c>
      <c r="D990">
        <v>76.855415343999994</v>
      </c>
      <c r="E990">
        <v>50</v>
      </c>
      <c r="F990">
        <v>49.823642731</v>
      </c>
      <c r="G990">
        <v>1339.7316894999999</v>
      </c>
      <c r="H990">
        <v>1337.0266113</v>
      </c>
      <c r="I990">
        <v>1326.8123779</v>
      </c>
      <c r="J990">
        <v>1325.1005858999999</v>
      </c>
      <c r="K990">
        <v>2400</v>
      </c>
      <c r="L990">
        <v>0</v>
      </c>
      <c r="M990">
        <v>0</v>
      </c>
      <c r="N990">
        <v>2400</v>
      </c>
    </row>
    <row r="991" spans="1:14" x14ac:dyDescent="0.25">
      <c r="A991">
        <v>365.91515800000002</v>
      </c>
      <c r="B991" s="1">
        <f>DATE(2011,5,1) + TIME(21,57,49)</f>
        <v>40664.915150462963</v>
      </c>
      <c r="C991">
        <v>80</v>
      </c>
      <c r="D991">
        <v>77.155189514</v>
      </c>
      <c r="E991">
        <v>50</v>
      </c>
      <c r="F991">
        <v>49.818401336999997</v>
      </c>
      <c r="G991">
        <v>1339.7799072</v>
      </c>
      <c r="H991">
        <v>1337.065918</v>
      </c>
      <c r="I991">
        <v>1326.8101807</v>
      </c>
      <c r="J991">
        <v>1325.0981445</v>
      </c>
      <c r="K991">
        <v>2400</v>
      </c>
      <c r="L991">
        <v>0</v>
      </c>
      <c r="M991">
        <v>0</v>
      </c>
      <c r="N991">
        <v>2400</v>
      </c>
    </row>
    <row r="992" spans="1:14" x14ac:dyDescent="0.25">
      <c r="A992">
        <v>365.95747699999998</v>
      </c>
      <c r="B992" s="1">
        <f>DATE(2011,5,1) + TIME(22,58,46)</f>
        <v>40664.957476851851</v>
      </c>
      <c r="C992">
        <v>80</v>
      </c>
      <c r="D992">
        <v>77.437469481999997</v>
      </c>
      <c r="E992">
        <v>50</v>
      </c>
      <c r="F992">
        <v>49.812995911000002</v>
      </c>
      <c r="G992">
        <v>1339.8275146000001</v>
      </c>
      <c r="H992">
        <v>1337.1044922000001</v>
      </c>
      <c r="I992">
        <v>1326.8087158000001</v>
      </c>
      <c r="J992">
        <v>1325.0965576000001</v>
      </c>
      <c r="K992">
        <v>2400</v>
      </c>
      <c r="L992">
        <v>0</v>
      </c>
      <c r="M992">
        <v>0</v>
      </c>
      <c r="N992">
        <v>2400</v>
      </c>
    </row>
    <row r="993" spans="1:14" x14ac:dyDescent="0.25">
      <c r="A993">
        <v>366.00157000000002</v>
      </c>
      <c r="B993" s="1">
        <f>DATE(2011,5,2) + TIME(0,2,15)</f>
        <v>40665.001562500001</v>
      </c>
      <c r="C993">
        <v>80</v>
      </c>
      <c r="D993">
        <v>77.702362061000002</v>
      </c>
      <c r="E993">
        <v>50</v>
      </c>
      <c r="F993">
        <v>49.807411193999997</v>
      </c>
      <c r="G993">
        <v>1339.8743896000001</v>
      </c>
      <c r="H993">
        <v>1337.1422118999999</v>
      </c>
      <c r="I993">
        <v>1326.8081055</v>
      </c>
      <c r="J993">
        <v>1325.0957031</v>
      </c>
      <c r="K993">
        <v>2400</v>
      </c>
      <c r="L993">
        <v>0</v>
      </c>
      <c r="M993">
        <v>0</v>
      </c>
      <c r="N993">
        <v>2400</v>
      </c>
    </row>
    <row r="994" spans="1:14" x14ac:dyDescent="0.25">
      <c r="A994">
        <v>366.04759100000001</v>
      </c>
      <c r="B994" s="1">
        <f>DATE(2011,5,2) + TIME(1,8,31)</f>
        <v>40665.047581018516</v>
      </c>
      <c r="C994">
        <v>80</v>
      </c>
      <c r="D994">
        <v>77.950027465999995</v>
      </c>
      <c r="E994">
        <v>50</v>
      </c>
      <c r="F994">
        <v>49.801635742000002</v>
      </c>
      <c r="G994">
        <v>1339.9207764</v>
      </c>
      <c r="H994">
        <v>1337.1790771000001</v>
      </c>
      <c r="I994">
        <v>1326.8079834</v>
      </c>
      <c r="J994">
        <v>1325.0954589999999</v>
      </c>
      <c r="K994">
        <v>2400</v>
      </c>
      <c r="L994">
        <v>0</v>
      </c>
      <c r="M994">
        <v>0</v>
      </c>
      <c r="N994">
        <v>2400</v>
      </c>
    </row>
    <row r="995" spans="1:14" x14ac:dyDescent="0.25">
      <c r="A995">
        <v>366.09572900000001</v>
      </c>
      <c r="B995" s="1">
        <f>DATE(2011,5,2) + TIME(2,17,50)</f>
        <v>40665.095717592594</v>
      </c>
      <c r="C995">
        <v>80</v>
      </c>
      <c r="D995">
        <v>78.180725097999996</v>
      </c>
      <c r="E995">
        <v>50</v>
      </c>
      <c r="F995">
        <v>49.795654296999999</v>
      </c>
      <c r="G995">
        <v>1339.9663086</v>
      </c>
      <c r="H995">
        <v>1337.2150879000001</v>
      </c>
      <c r="I995">
        <v>1326.8085937999999</v>
      </c>
      <c r="J995">
        <v>1325.0958252</v>
      </c>
      <c r="K995">
        <v>2400</v>
      </c>
      <c r="L995">
        <v>0</v>
      </c>
      <c r="M995">
        <v>0</v>
      </c>
      <c r="N995">
        <v>2400</v>
      </c>
    </row>
    <row r="996" spans="1:14" x14ac:dyDescent="0.25">
      <c r="A996">
        <v>366.14618300000001</v>
      </c>
      <c r="B996" s="1">
        <f>DATE(2011,5,2) + TIME(3,30,30)</f>
        <v>40665.146180555559</v>
      </c>
      <c r="C996">
        <v>80</v>
      </c>
      <c r="D996">
        <v>78.394683838000006</v>
      </c>
      <c r="E996">
        <v>50</v>
      </c>
      <c r="F996">
        <v>49.789440155000001</v>
      </c>
      <c r="G996">
        <v>1340.0112305</v>
      </c>
      <c r="H996">
        <v>1337.2503661999999</v>
      </c>
      <c r="I996">
        <v>1326.8095702999999</v>
      </c>
      <c r="J996">
        <v>1325.0965576000001</v>
      </c>
      <c r="K996">
        <v>2400</v>
      </c>
      <c r="L996">
        <v>0</v>
      </c>
      <c r="M996">
        <v>0</v>
      </c>
      <c r="N996">
        <v>2400</v>
      </c>
    </row>
    <row r="997" spans="1:14" x14ac:dyDescent="0.25">
      <c r="A997">
        <v>366.19887199999999</v>
      </c>
      <c r="B997" s="1">
        <f>DATE(2011,5,2) + TIME(4,46,22)</f>
        <v>40665.198865740742</v>
      </c>
      <c r="C997">
        <v>80</v>
      </c>
      <c r="D997">
        <v>78.591178893999995</v>
      </c>
      <c r="E997">
        <v>50</v>
      </c>
      <c r="F997">
        <v>49.783012390000003</v>
      </c>
      <c r="G997">
        <v>1340.0554199000001</v>
      </c>
      <c r="H997">
        <v>1337.284668</v>
      </c>
      <c r="I997">
        <v>1326.8109131000001</v>
      </c>
      <c r="J997">
        <v>1325.0977783000001</v>
      </c>
      <c r="K997">
        <v>2400</v>
      </c>
      <c r="L997">
        <v>0</v>
      </c>
      <c r="M997">
        <v>0</v>
      </c>
      <c r="N997">
        <v>2400</v>
      </c>
    </row>
    <row r="998" spans="1:14" x14ac:dyDescent="0.25">
      <c r="A998">
        <v>366.25398000000001</v>
      </c>
      <c r="B998" s="1">
        <f>DATE(2011,5,2) + TIME(6,5,43)</f>
        <v>40665.253969907404</v>
      </c>
      <c r="C998">
        <v>80</v>
      </c>
      <c r="D998">
        <v>78.770713806000003</v>
      </c>
      <c r="E998">
        <v>50</v>
      </c>
      <c r="F998">
        <v>49.776351929</v>
      </c>
      <c r="G998">
        <v>1340.0985106999999</v>
      </c>
      <c r="H998">
        <v>1337.3179932</v>
      </c>
      <c r="I998">
        <v>1326.8125</v>
      </c>
      <c r="J998">
        <v>1325.0992432</v>
      </c>
      <c r="K998">
        <v>2400</v>
      </c>
      <c r="L998">
        <v>0</v>
      </c>
      <c r="M998">
        <v>0</v>
      </c>
      <c r="N998">
        <v>2400</v>
      </c>
    </row>
    <row r="999" spans="1:14" x14ac:dyDescent="0.25">
      <c r="A999">
        <v>366.31171000000001</v>
      </c>
      <c r="B999" s="1">
        <f>DATE(2011,5,2) + TIME(7,28,51)</f>
        <v>40665.311701388891</v>
      </c>
      <c r="C999">
        <v>80</v>
      </c>
      <c r="D999">
        <v>78.933853149000001</v>
      </c>
      <c r="E999">
        <v>50</v>
      </c>
      <c r="F999">
        <v>49.769439697000003</v>
      </c>
      <c r="G999">
        <v>1340.1405029</v>
      </c>
      <c r="H999">
        <v>1337.3502197</v>
      </c>
      <c r="I999">
        <v>1326.8144531</v>
      </c>
      <c r="J999">
        <v>1325.1009521000001</v>
      </c>
      <c r="K999">
        <v>2400</v>
      </c>
      <c r="L999">
        <v>0</v>
      </c>
      <c r="M999">
        <v>0</v>
      </c>
      <c r="N999">
        <v>2400</v>
      </c>
    </row>
    <row r="1000" spans="1:14" x14ac:dyDescent="0.25">
      <c r="A1000">
        <v>366.37229200000002</v>
      </c>
      <c r="B1000" s="1">
        <f>DATE(2011,5,2) + TIME(8,56,6)</f>
        <v>40665.372291666667</v>
      </c>
      <c r="C1000">
        <v>80</v>
      </c>
      <c r="D1000">
        <v>79.081230164000004</v>
      </c>
      <c r="E1000">
        <v>50</v>
      </c>
      <c r="F1000">
        <v>49.762256622000002</v>
      </c>
      <c r="G1000">
        <v>1340.1812743999999</v>
      </c>
      <c r="H1000">
        <v>1337.3814697</v>
      </c>
      <c r="I1000">
        <v>1326.8165283000001</v>
      </c>
      <c r="J1000">
        <v>1325.1027832</v>
      </c>
      <c r="K1000">
        <v>2400</v>
      </c>
      <c r="L1000">
        <v>0</v>
      </c>
      <c r="M1000">
        <v>0</v>
      </c>
      <c r="N1000">
        <v>2400</v>
      </c>
    </row>
    <row r="1001" spans="1:14" x14ac:dyDescent="0.25">
      <c r="A1001">
        <v>366.43600700000002</v>
      </c>
      <c r="B1001" s="1">
        <f>DATE(2011,5,2) + TIME(10,27,51)</f>
        <v>40665.436006944445</v>
      </c>
      <c r="C1001">
        <v>80</v>
      </c>
      <c r="D1001">
        <v>79.213554381999998</v>
      </c>
      <c r="E1001">
        <v>50</v>
      </c>
      <c r="F1001">
        <v>49.754776001000003</v>
      </c>
      <c r="G1001">
        <v>1340.2209473</v>
      </c>
      <c r="H1001">
        <v>1337.411499</v>
      </c>
      <c r="I1001">
        <v>1326.8186035000001</v>
      </c>
      <c r="J1001">
        <v>1325.1048584</v>
      </c>
      <c r="K1001">
        <v>2400</v>
      </c>
      <c r="L1001">
        <v>0</v>
      </c>
      <c r="M1001">
        <v>0</v>
      </c>
      <c r="N1001">
        <v>2400</v>
      </c>
    </row>
    <row r="1002" spans="1:14" x14ac:dyDescent="0.25">
      <c r="A1002">
        <v>366.501621</v>
      </c>
      <c r="B1002" s="1">
        <f>DATE(2011,5,2) + TIME(12,2,20)</f>
        <v>40665.501620370371</v>
      </c>
      <c r="C1002">
        <v>80</v>
      </c>
      <c r="D1002">
        <v>79.329284668</v>
      </c>
      <c r="E1002">
        <v>50</v>
      </c>
      <c r="F1002">
        <v>49.747135161999999</v>
      </c>
      <c r="G1002">
        <v>1340.2595214999999</v>
      </c>
      <c r="H1002">
        <v>1337.4404297000001</v>
      </c>
      <c r="I1002">
        <v>1326.8208007999999</v>
      </c>
      <c r="J1002">
        <v>1325.1068115</v>
      </c>
      <c r="K1002">
        <v>2400</v>
      </c>
      <c r="L1002">
        <v>0</v>
      </c>
      <c r="M1002">
        <v>0</v>
      </c>
      <c r="N1002">
        <v>2400</v>
      </c>
    </row>
    <row r="1003" spans="1:14" x14ac:dyDescent="0.25">
      <c r="A1003">
        <v>366.56739399999998</v>
      </c>
      <c r="B1003" s="1">
        <f>DATE(2011,5,2) + TIME(13,37,2)</f>
        <v>40665.567384259259</v>
      </c>
      <c r="C1003">
        <v>80</v>
      </c>
      <c r="D1003">
        <v>79.427696228000002</v>
      </c>
      <c r="E1003">
        <v>50</v>
      </c>
      <c r="F1003">
        <v>49.739528655999997</v>
      </c>
      <c r="G1003">
        <v>1340.2961425999999</v>
      </c>
      <c r="H1003">
        <v>1337.4677733999999</v>
      </c>
      <c r="I1003">
        <v>1326.822876</v>
      </c>
      <c r="J1003">
        <v>1325.1087646000001</v>
      </c>
      <c r="K1003">
        <v>2400</v>
      </c>
      <c r="L1003">
        <v>0</v>
      </c>
      <c r="M1003">
        <v>0</v>
      </c>
      <c r="N1003">
        <v>2400</v>
      </c>
    </row>
    <row r="1004" spans="1:14" x14ac:dyDescent="0.25">
      <c r="A1004">
        <v>366.63354299999997</v>
      </c>
      <c r="B1004" s="1">
        <f>DATE(2011,5,2) + TIME(15,12,18)</f>
        <v>40665.63354166667</v>
      </c>
      <c r="C1004">
        <v>80</v>
      </c>
      <c r="D1004">
        <v>79.511505127000007</v>
      </c>
      <c r="E1004">
        <v>50</v>
      </c>
      <c r="F1004">
        <v>49.731925963999998</v>
      </c>
      <c r="G1004">
        <v>1340.3297118999999</v>
      </c>
      <c r="H1004">
        <v>1337.4927978999999</v>
      </c>
      <c r="I1004">
        <v>1326.8248291</v>
      </c>
      <c r="J1004">
        <v>1325.1104736</v>
      </c>
      <c r="K1004">
        <v>2400</v>
      </c>
      <c r="L1004">
        <v>0</v>
      </c>
      <c r="M1004">
        <v>0</v>
      </c>
      <c r="N1004">
        <v>2400</v>
      </c>
    </row>
    <row r="1005" spans="1:14" x14ac:dyDescent="0.25">
      <c r="A1005">
        <v>366.70022299999999</v>
      </c>
      <c r="B1005" s="1">
        <f>DATE(2011,5,2) + TIME(16,48,19)</f>
        <v>40665.700219907405</v>
      </c>
      <c r="C1005">
        <v>80</v>
      </c>
      <c r="D1005">
        <v>79.582885742000002</v>
      </c>
      <c r="E1005">
        <v>50</v>
      </c>
      <c r="F1005">
        <v>49.724311829000001</v>
      </c>
      <c r="G1005">
        <v>1340.3607178</v>
      </c>
      <c r="H1005">
        <v>1337.5158690999999</v>
      </c>
      <c r="I1005">
        <v>1326.8266602000001</v>
      </c>
      <c r="J1005">
        <v>1325.1121826000001</v>
      </c>
      <c r="K1005">
        <v>2400</v>
      </c>
      <c r="L1005">
        <v>0</v>
      </c>
      <c r="M1005">
        <v>0</v>
      </c>
      <c r="N1005">
        <v>2400</v>
      </c>
    </row>
    <row r="1006" spans="1:14" x14ac:dyDescent="0.25">
      <c r="A1006">
        <v>366.76759099999998</v>
      </c>
      <c r="B1006" s="1">
        <f>DATE(2011,5,2) + TIME(18,25,19)</f>
        <v>40665.767581018517</v>
      </c>
      <c r="C1006">
        <v>80</v>
      </c>
      <c r="D1006">
        <v>79.643692017000006</v>
      </c>
      <c r="E1006">
        <v>50</v>
      </c>
      <c r="F1006">
        <v>49.716670989999997</v>
      </c>
      <c r="G1006">
        <v>1340.3891602000001</v>
      </c>
      <c r="H1006">
        <v>1337.5369873</v>
      </c>
      <c r="I1006">
        <v>1326.8283690999999</v>
      </c>
      <c r="J1006">
        <v>1325.1137695</v>
      </c>
      <c r="K1006">
        <v>2400</v>
      </c>
      <c r="L1006">
        <v>0</v>
      </c>
      <c r="M1006">
        <v>0</v>
      </c>
      <c r="N1006">
        <v>2400</v>
      </c>
    </row>
    <row r="1007" spans="1:14" x14ac:dyDescent="0.25">
      <c r="A1007">
        <v>366.83582200000001</v>
      </c>
      <c r="B1007" s="1">
        <f>DATE(2011,5,2) + TIME(20,3,35)</f>
        <v>40665.835821759261</v>
      </c>
      <c r="C1007">
        <v>80</v>
      </c>
      <c r="D1007">
        <v>79.695480347</v>
      </c>
      <c r="E1007">
        <v>50</v>
      </c>
      <c r="F1007">
        <v>49.708976745999998</v>
      </c>
      <c r="G1007">
        <v>1340.4152832</v>
      </c>
      <c r="H1007">
        <v>1337.5563964999999</v>
      </c>
      <c r="I1007">
        <v>1326.8299560999999</v>
      </c>
      <c r="J1007">
        <v>1325.1151123</v>
      </c>
      <c r="K1007">
        <v>2400</v>
      </c>
      <c r="L1007">
        <v>0</v>
      </c>
      <c r="M1007">
        <v>0</v>
      </c>
      <c r="N1007">
        <v>2400</v>
      </c>
    </row>
    <row r="1008" spans="1:14" x14ac:dyDescent="0.25">
      <c r="A1008">
        <v>366.90504900000002</v>
      </c>
      <c r="B1008" s="1">
        <f>DATE(2011,5,2) + TIME(21,43,16)</f>
        <v>40665.905046296299</v>
      </c>
      <c r="C1008">
        <v>80</v>
      </c>
      <c r="D1008">
        <v>79.739540099999999</v>
      </c>
      <c r="E1008">
        <v>50</v>
      </c>
      <c r="F1008">
        <v>49.701225280999999</v>
      </c>
      <c r="G1008">
        <v>1340.4394531</v>
      </c>
      <c r="H1008">
        <v>1337.5743408000001</v>
      </c>
      <c r="I1008">
        <v>1326.8312988</v>
      </c>
      <c r="J1008">
        <v>1325.1163329999999</v>
      </c>
      <c r="K1008">
        <v>2400</v>
      </c>
      <c r="L1008">
        <v>0</v>
      </c>
      <c r="M1008">
        <v>0</v>
      </c>
      <c r="N1008">
        <v>2400</v>
      </c>
    </row>
    <row r="1009" spans="1:14" x14ac:dyDescent="0.25">
      <c r="A1009">
        <v>366.975437</v>
      </c>
      <c r="B1009" s="1">
        <f>DATE(2011,5,2) + TIME(23,24,37)</f>
        <v>40665.975428240738</v>
      </c>
      <c r="C1009">
        <v>80</v>
      </c>
      <c r="D1009">
        <v>79.776985167999996</v>
      </c>
      <c r="E1009">
        <v>50</v>
      </c>
      <c r="F1009">
        <v>49.693393706999998</v>
      </c>
      <c r="G1009">
        <v>1340.4617920000001</v>
      </c>
      <c r="H1009">
        <v>1337.5909423999999</v>
      </c>
      <c r="I1009">
        <v>1326.8325195</v>
      </c>
      <c r="J1009">
        <v>1325.1174315999999</v>
      </c>
      <c r="K1009">
        <v>2400</v>
      </c>
      <c r="L1009">
        <v>0</v>
      </c>
      <c r="M1009">
        <v>0</v>
      </c>
      <c r="N1009">
        <v>2400</v>
      </c>
    </row>
    <row r="1010" spans="1:14" x14ac:dyDescent="0.25">
      <c r="A1010">
        <v>367.04715599999997</v>
      </c>
      <c r="B1010" s="1">
        <f>DATE(2011,5,3) + TIME(1,7,54)</f>
        <v>40666.047152777777</v>
      </c>
      <c r="C1010">
        <v>80</v>
      </c>
      <c r="D1010">
        <v>79.808776855000005</v>
      </c>
      <c r="E1010">
        <v>50</v>
      </c>
      <c r="F1010">
        <v>49.685462952000002</v>
      </c>
      <c r="G1010">
        <v>1340.4821777</v>
      </c>
      <c r="H1010">
        <v>1337.6062012</v>
      </c>
      <c r="I1010">
        <v>1326.8336182</v>
      </c>
      <c r="J1010">
        <v>1325.1184082</v>
      </c>
      <c r="K1010">
        <v>2400</v>
      </c>
      <c r="L1010">
        <v>0</v>
      </c>
      <c r="M1010">
        <v>0</v>
      </c>
      <c r="N1010">
        <v>2400</v>
      </c>
    </row>
    <row r="1011" spans="1:14" x14ac:dyDescent="0.25">
      <c r="A1011">
        <v>367.120453</v>
      </c>
      <c r="B1011" s="1">
        <f>DATE(2011,5,3) + TIME(2,53,27)</f>
        <v>40666.120451388888</v>
      </c>
      <c r="C1011">
        <v>80</v>
      </c>
      <c r="D1011">
        <v>79.835731506000002</v>
      </c>
      <c r="E1011">
        <v>50</v>
      </c>
      <c r="F1011">
        <v>49.677410125999998</v>
      </c>
      <c r="G1011">
        <v>1340.5009766000001</v>
      </c>
      <c r="H1011">
        <v>1337.6202393000001</v>
      </c>
      <c r="I1011">
        <v>1326.8345947</v>
      </c>
      <c r="J1011">
        <v>1325.1191406</v>
      </c>
      <c r="K1011">
        <v>2400</v>
      </c>
      <c r="L1011">
        <v>0</v>
      </c>
      <c r="M1011">
        <v>0</v>
      </c>
      <c r="N1011">
        <v>2400</v>
      </c>
    </row>
    <row r="1012" spans="1:14" x14ac:dyDescent="0.25">
      <c r="A1012">
        <v>367.19554599999998</v>
      </c>
      <c r="B1012" s="1">
        <f>DATE(2011,5,3) + TIME(4,41,35)</f>
        <v>40666.195543981485</v>
      </c>
      <c r="C1012">
        <v>80</v>
      </c>
      <c r="D1012">
        <v>79.858558654999996</v>
      </c>
      <c r="E1012">
        <v>50</v>
      </c>
      <c r="F1012">
        <v>49.669219970999997</v>
      </c>
      <c r="G1012">
        <v>1340.5181885</v>
      </c>
      <c r="H1012">
        <v>1337.6331786999999</v>
      </c>
      <c r="I1012">
        <v>1326.8354492000001</v>
      </c>
      <c r="J1012">
        <v>1325.1198730000001</v>
      </c>
      <c r="K1012">
        <v>2400</v>
      </c>
      <c r="L1012">
        <v>0</v>
      </c>
      <c r="M1012">
        <v>0</v>
      </c>
      <c r="N1012">
        <v>2400</v>
      </c>
    </row>
    <row r="1013" spans="1:14" x14ac:dyDescent="0.25">
      <c r="A1013">
        <v>367.27266100000003</v>
      </c>
      <c r="B1013" s="1">
        <f>DATE(2011,5,3) + TIME(6,32,37)</f>
        <v>40666.272650462961</v>
      </c>
      <c r="C1013">
        <v>80</v>
      </c>
      <c r="D1013">
        <v>79.877830505000006</v>
      </c>
      <c r="E1013">
        <v>50</v>
      </c>
      <c r="F1013">
        <v>49.660861969000003</v>
      </c>
      <c r="G1013">
        <v>1340.5339355000001</v>
      </c>
      <c r="H1013">
        <v>1337.6451416</v>
      </c>
      <c r="I1013">
        <v>1326.8361815999999</v>
      </c>
      <c r="J1013">
        <v>1325.1204834</v>
      </c>
      <c r="K1013">
        <v>2400</v>
      </c>
      <c r="L1013">
        <v>0</v>
      </c>
      <c r="M1013">
        <v>0</v>
      </c>
      <c r="N1013">
        <v>2400</v>
      </c>
    </row>
    <row r="1014" spans="1:14" x14ac:dyDescent="0.25">
      <c r="A1014">
        <v>367.35191700000001</v>
      </c>
      <c r="B1014" s="1">
        <f>DATE(2011,5,3) + TIME(8,26,45)</f>
        <v>40666.351909722223</v>
      </c>
      <c r="C1014">
        <v>80</v>
      </c>
      <c r="D1014">
        <v>79.894035338999998</v>
      </c>
      <c r="E1014">
        <v>50</v>
      </c>
      <c r="F1014">
        <v>49.652328490999999</v>
      </c>
      <c r="G1014">
        <v>1340.5483397999999</v>
      </c>
      <c r="H1014">
        <v>1337.6560059000001</v>
      </c>
      <c r="I1014">
        <v>1326.8367920000001</v>
      </c>
      <c r="J1014">
        <v>1325.1208495999999</v>
      </c>
      <c r="K1014">
        <v>2400</v>
      </c>
      <c r="L1014">
        <v>0</v>
      </c>
      <c r="M1014">
        <v>0</v>
      </c>
      <c r="N1014">
        <v>2400</v>
      </c>
    </row>
    <row r="1015" spans="1:14" x14ac:dyDescent="0.25">
      <c r="A1015">
        <v>367.43211100000002</v>
      </c>
      <c r="B1015" s="1">
        <f>DATE(2011,5,3) + TIME(10,22,14)</f>
        <v>40666.432106481479</v>
      </c>
      <c r="C1015">
        <v>80</v>
      </c>
      <c r="D1015">
        <v>79.907440186000002</v>
      </c>
      <c r="E1015">
        <v>50</v>
      </c>
      <c r="F1015">
        <v>49.643737793</v>
      </c>
      <c r="G1015">
        <v>1340.5616454999999</v>
      </c>
      <c r="H1015">
        <v>1337.6661377</v>
      </c>
      <c r="I1015">
        <v>1326.8371582</v>
      </c>
      <c r="J1015">
        <v>1325.1212158000001</v>
      </c>
      <c r="K1015">
        <v>2400</v>
      </c>
      <c r="L1015">
        <v>0</v>
      </c>
      <c r="M1015">
        <v>0</v>
      </c>
      <c r="N1015">
        <v>2400</v>
      </c>
    </row>
    <row r="1016" spans="1:14" x14ac:dyDescent="0.25">
      <c r="A1016">
        <v>367.513419</v>
      </c>
      <c r="B1016" s="1">
        <f>DATE(2011,5,3) + TIME(12,19,19)</f>
        <v>40666.513414351852</v>
      </c>
      <c r="C1016">
        <v>80</v>
      </c>
      <c r="D1016">
        <v>79.918510436999995</v>
      </c>
      <c r="E1016">
        <v>50</v>
      </c>
      <c r="F1016">
        <v>49.63507843</v>
      </c>
      <c r="G1016">
        <v>1340.5733643000001</v>
      </c>
      <c r="H1016">
        <v>1337.675293</v>
      </c>
      <c r="I1016">
        <v>1326.8375243999999</v>
      </c>
      <c r="J1016">
        <v>1325.1213379000001</v>
      </c>
      <c r="K1016">
        <v>2400</v>
      </c>
      <c r="L1016">
        <v>0</v>
      </c>
      <c r="M1016">
        <v>0</v>
      </c>
      <c r="N1016">
        <v>2400</v>
      </c>
    </row>
    <row r="1017" spans="1:14" x14ac:dyDescent="0.25">
      <c r="A1017">
        <v>367.59598199999999</v>
      </c>
      <c r="B1017" s="1">
        <f>DATE(2011,5,3) + TIME(14,18,12)</f>
        <v>40666.595972222225</v>
      </c>
      <c r="C1017">
        <v>80</v>
      </c>
      <c r="D1017">
        <v>79.927650451999995</v>
      </c>
      <c r="E1017">
        <v>50</v>
      </c>
      <c r="F1017">
        <v>49.626331329000003</v>
      </c>
      <c r="G1017">
        <v>1340.5836182</v>
      </c>
      <c r="H1017">
        <v>1337.6833495999999</v>
      </c>
      <c r="I1017">
        <v>1326.8377685999999</v>
      </c>
      <c r="J1017">
        <v>1325.1214600000001</v>
      </c>
      <c r="K1017">
        <v>2400</v>
      </c>
      <c r="L1017">
        <v>0</v>
      </c>
      <c r="M1017">
        <v>0</v>
      </c>
      <c r="N1017">
        <v>2400</v>
      </c>
    </row>
    <row r="1018" spans="1:14" x14ac:dyDescent="0.25">
      <c r="A1018">
        <v>367.67996099999999</v>
      </c>
      <c r="B1018" s="1">
        <f>DATE(2011,5,3) + TIME(16,19,8)</f>
        <v>40666.6799537037</v>
      </c>
      <c r="C1018">
        <v>80</v>
      </c>
      <c r="D1018">
        <v>79.935188292999996</v>
      </c>
      <c r="E1018">
        <v>50</v>
      </c>
      <c r="F1018">
        <v>49.617485045999999</v>
      </c>
      <c r="G1018">
        <v>1340.5927733999999</v>
      </c>
      <c r="H1018">
        <v>1337.6906738</v>
      </c>
      <c r="I1018">
        <v>1326.8378906</v>
      </c>
      <c r="J1018">
        <v>1325.1213379000001</v>
      </c>
      <c r="K1018">
        <v>2400</v>
      </c>
      <c r="L1018">
        <v>0</v>
      </c>
      <c r="M1018">
        <v>0</v>
      </c>
      <c r="N1018">
        <v>2400</v>
      </c>
    </row>
    <row r="1019" spans="1:14" x14ac:dyDescent="0.25">
      <c r="A1019">
        <v>367.76553200000001</v>
      </c>
      <c r="B1019" s="1">
        <f>DATE(2011,5,3) + TIME(18,22,21)</f>
        <v>40666.765520833331</v>
      </c>
      <c r="C1019">
        <v>80</v>
      </c>
      <c r="D1019">
        <v>79.941390991000006</v>
      </c>
      <c r="E1019">
        <v>50</v>
      </c>
      <c r="F1019">
        <v>49.608516692999999</v>
      </c>
      <c r="G1019">
        <v>1340.5992432</v>
      </c>
      <c r="H1019">
        <v>1337.6961670000001</v>
      </c>
      <c r="I1019">
        <v>1326.8378906</v>
      </c>
      <c r="J1019">
        <v>1325.1213379000001</v>
      </c>
      <c r="K1019">
        <v>2400</v>
      </c>
      <c r="L1019">
        <v>0</v>
      </c>
      <c r="M1019">
        <v>0</v>
      </c>
      <c r="N1019">
        <v>2400</v>
      </c>
    </row>
    <row r="1020" spans="1:14" x14ac:dyDescent="0.25">
      <c r="A1020">
        <v>367.85287</v>
      </c>
      <c r="B1020" s="1">
        <f>DATE(2011,5,3) + TIME(20,28,7)</f>
        <v>40666.852858796294</v>
      </c>
      <c r="C1020">
        <v>80</v>
      </c>
      <c r="D1020">
        <v>79.946495056000003</v>
      </c>
      <c r="E1020">
        <v>50</v>
      </c>
      <c r="F1020">
        <v>49.599418640000003</v>
      </c>
      <c r="G1020">
        <v>1340.604126</v>
      </c>
      <c r="H1020">
        <v>1337.7006836</v>
      </c>
      <c r="I1020">
        <v>1326.8378906</v>
      </c>
      <c r="J1020">
        <v>1325.1210937999999</v>
      </c>
      <c r="K1020">
        <v>2400</v>
      </c>
      <c r="L1020">
        <v>0</v>
      </c>
      <c r="M1020">
        <v>0</v>
      </c>
      <c r="N1020">
        <v>2400</v>
      </c>
    </row>
    <row r="1021" spans="1:14" x14ac:dyDescent="0.25">
      <c r="A1021">
        <v>367.94216899999998</v>
      </c>
      <c r="B1021" s="1">
        <f>DATE(2011,5,3) + TIME(22,36,43)</f>
        <v>40666.942164351851</v>
      </c>
      <c r="C1021">
        <v>80</v>
      </c>
      <c r="D1021">
        <v>79.950683593999997</v>
      </c>
      <c r="E1021">
        <v>50</v>
      </c>
      <c r="F1021">
        <v>49.590164184999999</v>
      </c>
      <c r="G1021">
        <v>1340.6081543</v>
      </c>
      <c r="H1021">
        <v>1337.7044678</v>
      </c>
      <c r="I1021">
        <v>1326.8377685999999</v>
      </c>
      <c r="J1021">
        <v>1325.1208495999999</v>
      </c>
      <c r="K1021">
        <v>2400</v>
      </c>
      <c r="L1021">
        <v>0</v>
      </c>
      <c r="M1021">
        <v>0</v>
      </c>
      <c r="N1021">
        <v>2400</v>
      </c>
    </row>
    <row r="1022" spans="1:14" x14ac:dyDescent="0.25">
      <c r="A1022">
        <v>368.03362499999997</v>
      </c>
      <c r="B1022" s="1">
        <f>DATE(2011,5,4) + TIME(0,48,25)</f>
        <v>40667.033622685187</v>
      </c>
      <c r="C1022">
        <v>80</v>
      </c>
      <c r="D1022">
        <v>79.954109192000004</v>
      </c>
      <c r="E1022">
        <v>50</v>
      </c>
      <c r="F1022">
        <v>49.580741881999998</v>
      </c>
      <c r="G1022">
        <v>1340.6113281</v>
      </c>
      <c r="H1022">
        <v>1337.7077637</v>
      </c>
      <c r="I1022">
        <v>1326.8375243999999</v>
      </c>
      <c r="J1022">
        <v>1325.1204834</v>
      </c>
      <c r="K1022">
        <v>2400</v>
      </c>
      <c r="L1022">
        <v>0</v>
      </c>
      <c r="M1022">
        <v>0</v>
      </c>
      <c r="N1022">
        <v>2400</v>
      </c>
    </row>
    <row r="1023" spans="1:14" x14ac:dyDescent="0.25">
      <c r="A1023">
        <v>368.127453</v>
      </c>
      <c r="B1023" s="1">
        <f>DATE(2011,5,4) + TIME(3,3,31)</f>
        <v>40667.127442129633</v>
      </c>
      <c r="C1023">
        <v>80</v>
      </c>
      <c r="D1023">
        <v>79.956916809000006</v>
      </c>
      <c r="E1023">
        <v>50</v>
      </c>
      <c r="F1023">
        <v>49.571132660000004</v>
      </c>
      <c r="G1023">
        <v>1340.6137695</v>
      </c>
      <c r="H1023">
        <v>1337.7105713000001</v>
      </c>
      <c r="I1023">
        <v>1326.8372803</v>
      </c>
      <c r="J1023">
        <v>1325.1199951000001</v>
      </c>
      <c r="K1023">
        <v>2400</v>
      </c>
      <c r="L1023">
        <v>0</v>
      </c>
      <c r="M1023">
        <v>0</v>
      </c>
      <c r="N1023">
        <v>2400</v>
      </c>
    </row>
    <row r="1024" spans="1:14" x14ac:dyDescent="0.25">
      <c r="A1024">
        <v>368.22388799999999</v>
      </c>
      <c r="B1024" s="1">
        <f>DATE(2011,5,4) + TIME(5,22,23)</f>
        <v>40667.223877314813</v>
      </c>
      <c r="C1024">
        <v>80</v>
      </c>
      <c r="D1024">
        <v>79.959213257000002</v>
      </c>
      <c r="E1024">
        <v>50</v>
      </c>
      <c r="F1024">
        <v>49.561313628999997</v>
      </c>
      <c r="G1024">
        <v>1340.6154785000001</v>
      </c>
      <c r="H1024">
        <v>1337.7130127</v>
      </c>
      <c r="I1024">
        <v>1326.8369141000001</v>
      </c>
      <c r="J1024">
        <v>1325.1195068</v>
      </c>
      <c r="K1024">
        <v>2400</v>
      </c>
      <c r="L1024">
        <v>0</v>
      </c>
      <c r="M1024">
        <v>0</v>
      </c>
      <c r="N1024">
        <v>2400</v>
      </c>
    </row>
    <row r="1025" spans="1:14" x14ac:dyDescent="0.25">
      <c r="A1025">
        <v>368.32319000000001</v>
      </c>
      <c r="B1025" s="1">
        <f>DATE(2011,5,4) + TIME(7,45,23)</f>
        <v>40667.323182870372</v>
      </c>
      <c r="C1025">
        <v>80</v>
      </c>
      <c r="D1025">
        <v>79.961074828999998</v>
      </c>
      <c r="E1025">
        <v>50</v>
      </c>
      <c r="F1025">
        <v>49.551265717</v>
      </c>
      <c r="G1025">
        <v>1340.6164550999999</v>
      </c>
      <c r="H1025">
        <v>1337.7148437999999</v>
      </c>
      <c r="I1025">
        <v>1326.8365478999999</v>
      </c>
      <c r="J1025">
        <v>1325.1190185999999</v>
      </c>
      <c r="K1025">
        <v>2400</v>
      </c>
      <c r="L1025">
        <v>0</v>
      </c>
      <c r="M1025">
        <v>0</v>
      </c>
      <c r="N1025">
        <v>2400</v>
      </c>
    </row>
    <row r="1026" spans="1:14" x14ac:dyDescent="0.25">
      <c r="A1026">
        <v>368.42569500000002</v>
      </c>
      <c r="B1026" s="1">
        <f>DATE(2011,5,4) + TIME(10,13,0)</f>
        <v>40667.425694444442</v>
      </c>
      <c r="C1026">
        <v>80</v>
      </c>
      <c r="D1026">
        <v>79.962593079000001</v>
      </c>
      <c r="E1026">
        <v>50</v>
      </c>
      <c r="F1026">
        <v>49.540958404999998</v>
      </c>
      <c r="G1026">
        <v>1340.6166992000001</v>
      </c>
      <c r="H1026">
        <v>1337.7163086</v>
      </c>
      <c r="I1026">
        <v>1326.8360596</v>
      </c>
      <c r="J1026">
        <v>1325.1184082</v>
      </c>
      <c r="K1026">
        <v>2400</v>
      </c>
      <c r="L1026">
        <v>0</v>
      </c>
      <c r="M1026">
        <v>0</v>
      </c>
      <c r="N1026">
        <v>2400</v>
      </c>
    </row>
    <row r="1027" spans="1:14" x14ac:dyDescent="0.25">
      <c r="A1027">
        <v>368.53189400000002</v>
      </c>
      <c r="B1027" s="1">
        <f>DATE(2011,5,4) + TIME(12,45,55)</f>
        <v>40667.531886574077</v>
      </c>
      <c r="C1027">
        <v>80</v>
      </c>
      <c r="D1027">
        <v>79.963821410999998</v>
      </c>
      <c r="E1027">
        <v>50</v>
      </c>
      <c r="F1027">
        <v>49.530345916999998</v>
      </c>
      <c r="G1027">
        <v>1340.6163329999999</v>
      </c>
      <c r="H1027">
        <v>1337.7172852000001</v>
      </c>
      <c r="I1027">
        <v>1326.8355713000001</v>
      </c>
      <c r="J1027">
        <v>1325.1176757999999</v>
      </c>
      <c r="K1027">
        <v>2400</v>
      </c>
      <c r="L1027">
        <v>0</v>
      </c>
      <c r="M1027">
        <v>0</v>
      </c>
      <c r="N1027">
        <v>2400</v>
      </c>
    </row>
    <row r="1028" spans="1:14" x14ac:dyDescent="0.25">
      <c r="A1028">
        <v>368.64219200000002</v>
      </c>
      <c r="B1028" s="1">
        <f>DATE(2011,5,4) + TIME(15,24,45)</f>
        <v>40667.642187500001</v>
      </c>
      <c r="C1028">
        <v>80</v>
      </c>
      <c r="D1028">
        <v>79.964813231999997</v>
      </c>
      <c r="E1028">
        <v>50</v>
      </c>
      <c r="F1028">
        <v>49.519401549999998</v>
      </c>
      <c r="G1028">
        <v>1340.6153564000001</v>
      </c>
      <c r="H1028">
        <v>1337.7180175999999</v>
      </c>
      <c r="I1028">
        <v>1326.8350829999999</v>
      </c>
      <c r="J1028">
        <v>1325.1169434000001</v>
      </c>
      <c r="K1028">
        <v>2400</v>
      </c>
      <c r="L1028">
        <v>0</v>
      </c>
      <c r="M1028">
        <v>0</v>
      </c>
      <c r="N1028">
        <v>2400</v>
      </c>
    </row>
    <row r="1029" spans="1:14" x14ac:dyDescent="0.25">
      <c r="A1029">
        <v>368.75582800000001</v>
      </c>
      <c r="B1029" s="1">
        <f>DATE(2011,5,4) + TIME(18,8,23)</f>
        <v>40667.75582175926</v>
      </c>
      <c r="C1029">
        <v>80</v>
      </c>
      <c r="D1029">
        <v>79.965606688999998</v>
      </c>
      <c r="E1029">
        <v>50</v>
      </c>
      <c r="F1029">
        <v>49.508190155000001</v>
      </c>
      <c r="G1029">
        <v>1340.6137695</v>
      </c>
      <c r="H1029">
        <v>1337.7182617000001</v>
      </c>
      <c r="I1029">
        <v>1326.8343506000001</v>
      </c>
      <c r="J1029">
        <v>1325.1160889</v>
      </c>
      <c r="K1029">
        <v>2400</v>
      </c>
      <c r="L1029">
        <v>0</v>
      </c>
      <c r="M1029">
        <v>0</v>
      </c>
      <c r="N1029">
        <v>2400</v>
      </c>
    </row>
    <row r="1030" spans="1:14" x14ac:dyDescent="0.25">
      <c r="A1030">
        <v>368.87280299999998</v>
      </c>
      <c r="B1030" s="1">
        <f>DATE(2011,5,4) + TIME(20,56,50)</f>
        <v>40667.872800925928</v>
      </c>
      <c r="C1030">
        <v>80</v>
      </c>
      <c r="D1030">
        <v>79.966239928999997</v>
      </c>
      <c r="E1030">
        <v>50</v>
      </c>
      <c r="F1030">
        <v>49.496711730999998</v>
      </c>
      <c r="G1030">
        <v>1340.6115723</v>
      </c>
      <c r="H1030">
        <v>1337.7182617000001</v>
      </c>
      <c r="I1030">
        <v>1326.8337402</v>
      </c>
      <c r="J1030">
        <v>1325.1152344</v>
      </c>
      <c r="K1030">
        <v>2400</v>
      </c>
      <c r="L1030">
        <v>0</v>
      </c>
      <c r="M1030">
        <v>0</v>
      </c>
      <c r="N1030">
        <v>2400</v>
      </c>
    </row>
    <row r="1031" spans="1:14" x14ac:dyDescent="0.25">
      <c r="A1031">
        <v>368.99345599999998</v>
      </c>
      <c r="B1031" s="1">
        <f>DATE(2011,5,4) + TIME(23,50,34)</f>
        <v>40667.993449074071</v>
      </c>
      <c r="C1031">
        <v>80</v>
      </c>
      <c r="D1031">
        <v>79.966743468999994</v>
      </c>
      <c r="E1031">
        <v>50</v>
      </c>
      <c r="F1031">
        <v>49.484943389999998</v>
      </c>
      <c r="G1031">
        <v>1340.6087646000001</v>
      </c>
      <c r="H1031">
        <v>1337.7178954999999</v>
      </c>
      <c r="I1031">
        <v>1326.8330077999999</v>
      </c>
      <c r="J1031">
        <v>1325.1143798999999</v>
      </c>
      <c r="K1031">
        <v>2400</v>
      </c>
      <c r="L1031">
        <v>0</v>
      </c>
      <c r="M1031">
        <v>0</v>
      </c>
      <c r="N1031">
        <v>2400</v>
      </c>
    </row>
    <row r="1032" spans="1:14" x14ac:dyDescent="0.25">
      <c r="A1032">
        <v>369.11815300000001</v>
      </c>
      <c r="B1032" s="1">
        <f>DATE(2011,5,5) + TIME(2,50,8)</f>
        <v>40668.118148148147</v>
      </c>
      <c r="C1032">
        <v>80</v>
      </c>
      <c r="D1032">
        <v>79.967140197999996</v>
      </c>
      <c r="E1032">
        <v>50</v>
      </c>
      <c r="F1032">
        <v>49.472854613999999</v>
      </c>
      <c r="G1032">
        <v>1340.6054687999999</v>
      </c>
      <c r="H1032">
        <v>1337.7171631000001</v>
      </c>
      <c r="I1032">
        <v>1326.8322754000001</v>
      </c>
      <c r="J1032">
        <v>1325.1134033000001</v>
      </c>
      <c r="K1032">
        <v>2400</v>
      </c>
      <c r="L1032">
        <v>0</v>
      </c>
      <c r="M1032">
        <v>0</v>
      </c>
      <c r="N1032">
        <v>2400</v>
      </c>
    </row>
    <row r="1033" spans="1:14" x14ac:dyDescent="0.25">
      <c r="A1033">
        <v>369.24581000000001</v>
      </c>
      <c r="B1033" s="1">
        <f>DATE(2011,5,5) + TIME(5,53,58)</f>
        <v>40668.245810185188</v>
      </c>
      <c r="C1033">
        <v>80</v>
      </c>
      <c r="D1033">
        <v>79.967453003000003</v>
      </c>
      <c r="E1033">
        <v>50</v>
      </c>
      <c r="F1033">
        <v>49.460536957000002</v>
      </c>
      <c r="G1033">
        <v>1340.6010742000001</v>
      </c>
      <c r="H1033">
        <v>1337.7158202999999</v>
      </c>
      <c r="I1033">
        <v>1326.8314209</v>
      </c>
      <c r="J1033">
        <v>1325.1123047000001</v>
      </c>
      <c r="K1033">
        <v>2400</v>
      </c>
      <c r="L1033">
        <v>0</v>
      </c>
      <c r="M1033">
        <v>0</v>
      </c>
      <c r="N1033">
        <v>2400</v>
      </c>
    </row>
    <row r="1034" spans="1:14" x14ac:dyDescent="0.25">
      <c r="A1034">
        <v>369.37520799999999</v>
      </c>
      <c r="B1034" s="1">
        <f>DATE(2011,5,5) + TIME(9,0,17)</f>
        <v>40668.375196759262</v>
      </c>
      <c r="C1034">
        <v>80</v>
      </c>
      <c r="D1034">
        <v>79.967689514</v>
      </c>
      <c r="E1034">
        <v>50</v>
      </c>
      <c r="F1034">
        <v>49.448097228999998</v>
      </c>
      <c r="G1034">
        <v>1340.5949707</v>
      </c>
      <c r="H1034">
        <v>1337.7133789</v>
      </c>
      <c r="I1034">
        <v>1326.8305664</v>
      </c>
      <c r="J1034">
        <v>1325.1113281</v>
      </c>
      <c r="K1034">
        <v>2400</v>
      </c>
      <c r="L1034">
        <v>0</v>
      </c>
      <c r="M1034">
        <v>0</v>
      </c>
      <c r="N1034">
        <v>2400</v>
      </c>
    </row>
    <row r="1035" spans="1:14" x14ac:dyDescent="0.25">
      <c r="A1035">
        <v>369.50672700000001</v>
      </c>
      <c r="B1035" s="1">
        <f>DATE(2011,5,5) + TIME(12,9,41)</f>
        <v>40668.506724537037</v>
      </c>
      <c r="C1035">
        <v>80</v>
      </c>
      <c r="D1035">
        <v>79.967864989999995</v>
      </c>
      <c r="E1035">
        <v>50</v>
      </c>
      <c r="F1035">
        <v>49.435504913000003</v>
      </c>
      <c r="G1035">
        <v>1340.588501</v>
      </c>
      <c r="H1035">
        <v>1337.7106934000001</v>
      </c>
      <c r="I1035">
        <v>1326.8297118999999</v>
      </c>
      <c r="J1035">
        <v>1325.1102295000001</v>
      </c>
      <c r="K1035">
        <v>2400</v>
      </c>
      <c r="L1035">
        <v>0</v>
      </c>
      <c r="M1035">
        <v>0</v>
      </c>
      <c r="N1035">
        <v>2400</v>
      </c>
    </row>
    <row r="1036" spans="1:14" x14ac:dyDescent="0.25">
      <c r="A1036">
        <v>369.64071300000001</v>
      </c>
      <c r="B1036" s="1">
        <f>DATE(2011,5,5) + TIME(15,22,37)</f>
        <v>40668.640706018516</v>
      </c>
      <c r="C1036">
        <v>80</v>
      </c>
      <c r="D1036">
        <v>79.968002318999993</v>
      </c>
      <c r="E1036">
        <v>50</v>
      </c>
      <c r="F1036">
        <v>49.422733307000001</v>
      </c>
      <c r="G1036">
        <v>1340.5819091999999</v>
      </c>
      <c r="H1036">
        <v>1337.7078856999999</v>
      </c>
      <c r="I1036">
        <v>1326.8287353999999</v>
      </c>
      <c r="J1036">
        <v>1325.1090088000001</v>
      </c>
      <c r="K1036">
        <v>2400</v>
      </c>
      <c r="L1036">
        <v>0</v>
      </c>
      <c r="M1036">
        <v>0</v>
      </c>
      <c r="N1036">
        <v>2400</v>
      </c>
    </row>
    <row r="1037" spans="1:14" x14ac:dyDescent="0.25">
      <c r="A1037">
        <v>369.77774499999998</v>
      </c>
      <c r="B1037" s="1">
        <f>DATE(2011,5,5) + TIME(18,39,57)</f>
        <v>40668.777743055558</v>
      </c>
      <c r="C1037">
        <v>80</v>
      </c>
      <c r="D1037">
        <v>79.968109131000006</v>
      </c>
      <c r="E1037">
        <v>50</v>
      </c>
      <c r="F1037">
        <v>49.409736633000001</v>
      </c>
      <c r="G1037">
        <v>1340.5750731999999</v>
      </c>
      <c r="H1037">
        <v>1337.7049560999999</v>
      </c>
      <c r="I1037">
        <v>1326.8278809000001</v>
      </c>
      <c r="J1037">
        <v>1325.1079102000001</v>
      </c>
      <c r="K1037">
        <v>2400</v>
      </c>
      <c r="L1037">
        <v>0</v>
      </c>
      <c r="M1037">
        <v>0</v>
      </c>
      <c r="N1037">
        <v>2400</v>
      </c>
    </row>
    <row r="1038" spans="1:14" x14ac:dyDescent="0.25">
      <c r="A1038">
        <v>369.91841899999997</v>
      </c>
      <c r="B1038" s="1">
        <f>DATE(2011,5,5) + TIME(22,2,31)</f>
        <v>40668.918414351851</v>
      </c>
      <c r="C1038">
        <v>80</v>
      </c>
      <c r="D1038">
        <v>79.968185425000001</v>
      </c>
      <c r="E1038">
        <v>50</v>
      </c>
      <c r="F1038">
        <v>49.396469115999999</v>
      </c>
      <c r="G1038">
        <v>1340.5681152</v>
      </c>
      <c r="H1038">
        <v>1337.7020264</v>
      </c>
      <c r="I1038">
        <v>1326.8269043</v>
      </c>
      <c r="J1038">
        <v>1325.1066894999999</v>
      </c>
      <c r="K1038">
        <v>2400</v>
      </c>
      <c r="L1038">
        <v>0</v>
      </c>
      <c r="M1038">
        <v>0</v>
      </c>
      <c r="N1038">
        <v>2400</v>
      </c>
    </row>
    <row r="1039" spans="1:14" x14ac:dyDescent="0.25">
      <c r="A1039">
        <v>370.06314800000001</v>
      </c>
      <c r="B1039" s="1">
        <f>DATE(2011,5,6) + TIME(1,30,55)</f>
        <v>40669.063136574077</v>
      </c>
      <c r="C1039">
        <v>80</v>
      </c>
      <c r="D1039">
        <v>79.968238830999994</v>
      </c>
      <c r="E1039">
        <v>50</v>
      </c>
      <c r="F1039">
        <v>49.382900237999998</v>
      </c>
      <c r="G1039">
        <v>1340.5607910000001</v>
      </c>
      <c r="H1039">
        <v>1337.6988524999999</v>
      </c>
      <c r="I1039">
        <v>1326.8258057</v>
      </c>
      <c r="J1039">
        <v>1325.1053466999999</v>
      </c>
      <c r="K1039">
        <v>2400</v>
      </c>
      <c r="L1039">
        <v>0</v>
      </c>
      <c r="M1039">
        <v>0</v>
      </c>
      <c r="N1039">
        <v>2400</v>
      </c>
    </row>
    <row r="1040" spans="1:14" x14ac:dyDescent="0.25">
      <c r="A1040">
        <v>370.20853699999998</v>
      </c>
      <c r="B1040" s="1">
        <f>DATE(2011,5,6) + TIME(5,0,17)</f>
        <v>40669.20853009259</v>
      </c>
      <c r="C1040">
        <v>80</v>
      </c>
      <c r="D1040">
        <v>79.968276978000006</v>
      </c>
      <c r="E1040">
        <v>50</v>
      </c>
      <c r="F1040">
        <v>49.369304657000001</v>
      </c>
      <c r="G1040">
        <v>1340.5532227000001</v>
      </c>
      <c r="H1040">
        <v>1337.6956786999999</v>
      </c>
      <c r="I1040">
        <v>1326.8248291</v>
      </c>
      <c r="J1040">
        <v>1325.104126</v>
      </c>
      <c r="K1040">
        <v>2400</v>
      </c>
      <c r="L1040">
        <v>0</v>
      </c>
      <c r="M1040">
        <v>0</v>
      </c>
      <c r="N1040">
        <v>2400</v>
      </c>
    </row>
    <row r="1041" spans="1:14" x14ac:dyDescent="0.25">
      <c r="A1041">
        <v>370.35473400000001</v>
      </c>
      <c r="B1041" s="1">
        <f>DATE(2011,5,6) + TIME(8,30,49)</f>
        <v>40669.354733796295</v>
      </c>
      <c r="C1041">
        <v>80</v>
      </c>
      <c r="D1041">
        <v>79.968299865999995</v>
      </c>
      <c r="E1041">
        <v>50</v>
      </c>
      <c r="F1041">
        <v>49.355674743999998</v>
      </c>
      <c r="G1041">
        <v>1340.5456543</v>
      </c>
      <c r="H1041">
        <v>1337.6923827999999</v>
      </c>
      <c r="I1041">
        <v>1326.8237305</v>
      </c>
      <c r="J1041">
        <v>1325.1027832</v>
      </c>
      <c r="K1041">
        <v>2400</v>
      </c>
      <c r="L1041">
        <v>0</v>
      </c>
      <c r="M1041">
        <v>0</v>
      </c>
      <c r="N1041">
        <v>2400</v>
      </c>
    </row>
    <row r="1042" spans="1:14" x14ac:dyDescent="0.25">
      <c r="A1042">
        <v>370.502026</v>
      </c>
      <c r="B1042" s="1">
        <f>DATE(2011,5,6) + TIME(12,2,55)</f>
        <v>40669.502025462964</v>
      </c>
      <c r="C1042">
        <v>80</v>
      </c>
      <c r="D1042">
        <v>79.968307495000005</v>
      </c>
      <c r="E1042">
        <v>50</v>
      </c>
      <c r="F1042">
        <v>49.341987609999997</v>
      </c>
      <c r="G1042">
        <v>1340.5380858999999</v>
      </c>
      <c r="H1042">
        <v>1337.6892089999999</v>
      </c>
      <c r="I1042">
        <v>1326.8226318</v>
      </c>
      <c r="J1042">
        <v>1325.1014404</v>
      </c>
      <c r="K1042">
        <v>2400</v>
      </c>
      <c r="L1042">
        <v>0</v>
      </c>
      <c r="M1042">
        <v>0</v>
      </c>
      <c r="N1042">
        <v>2400</v>
      </c>
    </row>
    <row r="1043" spans="1:14" x14ac:dyDescent="0.25">
      <c r="A1043">
        <v>370.65069299999999</v>
      </c>
      <c r="B1043" s="1">
        <f>DATE(2011,5,6) + TIME(15,36,59)</f>
        <v>40669.650682870371</v>
      </c>
      <c r="C1043">
        <v>80</v>
      </c>
      <c r="D1043">
        <v>79.968315125000004</v>
      </c>
      <c r="E1043">
        <v>50</v>
      </c>
      <c r="F1043">
        <v>49.328227996999999</v>
      </c>
      <c r="G1043">
        <v>1340.5305175999999</v>
      </c>
      <c r="H1043">
        <v>1337.6859131000001</v>
      </c>
      <c r="I1043">
        <v>1326.8215332</v>
      </c>
      <c r="J1043">
        <v>1325.1000977000001</v>
      </c>
      <c r="K1043">
        <v>2400</v>
      </c>
      <c r="L1043">
        <v>0</v>
      </c>
      <c r="M1043">
        <v>0</v>
      </c>
      <c r="N1043">
        <v>2400</v>
      </c>
    </row>
    <row r="1044" spans="1:14" x14ac:dyDescent="0.25">
      <c r="A1044">
        <v>370.80101300000001</v>
      </c>
      <c r="B1044" s="1">
        <f>DATE(2011,5,6) + TIME(19,13,27)</f>
        <v>40669.801006944443</v>
      </c>
      <c r="C1044">
        <v>80</v>
      </c>
      <c r="D1044">
        <v>79.968307495000005</v>
      </c>
      <c r="E1044">
        <v>50</v>
      </c>
      <c r="F1044">
        <v>49.314373015999998</v>
      </c>
      <c r="G1044">
        <v>1340.5228271000001</v>
      </c>
      <c r="H1044">
        <v>1337.6826172000001</v>
      </c>
      <c r="I1044">
        <v>1326.8203125</v>
      </c>
      <c r="J1044">
        <v>1325.0986327999999</v>
      </c>
      <c r="K1044">
        <v>2400</v>
      </c>
      <c r="L1044">
        <v>0</v>
      </c>
      <c r="M1044">
        <v>0</v>
      </c>
      <c r="N1044">
        <v>2400</v>
      </c>
    </row>
    <row r="1045" spans="1:14" x14ac:dyDescent="0.25">
      <c r="A1045">
        <v>370.95330799999999</v>
      </c>
      <c r="B1045" s="1">
        <f>DATE(2011,5,6) + TIME(22,52,45)</f>
        <v>40669.953298611108</v>
      </c>
      <c r="C1045">
        <v>80</v>
      </c>
      <c r="D1045">
        <v>79.968292235999996</v>
      </c>
      <c r="E1045">
        <v>50</v>
      </c>
      <c r="F1045">
        <v>49.300399779999999</v>
      </c>
      <c r="G1045">
        <v>1340.5151367000001</v>
      </c>
      <c r="H1045">
        <v>1337.6791992000001</v>
      </c>
      <c r="I1045">
        <v>1326.8192139</v>
      </c>
      <c r="J1045">
        <v>1325.097168</v>
      </c>
      <c r="K1045">
        <v>2400</v>
      </c>
      <c r="L1045">
        <v>0</v>
      </c>
      <c r="M1045">
        <v>0</v>
      </c>
      <c r="N1045">
        <v>2400</v>
      </c>
    </row>
    <row r="1046" spans="1:14" x14ac:dyDescent="0.25">
      <c r="A1046">
        <v>371.10788300000002</v>
      </c>
      <c r="B1046" s="1">
        <f>DATE(2011,5,7) + TIME(2,35,21)</f>
        <v>40670.107881944445</v>
      </c>
      <c r="C1046">
        <v>80</v>
      </c>
      <c r="D1046">
        <v>79.968276978000006</v>
      </c>
      <c r="E1046">
        <v>50</v>
      </c>
      <c r="F1046">
        <v>49.286289214999996</v>
      </c>
      <c r="G1046">
        <v>1340.5073242000001</v>
      </c>
      <c r="H1046">
        <v>1337.6759033000001</v>
      </c>
      <c r="I1046">
        <v>1326.8179932</v>
      </c>
      <c r="J1046">
        <v>1325.0957031</v>
      </c>
      <c r="K1046">
        <v>2400</v>
      </c>
      <c r="L1046">
        <v>0</v>
      </c>
      <c r="M1046">
        <v>0</v>
      </c>
      <c r="N1046">
        <v>2400</v>
      </c>
    </row>
    <row r="1047" spans="1:14" x14ac:dyDescent="0.25">
      <c r="A1047">
        <v>371.265018</v>
      </c>
      <c r="B1047" s="1">
        <f>DATE(2011,5,7) + TIME(6,21,37)</f>
        <v>40670.265011574076</v>
      </c>
      <c r="C1047">
        <v>80</v>
      </c>
      <c r="D1047">
        <v>79.968254088999998</v>
      </c>
      <c r="E1047">
        <v>50</v>
      </c>
      <c r="F1047">
        <v>49.272018433</v>
      </c>
      <c r="G1047">
        <v>1340.4995117000001</v>
      </c>
      <c r="H1047">
        <v>1337.6724853999999</v>
      </c>
      <c r="I1047">
        <v>1326.8168945</v>
      </c>
      <c r="J1047">
        <v>1325.0942382999999</v>
      </c>
      <c r="K1047">
        <v>2400</v>
      </c>
      <c r="L1047">
        <v>0</v>
      </c>
      <c r="M1047">
        <v>0</v>
      </c>
      <c r="N1047">
        <v>2400</v>
      </c>
    </row>
    <row r="1048" spans="1:14" x14ac:dyDescent="0.25">
      <c r="A1048">
        <v>371.42504300000002</v>
      </c>
      <c r="B1048" s="1">
        <f>DATE(2011,5,7) + TIME(10,12,3)</f>
        <v>40670.425034722219</v>
      </c>
      <c r="C1048">
        <v>80</v>
      </c>
      <c r="D1048">
        <v>79.968223571999999</v>
      </c>
      <c r="E1048">
        <v>50</v>
      </c>
      <c r="F1048">
        <v>49.257568358999997</v>
      </c>
      <c r="G1048">
        <v>1340.4916992000001</v>
      </c>
      <c r="H1048">
        <v>1337.6690673999999</v>
      </c>
      <c r="I1048">
        <v>1326.8155518000001</v>
      </c>
      <c r="J1048">
        <v>1325.0926514</v>
      </c>
      <c r="K1048">
        <v>2400</v>
      </c>
      <c r="L1048">
        <v>0</v>
      </c>
      <c r="M1048">
        <v>0</v>
      </c>
      <c r="N1048">
        <v>2400</v>
      </c>
    </row>
    <row r="1049" spans="1:14" x14ac:dyDescent="0.25">
      <c r="A1049">
        <v>371.58831099999998</v>
      </c>
      <c r="B1049" s="1">
        <f>DATE(2011,5,7) + TIME(14,7,10)</f>
        <v>40670.588310185187</v>
      </c>
      <c r="C1049">
        <v>80</v>
      </c>
      <c r="D1049">
        <v>79.968193053999997</v>
      </c>
      <c r="E1049">
        <v>50</v>
      </c>
      <c r="F1049">
        <v>49.242904662999997</v>
      </c>
      <c r="G1049">
        <v>1340.4837646000001</v>
      </c>
      <c r="H1049">
        <v>1337.6657714999999</v>
      </c>
      <c r="I1049">
        <v>1326.8143310999999</v>
      </c>
      <c r="J1049">
        <v>1325.0910644999999</v>
      </c>
      <c r="K1049">
        <v>2400</v>
      </c>
      <c r="L1049">
        <v>0</v>
      </c>
      <c r="M1049">
        <v>0</v>
      </c>
      <c r="N1049">
        <v>2400</v>
      </c>
    </row>
    <row r="1050" spans="1:14" x14ac:dyDescent="0.25">
      <c r="A1050">
        <v>371.75520299999999</v>
      </c>
      <c r="B1050" s="1">
        <f>DATE(2011,5,7) + TIME(18,7,29)</f>
        <v>40670.755196759259</v>
      </c>
      <c r="C1050">
        <v>80</v>
      </c>
      <c r="D1050">
        <v>79.968162536999998</v>
      </c>
      <c r="E1050">
        <v>50</v>
      </c>
      <c r="F1050">
        <v>49.228004456000001</v>
      </c>
      <c r="G1050">
        <v>1340.4757079999999</v>
      </c>
      <c r="H1050">
        <v>1337.6622314000001</v>
      </c>
      <c r="I1050">
        <v>1326.8129882999999</v>
      </c>
      <c r="J1050">
        <v>1325.0894774999999</v>
      </c>
      <c r="K1050">
        <v>2400</v>
      </c>
      <c r="L1050">
        <v>0</v>
      </c>
      <c r="M1050">
        <v>0</v>
      </c>
      <c r="N1050">
        <v>2400</v>
      </c>
    </row>
    <row r="1051" spans="1:14" x14ac:dyDescent="0.25">
      <c r="A1051">
        <v>371.92613499999999</v>
      </c>
      <c r="B1051" s="1">
        <f>DATE(2011,5,7) + TIME(22,13,38)</f>
        <v>40670.926134259258</v>
      </c>
      <c r="C1051">
        <v>80</v>
      </c>
      <c r="D1051">
        <v>79.968132018999995</v>
      </c>
      <c r="E1051">
        <v>50</v>
      </c>
      <c r="F1051">
        <v>49.212841034</v>
      </c>
      <c r="G1051">
        <v>1340.4676514</v>
      </c>
      <c r="H1051">
        <v>1337.6588135</v>
      </c>
      <c r="I1051">
        <v>1326.8116454999999</v>
      </c>
      <c r="J1051">
        <v>1325.0877685999999</v>
      </c>
      <c r="K1051">
        <v>2400</v>
      </c>
      <c r="L1051">
        <v>0</v>
      </c>
      <c r="M1051">
        <v>0</v>
      </c>
      <c r="N1051">
        <v>2400</v>
      </c>
    </row>
    <row r="1052" spans="1:14" x14ac:dyDescent="0.25">
      <c r="A1052">
        <v>372.101561</v>
      </c>
      <c r="B1052" s="1">
        <f>DATE(2011,5,8) + TIME(2,26,14)</f>
        <v>40671.101550925923</v>
      </c>
      <c r="C1052">
        <v>80</v>
      </c>
      <c r="D1052">
        <v>79.968093871999997</v>
      </c>
      <c r="E1052">
        <v>50</v>
      </c>
      <c r="F1052">
        <v>49.197376251000001</v>
      </c>
      <c r="G1052">
        <v>1340.4594727000001</v>
      </c>
      <c r="H1052">
        <v>1337.6553954999999</v>
      </c>
      <c r="I1052">
        <v>1326.8103027</v>
      </c>
      <c r="J1052">
        <v>1325.0860596</v>
      </c>
      <c r="K1052">
        <v>2400</v>
      </c>
      <c r="L1052">
        <v>0</v>
      </c>
      <c r="M1052">
        <v>0</v>
      </c>
      <c r="N1052">
        <v>2400</v>
      </c>
    </row>
    <row r="1053" spans="1:14" x14ac:dyDescent="0.25">
      <c r="A1053">
        <v>372.28261800000001</v>
      </c>
      <c r="B1053" s="1">
        <f>DATE(2011,5,8) + TIME(6,46,58)</f>
        <v>40671.28261574074</v>
      </c>
      <c r="C1053">
        <v>80</v>
      </c>
      <c r="D1053">
        <v>79.968048096000004</v>
      </c>
      <c r="E1053">
        <v>50</v>
      </c>
      <c r="F1053">
        <v>49.181526183999999</v>
      </c>
      <c r="G1053">
        <v>1340.4511719</v>
      </c>
      <c r="H1053">
        <v>1337.6518555</v>
      </c>
      <c r="I1053">
        <v>1326.8088379000001</v>
      </c>
      <c r="J1053">
        <v>1325.0842285000001</v>
      </c>
      <c r="K1053">
        <v>2400</v>
      </c>
      <c r="L1053">
        <v>0</v>
      </c>
      <c r="M1053">
        <v>0</v>
      </c>
      <c r="N1053">
        <v>2400</v>
      </c>
    </row>
    <row r="1054" spans="1:14" x14ac:dyDescent="0.25">
      <c r="A1054">
        <v>372.46857299999999</v>
      </c>
      <c r="B1054" s="1">
        <f>DATE(2011,5,8) + TIME(11,14,44)</f>
        <v>40671.468564814815</v>
      </c>
      <c r="C1054">
        <v>80</v>
      </c>
      <c r="D1054">
        <v>79.968009949000006</v>
      </c>
      <c r="E1054">
        <v>50</v>
      </c>
      <c r="F1054">
        <v>49.165351868000002</v>
      </c>
      <c r="G1054">
        <v>1340.442749</v>
      </c>
      <c r="H1054">
        <v>1337.6483154</v>
      </c>
      <c r="I1054">
        <v>1326.8073730000001</v>
      </c>
      <c r="J1054">
        <v>1325.0823975000001</v>
      </c>
      <c r="K1054">
        <v>2400</v>
      </c>
      <c r="L1054">
        <v>0</v>
      </c>
      <c r="M1054">
        <v>0</v>
      </c>
      <c r="N1054">
        <v>2400</v>
      </c>
    </row>
    <row r="1055" spans="1:14" x14ac:dyDescent="0.25">
      <c r="A1055">
        <v>372.65874400000001</v>
      </c>
      <c r="B1055" s="1">
        <f>DATE(2011,5,8) + TIME(15,48,35)</f>
        <v>40671.658738425926</v>
      </c>
      <c r="C1055">
        <v>80</v>
      </c>
      <c r="D1055">
        <v>79.967964171999995</v>
      </c>
      <c r="E1055">
        <v>50</v>
      </c>
      <c r="F1055">
        <v>49.148902892999999</v>
      </c>
      <c r="G1055">
        <v>1340.4342041</v>
      </c>
      <c r="H1055">
        <v>1337.6446533000001</v>
      </c>
      <c r="I1055">
        <v>1326.8059082</v>
      </c>
      <c r="J1055">
        <v>1325.0804443</v>
      </c>
      <c r="K1055">
        <v>2400</v>
      </c>
      <c r="L1055">
        <v>0</v>
      </c>
      <c r="M1055">
        <v>0</v>
      </c>
      <c r="N1055">
        <v>2400</v>
      </c>
    </row>
    <row r="1056" spans="1:14" x14ac:dyDescent="0.25">
      <c r="A1056">
        <v>372.85362300000003</v>
      </c>
      <c r="B1056" s="1">
        <f>DATE(2011,5,8) + TIME(20,29,13)</f>
        <v>40671.853622685187</v>
      </c>
      <c r="C1056">
        <v>80</v>
      </c>
      <c r="D1056">
        <v>79.967918396000002</v>
      </c>
      <c r="E1056">
        <v>50</v>
      </c>
      <c r="F1056">
        <v>49.132141113000003</v>
      </c>
      <c r="G1056">
        <v>1340.4256591999999</v>
      </c>
      <c r="H1056">
        <v>1337.6411132999999</v>
      </c>
      <c r="I1056">
        <v>1326.8041992000001</v>
      </c>
      <c r="J1056">
        <v>1325.0783690999999</v>
      </c>
      <c r="K1056">
        <v>2400</v>
      </c>
      <c r="L1056">
        <v>0</v>
      </c>
      <c r="M1056">
        <v>0</v>
      </c>
      <c r="N1056">
        <v>2400</v>
      </c>
    </row>
    <row r="1057" spans="1:14" x14ac:dyDescent="0.25">
      <c r="A1057">
        <v>373.05371400000001</v>
      </c>
      <c r="B1057" s="1">
        <f>DATE(2011,5,9) + TIME(1,17,20)</f>
        <v>40672.053703703707</v>
      </c>
      <c r="C1057">
        <v>80</v>
      </c>
      <c r="D1057">
        <v>79.967872619999994</v>
      </c>
      <c r="E1057">
        <v>50</v>
      </c>
      <c r="F1057">
        <v>49.115036011000001</v>
      </c>
      <c r="G1057">
        <v>1340.4169922000001</v>
      </c>
      <c r="H1057">
        <v>1337.6374512</v>
      </c>
      <c r="I1057">
        <v>1326.8026123</v>
      </c>
      <c r="J1057">
        <v>1325.0762939000001</v>
      </c>
      <c r="K1057">
        <v>2400</v>
      </c>
      <c r="L1057">
        <v>0</v>
      </c>
      <c r="M1057">
        <v>0</v>
      </c>
      <c r="N1057">
        <v>2400</v>
      </c>
    </row>
    <row r="1058" spans="1:14" x14ac:dyDescent="0.25">
      <c r="A1058">
        <v>373.25963999999999</v>
      </c>
      <c r="B1058" s="1">
        <f>DATE(2011,5,9) + TIME(6,13,52)</f>
        <v>40672.259629629632</v>
      </c>
      <c r="C1058">
        <v>80</v>
      </c>
      <c r="D1058">
        <v>79.967819214000002</v>
      </c>
      <c r="E1058">
        <v>50</v>
      </c>
      <c r="F1058">
        <v>49.097549438000001</v>
      </c>
      <c r="G1058">
        <v>1340.4082031</v>
      </c>
      <c r="H1058">
        <v>1337.6339111</v>
      </c>
      <c r="I1058">
        <v>1326.8009033000001</v>
      </c>
      <c r="J1058">
        <v>1325.0740966999999</v>
      </c>
      <c r="K1058">
        <v>2400</v>
      </c>
      <c r="L1058">
        <v>0</v>
      </c>
      <c r="M1058">
        <v>0</v>
      </c>
      <c r="N1058">
        <v>2400</v>
      </c>
    </row>
    <row r="1059" spans="1:14" x14ac:dyDescent="0.25">
      <c r="A1059">
        <v>373.46822400000002</v>
      </c>
      <c r="B1059" s="1">
        <f>DATE(2011,5,9) + TIME(11,14,14)</f>
        <v>40672.468217592592</v>
      </c>
      <c r="C1059">
        <v>80</v>
      </c>
      <c r="D1059">
        <v>79.967773437999995</v>
      </c>
      <c r="E1059">
        <v>50</v>
      </c>
      <c r="F1059">
        <v>49.079898833999998</v>
      </c>
      <c r="G1059">
        <v>1340.3992920000001</v>
      </c>
      <c r="H1059">
        <v>1337.630249</v>
      </c>
      <c r="I1059">
        <v>1326.7990723</v>
      </c>
      <c r="J1059">
        <v>1325.0718993999999</v>
      </c>
      <c r="K1059">
        <v>2400</v>
      </c>
      <c r="L1059">
        <v>0</v>
      </c>
      <c r="M1059">
        <v>0</v>
      </c>
      <c r="N1059">
        <v>2400</v>
      </c>
    </row>
    <row r="1060" spans="1:14" x14ac:dyDescent="0.25">
      <c r="A1060">
        <v>373.67966699999999</v>
      </c>
      <c r="B1060" s="1">
        <f>DATE(2011,5,9) + TIME(16,18,43)</f>
        <v>40672.679664351854</v>
      </c>
      <c r="C1060">
        <v>80</v>
      </c>
      <c r="D1060">
        <v>79.967720032000003</v>
      </c>
      <c r="E1060">
        <v>50</v>
      </c>
      <c r="F1060">
        <v>49.062076568999998</v>
      </c>
      <c r="G1060">
        <v>1340.3905029</v>
      </c>
      <c r="H1060">
        <v>1337.6265868999999</v>
      </c>
      <c r="I1060">
        <v>1326.7973632999999</v>
      </c>
      <c r="J1060">
        <v>1325.0695800999999</v>
      </c>
      <c r="K1060">
        <v>2400</v>
      </c>
      <c r="L1060">
        <v>0</v>
      </c>
      <c r="M1060">
        <v>0</v>
      </c>
      <c r="N1060">
        <v>2400</v>
      </c>
    </row>
    <row r="1061" spans="1:14" x14ac:dyDescent="0.25">
      <c r="A1061">
        <v>373.89444400000002</v>
      </c>
      <c r="B1061" s="1">
        <f>DATE(2011,5,9) + TIME(21,27,59)</f>
        <v>40672.894432870373</v>
      </c>
      <c r="C1061">
        <v>80</v>
      </c>
      <c r="D1061">
        <v>79.967666625999996</v>
      </c>
      <c r="E1061">
        <v>50</v>
      </c>
      <c r="F1061">
        <v>49.044059752999999</v>
      </c>
      <c r="G1061">
        <v>1340.3817139</v>
      </c>
      <c r="H1061">
        <v>1337.6229248</v>
      </c>
      <c r="I1061">
        <v>1326.7954102000001</v>
      </c>
      <c r="J1061">
        <v>1325.0672606999999</v>
      </c>
      <c r="K1061">
        <v>2400</v>
      </c>
      <c r="L1061">
        <v>0</v>
      </c>
      <c r="M1061">
        <v>0</v>
      </c>
      <c r="N1061">
        <v>2400</v>
      </c>
    </row>
    <row r="1062" spans="1:14" x14ac:dyDescent="0.25">
      <c r="A1062">
        <v>374.11289199999999</v>
      </c>
      <c r="B1062" s="1">
        <f>DATE(2011,5,10) + TIME(2,42,33)</f>
        <v>40673.112881944442</v>
      </c>
      <c r="C1062">
        <v>80</v>
      </c>
      <c r="D1062">
        <v>79.967613220000004</v>
      </c>
      <c r="E1062">
        <v>50</v>
      </c>
      <c r="F1062">
        <v>49.025829315000003</v>
      </c>
      <c r="G1062">
        <v>1340.3729248</v>
      </c>
      <c r="H1062">
        <v>1337.6193848</v>
      </c>
      <c r="I1062">
        <v>1326.7935791</v>
      </c>
      <c r="J1062">
        <v>1325.0648193</v>
      </c>
      <c r="K1062">
        <v>2400</v>
      </c>
      <c r="L1062">
        <v>0</v>
      </c>
      <c r="M1062">
        <v>0</v>
      </c>
      <c r="N1062">
        <v>2400</v>
      </c>
    </row>
    <row r="1063" spans="1:14" x14ac:dyDescent="0.25">
      <c r="A1063">
        <v>374.33543300000002</v>
      </c>
      <c r="B1063" s="1">
        <f>DATE(2011,5,10) + TIME(8,3,1)</f>
        <v>40673.335428240738</v>
      </c>
      <c r="C1063">
        <v>80</v>
      </c>
      <c r="D1063">
        <v>79.967559813999998</v>
      </c>
      <c r="E1063">
        <v>50</v>
      </c>
      <c r="F1063">
        <v>49.007362366000002</v>
      </c>
      <c r="G1063">
        <v>1340.3642577999999</v>
      </c>
      <c r="H1063">
        <v>1337.6157227000001</v>
      </c>
      <c r="I1063">
        <v>1326.791626</v>
      </c>
      <c r="J1063">
        <v>1325.0622559000001</v>
      </c>
      <c r="K1063">
        <v>2400</v>
      </c>
      <c r="L1063">
        <v>0</v>
      </c>
      <c r="M1063">
        <v>0</v>
      </c>
      <c r="N1063">
        <v>2400</v>
      </c>
    </row>
    <row r="1064" spans="1:14" x14ac:dyDescent="0.25">
      <c r="A1064">
        <v>374.56253700000002</v>
      </c>
      <c r="B1064" s="1">
        <f>DATE(2011,5,10) + TIME(13,30,3)</f>
        <v>40673.562534722223</v>
      </c>
      <c r="C1064">
        <v>80</v>
      </c>
      <c r="D1064">
        <v>79.967506408999995</v>
      </c>
      <c r="E1064">
        <v>50</v>
      </c>
      <c r="F1064">
        <v>48.988632201999998</v>
      </c>
      <c r="G1064">
        <v>1340.3554687999999</v>
      </c>
      <c r="H1064">
        <v>1337.6121826000001</v>
      </c>
      <c r="I1064">
        <v>1326.7895507999999</v>
      </c>
      <c r="J1064">
        <v>1325.0596923999999</v>
      </c>
      <c r="K1064">
        <v>2400</v>
      </c>
      <c r="L1064">
        <v>0</v>
      </c>
      <c r="M1064">
        <v>0</v>
      </c>
      <c r="N1064">
        <v>2400</v>
      </c>
    </row>
    <row r="1065" spans="1:14" x14ac:dyDescent="0.25">
      <c r="A1065">
        <v>374.79175600000002</v>
      </c>
      <c r="B1065" s="1">
        <f>DATE(2011,5,10) + TIME(19,0,7)</f>
        <v>40673.791747685187</v>
      </c>
      <c r="C1065">
        <v>80</v>
      </c>
      <c r="D1065">
        <v>79.967453003000003</v>
      </c>
      <c r="E1065">
        <v>50</v>
      </c>
      <c r="F1065">
        <v>48.969799041999998</v>
      </c>
      <c r="G1065">
        <v>1340.3466797000001</v>
      </c>
      <c r="H1065">
        <v>1337.6086425999999</v>
      </c>
      <c r="I1065">
        <v>1326.7874756000001</v>
      </c>
      <c r="J1065">
        <v>1325.0570068</v>
      </c>
      <c r="K1065">
        <v>2400</v>
      </c>
      <c r="L1065">
        <v>0</v>
      </c>
      <c r="M1065">
        <v>0</v>
      </c>
      <c r="N1065">
        <v>2400</v>
      </c>
    </row>
    <row r="1066" spans="1:14" x14ac:dyDescent="0.25">
      <c r="A1066">
        <v>375.02267999999998</v>
      </c>
      <c r="B1066" s="1">
        <f>DATE(2011,5,11) + TIME(0,32,39)</f>
        <v>40674.022673611114</v>
      </c>
      <c r="C1066">
        <v>80</v>
      </c>
      <c r="D1066">
        <v>79.967399596999996</v>
      </c>
      <c r="E1066">
        <v>50</v>
      </c>
      <c r="F1066">
        <v>48.950897216999998</v>
      </c>
      <c r="G1066">
        <v>1340.3380127</v>
      </c>
      <c r="H1066">
        <v>1337.6051024999999</v>
      </c>
      <c r="I1066">
        <v>1326.7854004000001</v>
      </c>
      <c r="J1066">
        <v>1325.0541992000001</v>
      </c>
      <c r="K1066">
        <v>2400</v>
      </c>
      <c r="L1066">
        <v>0</v>
      </c>
      <c r="M1066">
        <v>0</v>
      </c>
      <c r="N1066">
        <v>2400</v>
      </c>
    </row>
    <row r="1067" spans="1:14" x14ac:dyDescent="0.25">
      <c r="A1067">
        <v>375.255808</v>
      </c>
      <c r="B1067" s="1">
        <f>DATE(2011,5,11) + TIME(6,8,21)</f>
        <v>40674.255798611113</v>
      </c>
      <c r="C1067">
        <v>80</v>
      </c>
      <c r="D1067">
        <v>79.967346191000004</v>
      </c>
      <c r="E1067">
        <v>50</v>
      </c>
      <c r="F1067">
        <v>48.931903839</v>
      </c>
      <c r="G1067">
        <v>1340.3294678</v>
      </c>
      <c r="H1067">
        <v>1337.6016846</v>
      </c>
      <c r="I1067">
        <v>1326.7832031</v>
      </c>
      <c r="J1067">
        <v>1325.0515137</v>
      </c>
      <c r="K1067">
        <v>2400</v>
      </c>
      <c r="L1067">
        <v>0</v>
      </c>
      <c r="M1067">
        <v>0</v>
      </c>
      <c r="N1067">
        <v>2400</v>
      </c>
    </row>
    <row r="1068" spans="1:14" x14ac:dyDescent="0.25">
      <c r="A1068">
        <v>375.49174099999999</v>
      </c>
      <c r="B1068" s="1">
        <f>DATE(2011,5,11) + TIME(11,48,6)</f>
        <v>40674.491736111115</v>
      </c>
      <c r="C1068">
        <v>80</v>
      </c>
      <c r="D1068">
        <v>79.967292786000002</v>
      </c>
      <c r="E1068">
        <v>50</v>
      </c>
      <c r="F1068">
        <v>48.912788390999999</v>
      </c>
      <c r="G1068">
        <v>1340.3209228999999</v>
      </c>
      <c r="H1068">
        <v>1337.5982666</v>
      </c>
      <c r="I1068">
        <v>1326.7810059000001</v>
      </c>
      <c r="J1068">
        <v>1325.0485839999999</v>
      </c>
      <c r="K1068">
        <v>2400</v>
      </c>
      <c r="L1068">
        <v>0</v>
      </c>
      <c r="M1068">
        <v>0</v>
      </c>
      <c r="N1068">
        <v>2400</v>
      </c>
    </row>
    <row r="1069" spans="1:14" x14ac:dyDescent="0.25">
      <c r="A1069">
        <v>375.730906</v>
      </c>
      <c r="B1069" s="1">
        <f>DATE(2011,5,11) + TIME(17,32,30)</f>
        <v>40674.730902777781</v>
      </c>
      <c r="C1069">
        <v>80</v>
      </c>
      <c r="D1069">
        <v>79.967239379999995</v>
      </c>
      <c r="E1069">
        <v>50</v>
      </c>
      <c r="F1069">
        <v>48.893520355</v>
      </c>
      <c r="G1069">
        <v>1340.3125</v>
      </c>
      <c r="H1069">
        <v>1337.5948486</v>
      </c>
      <c r="I1069">
        <v>1326.7786865</v>
      </c>
      <c r="J1069">
        <v>1325.0456543</v>
      </c>
      <c r="K1069">
        <v>2400</v>
      </c>
      <c r="L1069">
        <v>0</v>
      </c>
      <c r="M1069">
        <v>0</v>
      </c>
      <c r="N1069">
        <v>2400</v>
      </c>
    </row>
    <row r="1070" spans="1:14" x14ac:dyDescent="0.25">
      <c r="A1070">
        <v>375.97383300000001</v>
      </c>
      <c r="B1070" s="1">
        <f>DATE(2011,5,11) + TIME(23,22,19)</f>
        <v>40674.97383101852</v>
      </c>
      <c r="C1070">
        <v>80</v>
      </c>
      <c r="D1070">
        <v>79.967185974000003</v>
      </c>
      <c r="E1070">
        <v>50</v>
      </c>
      <c r="F1070">
        <v>48.874073029000002</v>
      </c>
      <c r="G1070">
        <v>1340.3040771000001</v>
      </c>
      <c r="H1070">
        <v>1337.5915527</v>
      </c>
      <c r="I1070">
        <v>1326.7764893000001</v>
      </c>
      <c r="J1070">
        <v>1325.0427245999999</v>
      </c>
      <c r="K1070">
        <v>2400</v>
      </c>
      <c r="L1070">
        <v>0</v>
      </c>
      <c r="M1070">
        <v>0</v>
      </c>
      <c r="N1070">
        <v>2400</v>
      </c>
    </row>
    <row r="1071" spans="1:14" x14ac:dyDescent="0.25">
      <c r="A1071">
        <v>376.22108900000001</v>
      </c>
      <c r="B1071" s="1">
        <f>DATE(2011,5,12) + TIME(5,18,22)</f>
        <v>40675.221087962964</v>
      </c>
      <c r="C1071">
        <v>80</v>
      </c>
      <c r="D1071">
        <v>79.967132567999997</v>
      </c>
      <c r="E1071">
        <v>50</v>
      </c>
      <c r="F1071">
        <v>48.854412078999999</v>
      </c>
      <c r="G1071">
        <v>1340.2956543</v>
      </c>
      <c r="H1071">
        <v>1337.5881348</v>
      </c>
      <c r="I1071">
        <v>1326.7740478999999</v>
      </c>
      <c r="J1071">
        <v>1325.0396728999999</v>
      </c>
      <c r="K1071">
        <v>2400</v>
      </c>
      <c r="L1071">
        <v>0</v>
      </c>
      <c r="M1071">
        <v>0</v>
      </c>
      <c r="N1071">
        <v>2400</v>
      </c>
    </row>
    <row r="1072" spans="1:14" x14ac:dyDescent="0.25">
      <c r="A1072">
        <v>376.473276</v>
      </c>
      <c r="B1072" s="1">
        <f>DATE(2011,5,12) + TIME(11,21,31)</f>
        <v>40675.473275462966</v>
      </c>
      <c r="C1072">
        <v>80</v>
      </c>
      <c r="D1072">
        <v>79.967079162999994</v>
      </c>
      <c r="E1072">
        <v>50</v>
      </c>
      <c r="F1072">
        <v>48.834503173999998</v>
      </c>
      <c r="G1072">
        <v>1340.2873535000001</v>
      </c>
      <c r="H1072">
        <v>1337.5848389</v>
      </c>
      <c r="I1072">
        <v>1326.7716064000001</v>
      </c>
      <c r="J1072">
        <v>1325.036499</v>
      </c>
      <c r="K1072">
        <v>2400</v>
      </c>
      <c r="L1072">
        <v>0</v>
      </c>
      <c r="M1072">
        <v>0</v>
      </c>
      <c r="N1072">
        <v>2400</v>
      </c>
    </row>
    <row r="1073" spans="1:14" x14ac:dyDescent="0.25">
      <c r="A1073">
        <v>376.731538</v>
      </c>
      <c r="B1073" s="1">
        <f>DATE(2011,5,12) + TIME(17,33,24)</f>
        <v>40675.731527777774</v>
      </c>
      <c r="C1073">
        <v>80</v>
      </c>
      <c r="D1073">
        <v>79.967025757000002</v>
      </c>
      <c r="E1073">
        <v>50</v>
      </c>
      <c r="F1073">
        <v>48.814266205000003</v>
      </c>
      <c r="G1073">
        <v>1340.2789307</v>
      </c>
      <c r="H1073">
        <v>1337.581543</v>
      </c>
      <c r="I1073">
        <v>1326.7691649999999</v>
      </c>
      <c r="J1073">
        <v>1325.0332031</v>
      </c>
      <c r="K1073">
        <v>2400</v>
      </c>
      <c r="L1073">
        <v>0</v>
      </c>
      <c r="M1073">
        <v>0</v>
      </c>
      <c r="N1073">
        <v>2400</v>
      </c>
    </row>
    <row r="1074" spans="1:14" x14ac:dyDescent="0.25">
      <c r="A1074">
        <v>376.99766799999998</v>
      </c>
      <c r="B1074" s="1">
        <f>DATE(2011,5,12) + TIME(23,56,38)</f>
        <v>40675.997662037036</v>
      </c>
      <c r="C1074">
        <v>80</v>
      </c>
      <c r="D1074">
        <v>79.966972350999995</v>
      </c>
      <c r="E1074">
        <v>50</v>
      </c>
      <c r="F1074">
        <v>48.793601989999999</v>
      </c>
      <c r="G1074">
        <v>1340.2705077999999</v>
      </c>
      <c r="H1074">
        <v>1337.5782471</v>
      </c>
      <c r="I1074">
        <v>1326.7666016000001</v>
      </c>
      <c r="J1074">
        <v>1325.0297852000001</v>
      </c>
      <c r="K1074">
        <v>2400</v>
      </c>
      <c r="L1074">
        <v>0</v>
      </c>
      <c r="M1074">
        <v>0</v>
      </c>
      <c r="N1074">
        <v>2400</v>
      </c>
    </row>
    <row r="1075" spans="1:14" x14ac:dyDescent="0.25">
      <c r="A1075">
        <v>377.27226000000002</v>
      </c>
      <c r="B1075" s="1">
        <f>DATE(2011,5,13) + TIME(6,32,3)</f>
        <v>40676.272256944445</v>
      </c>
      <c r="C1075">
        <v>80</v>
      </c>
      <c r="D1075">
        <v>79.966911315999994</v>
      </c>
      <c r="E1075">
        <v>50</v>
      </c>
      <c r="F1075">
        <v>48.772464751999998</v>
      </c>
      <c r="G1075">
        <v>1340.2619629000001</v>
      </c>
      <c r="H1075">
        <v>1337.5749512</v>
      </c>
      <c r="I1075">
        <v>1326.7637939000001</v>
      </c>
      <c r="J1075">
        <v>1325.0262451000001</v>
      </c>
      <c r="K1075">
        <v>2400</v>
      </c>
      <c r="L1075">
        <v>0</v>
      </c>
      <c r="M1075">
        <v>0</v>
      </c>
      <c r="N1075">
        <v>2400</v>
      </c>
    </row>
    <row r="1076" spans="1:14" x14ac:dyDescent="0.25">
      <c r="A1076">
        <v>377.55583799999999</v>
      </c>
      <c r="B1076" s="1">
        <f>DATE(2011,5,13) + TIME(13,20,24)</f>
        <v>40676.555833333332</v>
      </c>
      <c r="C1076">
        <v>80</v>
      </c>
      <c r="D1076">
        <v>79.966857910000002</v>
      </c>
      <c r="E1076">
        <v>50</v>
      </c>
      <c r="F1076">
        <v>48.750823975000003</v>
      </c>
      <c r="G1076">
        <v>1340.253418</v>
      </c>
      <c r="H1076">
        <v>1337.5715332</v>
      </c>
      <c r="I1076">
        <v>1326.7609863</v>
      </c>
      <c r="J1076">
        <v>1325.0225829999999</v>
      </c>
      <c r="K1076">
        <v>2400</v>
      </c>
      <c r="L1076">
        <v>0</v>
      </c>
      <c r="M1076">
        <v>0</v>
      </c>
      <c r="N1076">
        <v>2400</v>
      </c>
    </row>
    <row r="1077" spans="1:14" x14ac:dyDescent="0.25">
      <c r="A1077">
        <v>377.843208</v>
      </c>
      <c r="B1077" s="1">
        <f>DATE(2011,5,13) + TIME(20,14,13)</f>
        <v>40676.843206018515</v>
      </c>
      <c r="C1077">
        <v>80</v>
      </c>
      <c r="D1077">
        <v>79.966796875</v>
      </c>
      <c r="E1077">
        <v>50</v>
      </c>
      <c r="F1077">
        <v>48.728973388999997</v>
      </c>
      <c r="G1077">
        <v>1340.2446289</v>
      </c>
      <c r="H1077">
        <v>1337.5682373</v>
      </c>
      <c r="I1077">
        <v>1326.7581786999999</v>
      </c>
      <c r="J1077">
        <v>1325.0186768000001</v>
      </c>
      <c r="K1077">
        <v>2400</v>
      </c>
      <c r="L1077">
        <v>0</v>
      </c>
      <c r="M1077">
        <v>0</v>
      </c>
      <c r="N1077">
        <v>2400</v>
      </c>
    </row>
    <row r="1078" spans="1:14" x14ac:dyDescent="0.25">
      <c r="A1078">
        <v>378.13493599999998</v>
      </c>
      <c r="B1078" s="1">
        <f>DATE(2011,5,14) + TIME(3,14,18)</f>
        <v>40677.134930555556</v>
      </c>
      <c r="C1078">
        <v>80</v>
      </c>
      <c r="D1078">
        <v>79.966743468999994</v>
      </c>
      <c r="E1078">
        <v>50</v>
      </c>
      <c r="F1078">
        <v>48.706893921000002</v>
      </c>
      <c r="G1078">
        <v>1340.2360839999999</v>
      </c>
      <c r="H1078">
        <v>1337.5648193</v>
      </c>
      <c r="I1078">
        <v>1326.7551269999999</v>
      </c>
      <c r="J1078">
        <v>1325.0147704999999</v>
      </c>
      <c r="K1078">
        <v>2400</v>
      </c>
      <c r="L1078">
        <v>0</v>
      </c>
      <c r="M1078">
        <v>0</v>
      </c>
      <c r="N1078">
        <v>2400</v>
      </c>
    </row>
    <row r="1079" spans="1:14" x14ac:dyDescent="0.25">
      <c r="A1079">
        <v>378.43167599999998</v>
      </c>
      <c r="B1079" s="1">
        <f>DATE(2011,5,14) + TIME(10,21,36)</f>
        <v>40677.431666666664</v>
      </c>
      <c r="C1079">
        <v>80</v>
      </c>
      <c r="D1079">
        <v>79.966690063000001</v>
      </c>
      <c r="E1079">
        <v>50</v>
      </c>
      <c r="F1079">
        <v>48.684566498000002</v>
      </c>
      <c r="G1079">
        <v>1340.2274170000001</v>
      </c>
      <c r="H1079">
        <v>1337.5615233999999</v>
      </c>
      <c r="I1079">
        <v>1326.7520752</v>
      </c>
      <c r="J1079">
        <v>1325.0107422000001</v>
      </c>
      <c r="K1079">
        <v>2400</v>
      </c>
      <c r="L1079">
        <v>0</v>
      </c>
      <c r="M1079">
        <v>0</v>
      </c>
      <c r="N1079">
        <v>2400</v>
      </c>
    </row>
    <row r="1080" spans="1:14" x14ac:dyDescent="0.25">
      <c r="A1080">
        <v>378.734126</v>
      </c>
      <c r="B1080" s="1">
        <f>DATE(2011,5,14) + TIME(17,37,8)</f>
        <v>40677.734120370369</v>
      </c>
      <c r="C1080">
        <v>80</v>
      </c>
      <c r="D1080">
        <v>79.966629028</v>
      </c>
      <c r="E1080">
        <v>50</v>
      </c>
      <c r="F1080">
        <v>48.661952972000002</v>
      </c>
      <c r="G1080">
        <v>1340.2188721</v>
      </c>
      <c r="H1080">
        <v>1337.5582274999999</v>
      </c>
      <c r="I1080">
        <v>1326.7489014</v>
      </c>
      <c r="J1080">
        <v>1325.0064697</v>
      </c>
      <c r="K1080">
        <v>2400</v>
      </c>
      <c r="L1080">
        <v>0</v>
      </c>
      <c r="M1080">
        <v>0</v>
      </c>
      <c r="N1080">
        <v>2400</v>
      </c>
    </row>
    <row r="1081" spans="1:14" x14ac:dyDescent="0.25">
      <c r="A1081">
        <v>379.04303599999997</v>
      </c>
      <c r="B1081" s="1">
        <f>DATE(2011,5,15) + TIME(1,1,58)</f>
        <v>40678.043032407404</v>
      </c>
      <c r="C1081">
        <v>80</v>
      </c>
      <c r="D1081">
        <v>79.966575622999997</v>
      </c>
      <c r="E1081">
        <v>50</v>
      </c>
      <c r="F1081">
        <v>48.639022826999998</v>
      </c>
      <c r="G1081">
        <v>1340.2103271000001</v>
      </c>
      <c r="H1081">
        <v>1337.5549315999999</v>
      </c>
      <c r="I1081">
        <v>1326.7456055</v>
      </c>
      <c r="J1081">
        <v>1325.0021973</v>
      </c>
      <c r="K1081">
        <v>2400</v>
      </c>
      <c r="L1081">
        <v>0</v>
      </c>
      <c r="M1081">
        <v>0</v>
      </c>
      <c r="N1081">
        <v>2400</v>
      </c>
    </row>
    <row r="1082" spans="1:14" x14ac:dyDescent="0.25">
      <c r="A1082">
        <v>379.35712100000001</v>
      </c>
      <c r="B1082" s="1">
        <f>DATE(2011,5,15) + TIME(8,34,15)</f>
        <v>40678.357118055559</v>
      </c>
      <c r="C1082">
        <v>80</v>
      </c>
      <c r="D1082">
        <v>79.966514587000006</v>
      </c>
      <c r="E1082">
        <v>50</v>
      </c>
      <c r="F1082">
        <v>48.615844727000002</v>
      </c>
      <c r="G1082">
        <v>1340.2016602000001</v>
      </c>
      <c r="H1082">
        <v>1337.5517577999999</v>
      </c>
      <c r="I1082">
        <v>1326.7423096</v>
      </c>
      <c r="J1082">
        <v>1324.9978027</v>
      </c>
      <c r="K1082">
        <v>2400</v>
      </c>
      <c r="L1082">
        <v>0</v>
      </c>
      <c r="M1082">
        <v>0</v>
      </c>
      <c r="N1082">
        <v>2400</v>
      </c>
    </row>
    <row r="1083" spans="1:14" x14ac:dyDescent="0.25">
      <c r="A1083">
        <v>379.67387000000002</v>
      </c>
      <c r="B1083" s="1">
        <f>DATE(2011,5,15) + TIME(16,10,22)</f>
        <v>40678.67386574074</v>
      </c>
      <c r="C1083">
        <v>80</v>
      </c>
      <c r="D1083">
        <v>79.966461182000003</v>
      </c>
      <c r="E1083">
        <v>50</v>
      </c>
      <c r="F1083">
        <v>48.592563628999997</v>
      </c>
      <c r="G1083">
        <v>1340.1931152</v>
      </c>
      <c r="H1083">
        <v>1337.5484618999999</v>
      </c>
      <c r="I1083">
        <v>1326.7388916</v>
      </c>
      <c r="J1083">
        <v>1324.9931641000001</v>
      </c>
      <c r="K1083">
        <v>2400</v>
      </c>
      <c r="L1083">
        <v>0</v>
      </c>
      <c r="M1083">
        <v>0</v>
      </c>
      <c r="N1083">
        <v>2400</v>
      </c>
    </row>
    <row r="1084" spans="1:14" x14ac:dyDescent="0.25">
      <c r="A1084">
        <v>379.99395500000003</v>
      </c>
      <c r="B1084" s="1">
        <f>DATE(2011,5,15) + TIME(23,51,17)</f>
        <v>40678.993946759256</v>
      </c>
      <c r="C1084">
        <v>80</v>
      </c>
      <c r="D1084">
        <v>79.966407775999997</v>
      </c>
      <c r="E1084">
        <v>50</v>
      </c>
      <c r="F1084">
        <v>48.569160461000003</v>
      </c>
      <c r="G1084">
        <v>1340.1846923999999</v>
      </c>
      <c r="H1084">
        <v>1337.5451660000001</v>
      </c>
      <c r="I1084">
        <v>1326.7353516000001</v>
      </c>
      <c r="J1084">
        <v>1324.9885254000001</v>
      </c>
      <c r="K1084">
        <v>2400</v>
      </c>
      <c r="L1084">
        <v>0</v>
      </c>
      <c r="M1084">
        <v>0</v>
      </c>
      <c r="N1084">
        <v>2400</v>
      </c>
    </row>
    <row r="1085" spans="1:14" x14ac:dyDescent="0.25">
      <c r="A1085">
        <v>380.31640199999998</v>
      </c>
      <c r="B1085" s="1">
        <f>DATE(2011,5,16) + TIME(7,35,37)</f>
        <v>40679.316400462965</v>
      </c>
      <c r="C1085">
        <v>80</v>
      </c>
      <c r="D1085">
        <v>79.966346740999995</v>
      </c>
      <c r="E1085">
        <v>50</v>
      </c>
      <c r="F1085">
        <v>48.545703887999998</v>
      </c>
      <c r="G1085">
        <v>1340.1763916</v>
      </c>
      <c r="H1085">
        <v>1337.5419922000001</v>
      </c>
      <c r="I1085">
        <v>1326.7316894999999</v>
      </c>
      <c r="J1085">
        <v>1324.9837646000001</v>
      </c>
      <c r="K1085">
        <v>2400</v>
      </c>
      <c r="L1085">
        <v>0</v>
      </c>
      <c r="M1085">
        <v>0</v>
      </c>
      <c r="N1085">
        <v>2400</v>
      </c>
    </row>
    <row r="1086" spans="1:14" x14ac:dyDescent="0.25">
      <c r="A1086">
        <v>380.64070700000002</v>
      </c>
      <c r="B1086" s="1">
        <f>DATE(2011,5,16) + TIME(15,22,37)</f>
        <v>40679.640706018516</v>
      </c>
      <c r="C1086">
        <v>80</v>
      </c>
      <c r="D1086">
        <v>79.966293335000003</v>
      </c>
      <c r="E1086">
        <v>50</v>
      </c>
      <c r="F1086">
        <v>48.522224426000001</v>
      </c>
      <c r="G1086">
        <v>1340.1682129000001</v>
      </c>
      <c r="H1086">
        <v>1337.5389404</v>
      </c>
      <c r="I1086">
        <v>1326.7280272999999</v>
      </c>
      <c r="J1086">
        <v>1324.9788818</v>
      </c>
      <c r="K1086">
        <v>2400</v>
      </c>
      <c r="L1086">
        <v>0</v>
      </c>
      <c r="M1086">
        <v>0</v>
      </c>
      <c r="N1086">
        <v>2400</v>
      </c>
    </row>
    <row r="1087" spans="1:14" x14ac:dyDescent="0.25">
      <c r="A1087">
        <v>380.96766000000002</v>
      </c>
      <c r="B1087" s="1">
        <f>DATE(2011,5,16) + TIME(23,13,25)</f>
        <v>40679.967650462961</v>
      </c>
      <c r="C1087">
        <v>80</v>
      </c>
      <c r="D1087">
        <v>79.966239928999997</v>
      </c>
      <c r="E1087">
        <v>50</v>
      </c>
      <c r="F1087">
        <v>48.498699188000003</v>
      </c>
      <c r="G1087">
        <v>1340.1600341999999</v>
      </c>
      <c r="H1087">
        <v>1337.5358887</v>
      </c>
      <c r="I1087">
        <v>1326.7243652</v>
      </c>
      <c r="J1087">
        <v>1324.9738769999999</v>
      </c>
      <c r="K1087">
        <v>2400</v>
      </c>
      <c r="L1087">
        <v>0</v>
      </c>
      <c r="M1087">
        <v>0</v>
      </c>
      <c r="N1087">
        <v>2400</v>
      </c>
    </row>
    <row r="1088" spans="1:14" x14ac:dyDescent="0.25">
      <c r="A1088">
        <v>381.298158</v>
      </c>
      <c r="B1088" s="1">
        <f>DATE(2011,5,17) + TIME(7,9,20)</f>
        <v>40680.298148148147</v>
      </c>
      <c r="C1088">
        <v>80</v>
      </c>
      <c r="D1088">
        <v>79.966186523000005</v>
      </c>
      <c r="E1088">
        <v>50</v>
      </c>
      <c r="F1088">
        <v>48.475086212000001</v>
      </c>
      <c r="G1088">
        <v>1340.1519774999999</v>
      </c>
      <c r="H1088">
        <v>1337.5328368999999</v>
      </c>
      <c r="I1088">
        <v>1326.7205810999999</v>
      </c>
      <c r="J1088">
        <v>1324.96875</v>
      </c>
      <c r="K1088">
        <v>2400</v>
      </c>
      <c r="L1088">
        <v>0</v>
      </c>
      <c r="M1088">
        <v>0</v>
      </c>
      <c r="N1088">
        <v>2400</v>
      </c>
    </row>
    <row r="1089" spans="1:14" x14ac:dyDescent="0.25">
      <c r="A1089">
        <v>381.63296000000003</v>
      </c>
      <c r="B1089" s="1">
        <f>DATE(2011,5,17) + TIME(15,11,27)</f>
        <v>40680.632951388892</v>
      </c>
      <c r="C1089">
        <v>80</v>
      </c>
      <c r="D1089">
        <v>79.966133118000002</v>
      </c>
      <c r="E1089">
        <v>50</v>
      </c>
      <c r="F1089">
        <v>48.451343536000003</v>
      </c>
      <c r="G1089">
        <v>1340.144043</v>
      </c>
      <c r="H1089">
        <v>1337.5299072</v>
      </c>
      <c r="I1089">
        <v>1326.7167969</v>
      </c>
      <c r="J1089">
        <v>1324.9636230000001</v>
      </c>
      <c r="K1089">
        <v>2400</v>
      </c>
      <c r="L1089">
        <v>0</v>
      </c>
      <c r="M1089">
        <v>0</v>
      </c>
      <c r="N1089">
        <v>2400</v>
      </c>
    </row>
    <row r="1090" spans="1:14" x14ac:dyDescent="0.25">
      <c r="A1090">
        <v>381.97287</v>
      </c>
      <c r="B1090" s="1">
        <f>DATE(2011,5,17) + TIME(23,20,55)</f>
        <v>40680.972858796296</v>
      </c>
      <c r="C1090">
        <v>80</v>
      </c>
      <c r="D1090">
        <v>79.966079711999996</v>
      </c>
      <c r="E1090">
        <v>50</v>
      </c>
      <c r="F1090">
        <v>48.427433014000002</v>
      </c>
      <c r="G1090">
        <v>1340.1361084</v>
      </c>
      <c r="H1090">
        <v>1337.5268555</v>
      </c>
      <c r="I1090">
        <v>1326.7127685999999</v>
      </c>
      <c r="J1090">
        <v>1324.958374</v>
      </c>
      <c r="K1090">
        <v>2400</v>
      </c>
      <c r="L1090">
        <v>0</v>
      </c>
      <c r="M1090">
        <v>0</v>
      </c>
      <c r="N1090">
        <v>2400</v>
      </c>
    </row>
    <row r="1091" spans="1:14" x14ac:dyDescent="0.25">
      <c r="A1091">
        <v>382.31877400000002</v>
      </c>
      <c r="B1091" s="1">
        <f>DATE(2011,5,18) + TIME(7,39,2)</f>
        <v>40681.318773148145</v>
      </c>
      <c r="C1091">
        <v>80</v>
      </c>
      <c r="D1091">
        <v>79.966026306000003</v>
      </c>
      <c r="E1091">
        <v>50</v>
      </c>
      <c r="F1091">
        <v>48.403308868000003</v>
      </c>
      <c r="G1091">
        <v>1340.1282959</v>
      </c>
      <c r="H1091">
        <v>1337.5239257999999</v>
      </c>
      <c r="I1091">
        <v>1326.7087402</v>
      </c>
      <c r="J1091">
        <v>1324.9528809000001</v>
      </c>
      <c r="K1091">
        <v>2400</v>
      </c>
      <c r="L1091">
        <v>0</v>
      </c>
      <c r="M1091">
        <v>0</v>
      </c>
      <c r="N1091">
        <v>2400</v>
      </c>
    </row>
    <row r="1092" spans="1:14" x14ac:dyDescent="0.25">
      <c r="A1092">
        <v>382.67172399999998</v>
      </c>
      <c r="B1092" s="1">
        <f>DATE(2011,5,18) + TIME(16,7,16)</f>
        <v>40681.671712962961</v>
      </c>
      <c r="C1092">
        <v>80</v>
      </c>
      <c r="D1092">
        <v>79.965980529999996</v>
      </c>
      <c r="E1092">
        <v>50</v>
      </c>
      <c r="F1092">
        <v>48.37890625</v>
      </c>
      <c r="G1092">
        <v>1340.1203613</v>
      </c>
      <c r="H1092">
        <v>1337.5209961</v>
      </c>
      <c r="I1092">
        <v>1326.7045897999999</v>
      </c>
      <c r="J1092">
        <v>1324.9472656</v>
      </c>
      <c r="K1092">
        <v>2400</v>
      </c>
      <c r="L1092">
        <v>0</v>
      </c>
      <c r="M1092">
        <v>0</v>
      </c>
      <c r="N1092">
        <v>2400</v>
      </c>
    </row>
    <row r="1093" spans="1:14" x14ac:dyDescent="0.25">
      <c r="A1093">
        <v>383.03546299999999</v>
      </c>
      <c r="B1093" s="1">
        <f>DATE(2011,5,19) + TIME(0,51,3)</f>
        <v>40682.035451388889</v>
      </c>
      <c r="C1093">
        <v>80</v>
      </c>
      <c r="D1093">
        <v>79.965927124000004</v>
      </c>
      <c r="E1093">
        <v>50</v>
      </c>
      <c r="F1093">
        <v>48.354042053000001</v>
      </c>
      <c r="G1093">
        <v>1340.1125488</v>
      </c>
      <c r="H1093">
        <v>1337.5180664</v>
      </c>
      <c r="I1093">
        <v>1326.7004394999999</v>
      </c>
      <c r="J1093">
        <v>1324.9415283000001</v>
      </c>
      <c r="K1093">
        <v>2400</v>
      </c>
      <c r="L1093">
        <v>0</v>
      </c>
      <c r="M1093">
        <v>0</v>
      </c>
      <c r="N1093">
        <v>2400</v>
      </c>
    </row>
    <row r="1094" spans="1:14" x14ac:dyDescent="0.25">
      <c r="A1094">
        <v>383.41166299999998</v>
      </c>
      <c r="B1094" s="1">
        <f>DATE(2011,5,19) + TIME(9,52,47)</f>
        <v>40682.41165509259</v>
      </c>
      <c r="C1094">
        <v>80</v>
      </c>
      <c r="D1094">
        <v>79.965873717999997</v>
      </c>
      <c r="E1094">
        <v>50</v>
      </c>
      <c r="F1094">
        <v>48.328613281000003</v>
      </c>
      <c r="G1094">
        <v>1340.1046143000001</v>
      </c>
      <c r="H1094">
        <v>1337.5150146000001</v>
      </c>
      <c r="I1094">
        <v>1326.6959228999999</v>
      </c>
      <c r="J1094">
        <v>1324.9355469</v>
      </c>
      <c r="K1094">
        <v>2400</v>
      </c>
      <c r="L1094">
        <v>0</v>
      </c>
      <c r="M1094">
        <v>0</v>
      </c>
      <c r="N1094">
        <v>2400</v>
      </c>
    </row>
    <row r="1095" spans="1:14" x14ac:dyDescent="0.25">
      <c r="A1095">
        <v>383.802142</v>
      </c>
      <c r="B1095" s="1">
        <f>DATE(2011,5,19) + TIME(19,15,5)</f>
        <v>40682.802141203705</v>
      </c>
      <c r="C1095">
        <v>80</v>
      </c>
      <c r="D1095">
        <v>79.965820312000005</v>
      </c>
      <c r="E1095">
        <v>50</v>
      </c>
      <c r="F1095">
        <v>48.302524566999999</v>
      </c>
      <c r="G1095">
        <v>1340.0965576000001</v>
      </c>
      <c r="H1095">
        <v>1337.5120850000001</v>
      </c>
      <c r="I1095">
        <v>1326.6912841999999</v>
      </c>
      <c r="J1095">
        <v>1324.9293213000001</v>
      </c>
      <c r="K1095">
        <v>2400</v>
      </c>
      <c r="L1095">
        <v>0</v>
      </c>
      <c r="M1095">
        <v>0</v>
      </c>
      <c r="N1095">
        <v>2400</v>
      </c>
    </row>
    <row r="1096" spans="1:14" x14ac:dyDescent="0.25">
      <c r="A1096">
        <v>384.20559700000001</v>
      </c>
      <c r="B1096" s="1">
        <f>DATE(2011,5,20) + TIME(4,56,3)</f>
        <v>40683.205590277779</v>
      </c>
      <c r="C1096">
        <v>80</v>
      </c>
      <c r="D1096">
        <v>79.965766907000003</v>
      </c>
      <c r="E1096">
        <v>50</v>
      </c>
      <c r="F1096">
        <v>48.275817871000001</v>
      </c>
      <c r="G1096">
        <v>1340.0883789</v>
      </c>
      <c r="H1096">
        <v>1337.5090332</v>
      </c>
      <c r="I1096">
        <v>1326.6865233999999</v>
      </c>
      <c r="J1096">
        <v>1324.9227295000001</v>
      </c>
      <c r="K1096">
        <v>2400</v>
      </c>
      <c r="L1096">
        <v>0</v>
      </c>
      <c r="M1096">
        <v>0</v>
      </c>
      <c r="N1096">
        <v>2400</v>
      </c>
    </row>
    <row r="1097" spans="1:14" x14ac:dyDescent="0.25">
      <c r="A1097">
        <v>384.61205899999999</v>
      </c>
      <c r="B1097" s="1">
        <f>DATE(2011,5,20) + TIME(14,41,21)</f>
        <v>40683.61204861111</v>
      </c>
      <c r="C1097">
        <v>80</v>
      </c>
      <c r="D1097">
        <v>79.965713500999996</v>
      </c>
      <c r="E1097">
        <v>50</v>
      </c>
      <c r="F1097">
        <v>48.248931884999998</v>
      </c>
      <c r="G1097">
        <v>1340.0800781</v>
      </c>
      <c r="H1097">
        <v>1337.5059814000001</v>
      </c>
      <c r="I1097">
        <v>1326.6815185999999</v>
      </c>
      <c r="J1097">
        <v>1324.9158935999999</v>
      </c>
      <c r="K1097">
        <v>2400</v>
      </c>
      <c r="L1097">
        <v>0</v>
      </c>
      <c r="M1097">
        <v>0</v>
      </c>
      <c r="N1097">
        <v>2400</v>
      </c>
    </row>
    <row r="1098" spans="1:14" x14ac:dyDescent="0.25">
      <c r="A1098">
        <v>385.02258</v>
      </c>
      <c r="B1098" s="1">
        <f>DATE(2011,5,21) + TIME(0,32,30)</f>
        <v>40684.022569444445</v>
      </c>
      <c r="C1098">
        <v>80</v>
      </c>
      <c r="D1098">
        <v>79.965660095000004</v>
      </c>
      <c r="E1098">
        <v>50</v>
      </c>
      <c r="F1098">
        <v>48.221881865999997</v>
      </c>
      <c r="G1098">
        <v>1340.0718993999999</v>
      </c>
      <c r="H1098">
        <v>1337.5029297000001</v>
      </c>
      <c r="I1098">
        <v>1326.6763916</v>
      </c>
      <c r="J1098">
        <v>1324.9089355000001</v>
      </c>
      <c r="K1098">
        <v>2400</v>
      </c>
      <c r="L1098">
        <v>0</v>
      </c>
      <c r="M1098">
        <v>0</v>
      </c>
      <c r="N1098">
        <v>2400</v>
      </c>
    </row>
    <row r="1099" spans="1:14" x14ac:dyDescent="0.25">
      <c r="A1099">
        <v>385.43836599999997</v>
      </c>
      <c r="B1099" s="1">
        <f>DATE(2011,5,21) + TIME(10,31,14)</f>
        <v>40684.438356481478</v>
      </c>
      <c r="C1099">
        <v>80</v>
      </c>
      <c r="D1099">
        <v>79.965606688999998</v>
      </c>
      <c r="E1099">
        <v>50</v>
      </c>
      <c r="F1099">
        <v>48.194652556999998</v>
      </c>
      <c r="G1099">
        <v>1340.0638428</v>
      </c>
      <c r="H1099">
        <v>1337.4998779</v>
      </c>
      <c r="I1099">
        <v>1326.6711425999999</v>
      </c>
      <c r="J1099">
        <v>1324.9018555</v>
      </c>
      <c r="K1099">
        <v>2400</v>
      </c>
      <c r="L1099">
        <v>0</v>
      </c>
      <c r="M1099">
        <v>0</v>
      </c>
      <c r="N1099">
        <v>2400</v>
      </c>
    </row>
    <row r="1100" spans="1:14" x14ac:dyDescent="0.25">
      <c r="A1100">
        <v>385.86035099999998</v>
      </c>
      <c r="B1100" s="1">
        <f>DATE(2011,5,21) + TIME(20,38,54)</f>
        <v>40684.860347222224</v>
      </c>
      <c r="C1100">
        <v>80</v>
      </c>
      <c r="D1100">
        <v>79.965553283999995</v>
      </c>
      <c r="E1100">
        <v>50</v>
      </c>
      <c r="F1100">
        <v>48.167217254999997</v>
      </c>
      <c r="G1100">
        <v>1340.0557861</v>
      </c>
      <c r="H1100">
        <v>1337.4969481999999</v>
      </c>
      <c r="I1100">
        <v>1326.6657714999999</v>
      </c>
      <c r="J1100">
        <v>1324.8945312000001</v>
      </c>
      <c r="K1100">
        <v>2400</v>
      </c>
      <c r="L1100">
        <v>0</v>
      </c>
      <c r="M1100">
        <v>0</v>
      </c>
      <c r="N1100">
        <v>2400</v>
      </c>
    </row>
    <row r="1101" spans="1:14" x14ac:dyDescent="0.25">
      <c r="A1101">
        <v>386.28965599999998</v>
      </c>
      <c r="B1101" s="1">
        <f>DATE(2011,5,22) + TIME(6,57,6)</f>
        <v>40685.289652777778</v>
      </c>
      <c r="C1101">
        <v>80</v>
      </c>
      <c r="D1101">
        <v>79.965499878000003</v>
      </c>
      <c r="E1101">
        <v>50</v>
      </c>
      <c r="F1101">
        <v>48.139533997000001</v>
      </c>
      <c r="G1101">
        <v>1340.0477295000001</v>
      </c>
      <c r="H1101">
        <v>1337.4938964999999</v>
      </c>
      <c r="I1101">
        <v>1326.6604004000001</v>
      </c>
      <c r="J1101">
        <v>1324.8870850000001</v>
      </c>
      <c r="K1101">
        <v>2400</v>
      </c>
      <c r="L1101">
        <v>0</v>
      </c>
      <c r="M1101">
        <v>0</v>
      </c>
      <c r="N1101">
        <v>2400</v>
      </c>
    </row>
    <row r="1102" spans="1:14" x14ac:dyDescent="0.25">
      <c r="A1102">
        <v>386.72078900000002</v>
      </c>
      <c r="B1102" s="1">
        <f>DATE(2011,5,22) + TIME(17,17,56)</f>
        <v>40685.72078703704</v>
      </c>
      <c r="C1102">
        <v>80</v>
      </c>
      <c r="D1102">
        <v>79.965446471999996</v>
      </c>
      <c r="E1102">
        <v>50</v>
      </c>
      <c r="F1102">
        <v>48.111846923999998</v>
      </c>
      <c r="G1102">
        <v>1340.0397949000001</v>
      </c>
      <c r="H1102">
        <v>1337.4909668</v>
      </c>
      <c r="I1102">
        <v>1326.6547852000001</v>
      </c>
      <c r="J1102">
        <v>1324.8793945</v>
      </c>
      <c r="K1102">
        <v>2400</v>
      </c>
      <c r="L1102">
        <v>0</v>
      </c>
      <c r="M1102">
        <v>0</v>
      </c>
      <c r="N1102">
        <v>2400</v>
      </c>
    </row>
    <row r="1103" spans="1:14" x14ac:dyDescent="0.25">
      <c r="A1103">
        <v>387.15329100000002</v>
      </c>
      <c r="B1103" s="1">
        <f>DATE(2011,5,23) + TIME(3,40,44)</f>
        <v>40686.153287037036</v>
      </c>
      <c r="C1103">
        <v>80</v>
      </c>
      <c r="D1103">
        <v>79.965400696000003</v>
      </c>
      <c r="E1103">
        <v>50</v>
      </c>
      <c r="F1103">
        <v>48.084205627000003</v>
      </c>
      <c r="G1103">
        <v>1340.0319824000001</v>
      </c>
      <c r="H1103">
        <v>1337.4880370999999</v>
      </c>
      <c r="I1103">
        <v>1326.6490478999999</v>
      </c>
      <c r="J1103">
        <v>1324.8717041</v>
      </c>
      <c r="K1103">
        <v>2400</v>
      </c>
      <c r="L1103">
        <v>0</v>
      </c>
      <c r="M1103">
        <v>0</v>
      </c>
      <c r="N1103">
        <v>2400</v>
      </c>
    </row>
    <row r="1104" spans="1:14" x14ac:dyDescent="0.25">
      <c r="A1104">
        <v>387.588413</v>
      </c>
      <c r="B1104" s="1">
        <f>DATE(2011,5,23) + TIME(14,7,18)</f>
        <v>40686.588402777779</v>
      </c>
      <c r="C1104">
        <v>80</v>
      </c>
      <c r="D1104">
        <v>79.965347289999997</v>
      </c>
      <c r="E1104">
        <v>50</v>
      </c>
      <c r="F1104">
        <v>48.056591034</v>
      </c>
      <c r="G1104">
        <v>1340.0242920000001</v>
      </c>
      <c r="H1104">
        <v>1337.4852295000001</v>
      </c>
      <c r="I1104">
        <v>1326.6433105000001</v>
      </c>
      <c r="J1104">
        <v>1324.8637695</v>
      </c>
      <c r="K1104">
        <v>2400</v>
      </c>
      <c r="L1104">
        <v>0</v>
      </c>
      <c r="M1104">
        <v>0</v>
      </c>
      <c r="N1104">
        <v>2400</v>
      </c>
    </row>
    <row r="1105" spans="1:14" x14ac:dyDescent="0.25">
      <c r="A1105">
        <v>388.02739700000001</v>
      </c>
      <c r="B1105" s="1">
        <f>DATE(2011,5,24) + TIME(0,39,27)</f>
        <v>40687.027395833335</v>
      </c>
      <c r="C1105">
        <v>80</v>
      </c>
      <c r="D1105">
        <v>79.965301514000004</v>
      </c>
      <c r="E1105">
        <v>50</v>
      </c>
      <c r="F1105">
        <v>48.028957366999997</v>
      </c>
      <c r="G1105">
        <v>1340.0166016000001</v>
      </c>
      <c r="H1105">
        <v>1337.4824219</v>
      </c>
      <c r="I1105">
        <v>1326.6375731999999</v>
      </c>
      <c r="J1105">
        <v>1324.8558350000001</v>
      </c>
      <c r="K1105">
        <v>2400</v>
      </c>
      <c r="L1105">
        <v>0</v>
      </c>
      <c r="M1105">
        <v>0</v>
      </c>
      <c r="N1105">
        <v>2400</v>
      </c>
    </row>
    <row r="1106" spans="1:14" x14ac:dyDescent="0.25">
      <c r="A1106">
        <v>388.47171100000003</v>
      </c>
      <c r="B1106" s="1">
        <f>DATE(2011,5,24) + TIME(11,19,15)</f>
        <v>40687.471701388888</v>
      </c>
      <c r="C1106">
        <v>80</v>
      </c>
      <c r="D1106">
        <v>79.965248107999997</v>
      </c>
      <c r="E1106">
        <v>50</v>
      </c>
      <c r="F1106">
        <v>48.001243590999998</v>
      </c>
      <c r="G1106">
        <v>1340.0090332</v>
      </c>
      <c r="H1106">
        <v>1337.4796143000001</v>
      </c>
      <c r="I1106">
        <v>1326.6315918</v>
      </c>
      <c r="J1106">
        <v>1324.8476562000001</v>
      </c>
      <c r="K1106">
        <v>2400</v>
      </c>
      <c r="L1106">
        <v>0</v>
      </c>
      <c r="M1106">
        <v>0</v>
      </c>
      <c r="N1106">
        <v>2400</v>
      </c>
    </row>
    <row r="1107" spans="1:14" x14ac:dyDescent="0.25">
      <c r="A1107">
        <v>388.92249099999998</v>
      </c>
      <c r="B1107" s="1">
        <f>DATE(2011,5,24) + TIME(22,8,23)</f>
        <v>40687.922488425924</v>
      </c>
      <c r="C1107">
        <v>80</v>
      </c>
      <c r="D1107">
        <v>79.965202332000004</v>
      </c>
      <c r="E1107">
        <v>50</v>
      </c>
      <c r="F1107">
        <v>47.973392486999998</v>
      </c>
      <c r="G1107">
        <v>1340.0015868999999</v>
      </c>
      <c r="H1107">
        <v>1337.4768065999999</v>
      </c>
      <c r="I1107">
        <v>1326.6256103999999</v>
      </c>
      <c r="J1107">
        <v>1324.8393555</v>
      </c>
      <c r="K1107">
        <v>2400</v>
      </c>
      <c r="L1107">
        <v>0</v>
      </c>
      <c r="M1107">
        <v>0</v>
      </c>
      <c r="N1107">
        <v>2400</v>
      </c>
    </row>
    <row r="1108" spans="1:14" x14ac:dyDescent="0.25">
      <c r="A1108">
        <v>389.38131700000002</v>
      </c>
      <c r="B1108" s="1">
        <f>DATE(2011,5,25) + TIME(9,9,5)</f>
        <v>40688.381307870368</v>
      </c>
      <c r="C1108">
        <v>80</v>
      </c>
      <c r="D1108">
        <v>79.965156554999993</v>
      </c>
      <c r="E1108">
        <v>50</v>
      </c>
      <c r="F1108">
        <v>47.945335387999997</v>
      </c>
      <c r="G1108">
        <v>1339.9941406</v>
      </c>
      <c r="H1108">
        <v>1337.473999</v>
      </c>
      <c r="I1108">
        <v>1326.6193848</v>
      </c>
      <c r="J1108">
        <v>1324.8308105000001</v>
      </c>
      <c r="K1108">
        <v>2400</v>
      </c>
      <c r="L1108">
        <v>0</v>
      </c>
      <c r="M1108">
        <v>0</v>
      </c>
      <c r="N1108">
        <v>2400</v>
      </c>
    </row>
    <row r="1109" spans="1:14" x14ac:dyDescent="0.25">
      <c r="A1109">
        <v>389.84971999999999</v>
      </c>
      <c r="B1109" s="1">
        <f>DATE(2011,5,25) + TIME(20,23,35)</f>
        <v>40688.849710648145</v>
      </c>
      <c r="C1109">
        <v>80</v>
      </c>
      <c r="D1109">
        <v>79.965110779</v>
      </c>
      <c r="E1109">
        <v>50</v>
      </c>
      <c r="F1109">
        <v>47.916999816999997</v>
      </c>
      <c r="G1109">
        <v>1339.9866943</v>
      </c>
      <c r="H1109">
        <v>1337.4711914</v>
      </c>
      <c r="I1109">
        <v>1326.6130370999999</v>
      </c>
      <c r="J1109">
        <v>1324.8220214999999</v>
      </c>
      <c r="K1109">
        <v>2400</v>
      </c>
      <c r="L1109">
        <v>0</v>
      </c>
      <c r="M1109">
        <v>0</v>
      </c>
      <c r="N1109">
        <v>2400</v>
      </c>
    </row>
    <row r="1110" spans="1:14" x14ac:dyDescent="0.25">
      <c r="A1110">
        <v>390.33245199999999</v>
      </c>
      <c r="B1110" s="1">
        <f>DATE(2011,5,26) + TIME(7,58,43)</f>
        <v>40689.332442129627</v>
      </c>
      <c r="C1110">
        <v>80</v>
      </c>
      <c r="D1110">
        <v>79.965057372999993</v>
      </c>
      <c r="E1110">
        <v>50</v>
      </c>
      <c r="F1110">
        <v>47.888175963999998</v>
      </c>
      <c r="G1110">
        <v>1339.9792480000001</v>
      </c>
      <c r="H1110">
        <v>1337.4683838000001</v>
      </c>
      <c r="I1110">
        <v>1326.6065673999999</v>
      </c>
      <c r="J1110">
        <v>1324.8131103999999</v>
      </c>
      <c r="K1110">
        <v>2400</v>
      </c>
      <c r="L1110">
        <v>0</v>
      </c>
      <c r="M1110">
        <v>0</v>
      </c>
      <c r="N1110">
        <v>2400</v>
      </c>
    </row>
    <row r="1111" spans="1:14" x14ac:dyDescent="0.25">
      <c r="A1111">
        <v>390.82677000000001</v>
      </c>
      <c r="B1111" s="1">
        <f>DATE(2011,5,26) + TIME(19,50,32)</f>
        <v>40689.82675925926</v>
      </c>
      <c r="C1111">
        <v>80</v>
      </c>
      <c r="D1111">
        <v>79.965011597</v>
      </c>
      <c r="E1111">
        <v>50</v>
      </c>
      <c r="F1111">
        <v>47.858940124999997</v>
      </c>
      <c r="G1111">
        <v>1339.9716797000001</v>
      </c>
      <c r="H1111">
        <v>1337.4655762</v>
      </c>
      <c r="I1111">
        <v>1326.5998535000001</v>
      </c>
      <c r="J1111">
        <v>1324.8037108999999</v>
      </c>
      <c r="K1111">
        <v>2400</v>
      </c>
      <c r="L1111">
        <v>0</v>
      </c>
      <c r="M1111">
        <v>0</v>
      </c>
      <c r="N1111">
        <v>2400</v>
      </c>
    </row>
    <row r="1112" spans="1:14" x14ac:dyDescent="0.25">
      <c r="A1112">
        <v>391.33353499999998</v>
      </c>
      <c r="B1112" s="1">
        <f>DATE(2011,5,27) + TIME(8,0,17)</f>
        <v>40690.33353009259</v>
      </c>
      <c r="C1112">
        <v>80</v>
      </c>
      <c r="D1112">
        <v>79.964965820000003</v>
      </c>
      <c r="E1112">
        <v>50</v>
      </c>
      <c r="F1112">
        <v>47.829254149999997</v>
      </c>
      <c r="G1112">
        <v>1339.9641113</v>
      </c>
      <c r="H1112">
        <v>1337.4627685999999</v>
      </c>
      <c r="I1112">
        <v>1326.5928954999999</v>
      </c>
      <c r="J1112">
        <v>1324.7941894999999</v>
      </c>
      <c r="K1112">
        <v>2400</v>
      </c>
      <c r="L1112">
        <v>0</v>
      </c>
      <c r="M1112">
        <v>0</v>
      </c>
      <c r="N1112">
        <v>2400</v>
      </c>
    </row>
    <row r="1113" spans="1:14" x14ac:dyDescent="0.25">
      <c r="A1113">
        <v>391.85872699999999</v>
      </c>
      <c r="B1113" s="1">
        <f>DATE(2011,5,27) + TIME(20,36,34)</f>
        <v>40690.858726851853</v>
      </c>
      <c r="C1113">
        <v>80</v>
      </c>
      <c r="D1113">
        <v>79.964920043999996</v>
      </c>
      <c r="E1113">
        <v>50</v>
      </c>
      <c r="F1113">
        <v>47.798896790000001</v>
      </c>
      <c r="G1113">
        <v>1339.9564209</v>
      </c>
      <c r="H1113">
        <v>1337.4598389</v>
      </c>
      <c r="I1113">
        <v>1326.5856934000001</v>
      </c>
      <c r="J1113">
        <v>1324.7841797000001</v>
      </c>
      <c r="K1113">
        <v>2400</v>
      </c>
      <c r="L1113">
        <v>0</v>
      </c>
      <c r="M1113">
        <v>0</v>
      </c>
      <c r="N1113">
        <v>2400</v>
      </c>
    </row>
    <row r="1114" spans="1:14" x14ac:dyDescent="0.25">
      <c r="A1114">
        <v>392.40514300000001</v>
      </c>
      <c r="B1114" s="1">
        <f>DATE(2011,5,28) + TIME(9,43,24)</f>
        <v>40691.405138888891</v>
      </c>
      <c r="C1114">
        <v>80</v>
      </c>
      <c r="D1114">
        <v>79.964874268000003</v>
      </c>
      <c r="E1114">
        <v>50</v>
      </c>
      <c r="F1114">
        <v>47.767734527999998</v>
      </c>
      <c r="G1114">
        <v>1339.9486084</v>
      </c>
      <c r="H1114">
        <v>1337.4569091999999</v>
      </c>
      <c r="I1114">
        <v>1326.5782471</v>
      </c>
      <c r="J1114">
        <v>1324.7738036999999</v>
      </c>
      <c r="K1114">
        <v>2400</v>
      </c>
      <c r="L1114">
        <v>0</v>
      </c>
      <c r="M1114">
        <v>0</v>
      </c>
      <c r="N1114">
        <v>2400</v>
      </c>
    </row>
    <row r="1115" spans="1:14" x14ac:dyDescent="0.25">
      <c r="A1115">
        <v>392.976226</v>
      </c>
      <c r="B1115" s="1">
        <f>DATE(2011,5,28) + TIME(23,25,45)</f>
        <v>40691.976215277777</v>
      </c>
      <c r="C1115">
        <v>80</v>
      </c>
      <c r="D1115">
        <v>79.964828491000006</v>
      </c>
      <c r="E1115">
        <v>50</v>
      </c>
      <c r="F1115">
        <v>47.735610962000003</v>
      </c>
      <c r="G1115">
        <v>1339.9406738</v>
      </c>
      <c r="H1115">
        <v>1337.4538574000001</v>
      </c>
      <c r="I1115">
        <v>1326.5704346</v>
      </c>
      <c r="J1115">
        <v>1324.7629394999999</v>
      </c>
      <c r="K1115">
        <v>2400</v>
      </c>
      <c r="L1115">
        <v>0</v>
      </c>
      <c r="M1115">
        <v>0</v>
      </c>
      <c r="N1115">
        <v>2400</v>
      </c>
    </row>
    <row r="1116" spans="1:14" x14ac:dyDescent="0.25">
      <c r="A1116">
        <v>393.26452</v>
      </c>
      <c r="B1116" s="1">
        <f>DATE(2011,5,29) + TIME(6,20,54)</f>
        <v>40692.264513888891</v>
      </c>
      <c r="C1116">
        <v>80</v>
      </c>
      <c r="D1116">
        <v>79.964782714999998</v>
      </c>
      <c r="E1116">
        <v>50</v>
      </c>
      <c r="F1116">
        <v>47.715366363999998</v>
      </c>
      <c r="G1116">
        <v>1339.9332274999999</v>
      </c>
      <c r="H1116">
        <v>1337.4512939000001</v>
      </c>
      <c r="I1116">
        <v>1326.5628661999999</v>
      </c>
      <c r="J1116">
        <v>1324.7526855000001</v>
      </c>
      <c r="K1116">
        <v>2400</v>
      </c>
      <c r="L1116">
        <v>0</v>
      </c>
      <c r="M1116">
        <v>0</v>
      </c>
      <c r="N1116">
        <v>2400</v>
      </c>
    </row>
    <row r="1117" spans="1:14" x14ac:dyDescent="0.25">
      <c r="A1117">
        <v>393.55281400000001</v>
      </c>
      <c r="B1117" s="1">
        <f>DATE(2011,5,29) + TIME(13,16,3)</f>
        <v>40692.552812499998</v>
      </c>
      <c r="C1117">
        <v>80</v>
      </c>
      <c r="D1117">
        <v>79.964752196999996</v>
      </c>
      <c r="E1117">
        <v>50</v>
      </c>
      <c r="F1117">
        <v>47.696098327999998</v>
      </c>
      <c r="G1117">
        <v>1339.9288329999999</v>
      </c>
      <c r="H1117">
        <v>1337.4494629000001</v>
      </c>
      <c r="I1117">
        <v>1326.5582274999999</v>
      </c>
      <c r="J1117">
        <v>1324.7462158000001</v>
      </c>
      <c r="K1117">
        <v>2400</v>
      </c>
      <c r="L1117">
        <v>0</v>
      </c>
      <c r="M1117">
        <v>0</v>
      </c>
      <c r="N1117">
        <v>2400</v>
      </c>
    </row>
    <row r="1118" spans="1:14" x14ac:dyDescent="0.25">
      <c r="A1118">
        <v>393.84055799999999</v>
      </c>
      <c r="B1118" s="1">
        <f>DATE(2011,5,29) + TIME(20,10,24)</f>
        <v>40692.840555555558</v>
      </c>
      <c r="C1118">
        <v>80</v>
      </c>
      <c r="D1118">
        <v>79.964721679999997</v>
      </c>
      <c r="E1118">
        <v>50</v>
      </c>
      <c r="F1118">
        <v>47.677608489999997</v>
      </c>
      <c r="G1118">
        <v>1339.9246826000001</v>
      </c>
      <c r="H1118">
        <v>1337.4477539</v>
      </c>
      <c r="I1118">
        <v>1326.5537108999999</v>
      </c>
      <c r="J1118">
        <v>1324.7398682</v>
      </c>
      <c r="K1118">
        <v>2400</v>
      </c>
      <c r="L1118">
        <v>0</v>
      </c>
      <c r="M1118">
        <v>0</v>
      </c>
      <c r="N1118">
        <v>2400</v>
      </c>
    </row>
    <row r="1119" spans="1:14" x14ac:dyDescent="0.25">
      <c r="A1119">
        <v>394.127748</v>
      </c>
      <c r="B1119" s="1">
        <f>DATE(2011,5,30) + TIME(3,3,57)</f>
        <v>40693.127743055556</v>
      </c>
      <c r="C1119">
        <v>80</v>
      </c>
      <c r="D1119">
        <v>79.964698791999993</v>
      </c>
      <c r="E1119">
        <v>50</v>
      </c>
      <c r="F1119">
        <v>47.659725189</v>
      </c>
      <c r="G1119">
        <v>1339.9207764</v>
      </c>
      <c r="H1119">
        <v>1337.4461670000001</v>
      </c>
      <c r="I1119">
        <v>1326.5493164</v>
      </c>
      <c r="J1119">
        <v>1324.7336425999999</v>
      </c>
      <c r="K1119">
        <v>2400</v>
      </c>
      <c r="L1119">
        <v>0</v>
      </c>
      <c r="M1119">
        <v>0</v>
      </c>
      <c r="N1119">
        <v>2400</v>
      </c>
    </row>
    <row r="1120" spans="1:14" x14ac:dyDescent="0.25">
      <c r="A1120">
        <v>394.41465699999998</v>
      </c>
      <c r="B1120" s="1">
        <f>DATE(2011,5,30) + TIME(9,57,6)</f>
        <v>40693.414652777778</v>
      </c>
      <c r="C1120">
        <v>80</v>
      </c>
      <c r="D1120">
        <v>79.964675903</v>
      </c>
      <c r="E1120">
        <v>50</v>
      </c>
      <c r="F1120">
        <v>47.642318725999999</v>
      </c>
      <c r="G1120">
        <v>1339.9168701000001</v>
      </c>
      <c r="H1120">
        <v>1337.4447021000001</v>
      </c>
      <c r="I1120">
        <v>1326.5449219</v>
      </c>
      <c r="J1120">
        <v>1324.7275391000001</v>
      </c>
      <c r="K1120">
        <v>2400</v>
      </c>
      <c r="L1120">
        <v>0</v>
      </c>
      <c r="M1120">
        <v>0</v>
      </c>
      <c r="N1120">
        <v>2400</v>
      </c>
    </row>
    <row r="1121" spans="1:14" x14ac:dyDescent="0.25">
      <c r="A1121">
        <v>394.70154700000001</v>
      </c>
      <c r="B1121" s="1">
        <f>DATE(2011,5,30) + TIME(16,50,13)</f>
        <v>40693.701539351852</v>
      </c>
      <c r="C1121">
        <v>80</v>
      </c>
      <c r="D1121">
        <v>79.964653014999996</v>
      </c>
      <c r="E1121">
        <v>50</v>
      </c>
      <c r="F1121">
        <v>47.625274658000002</v>
      </c>
      <c r="G1121">
        <v>1339.9129639</v>
      </c>
      <c r="H1121">
        <v>1337.4431152</v>
      </c>
      <c r="I1121">
        <v>1326.5406493999999</v>
      </c>
      <c r="J1121">
        <v>1324.7213135</v>
      </c>
      <c r="K1121">
        <v>2400</v>
      </c>
      <c r="L1121">
        <v>0</v>
      </c>
      <c r="M1121">
        <v>0</v>
      </c>
      <c r="N1121">
        <v>2400</v>
      </c>
    </row>
    <row r="1122" spans="1:14" x14ac:dyDescent="0.25">
      <c r="A1122">
        <v>395.27532600000001</v>
      </c>
      <c r="B1122" s="1">
        <f>DATE(2011,5,31) + TIME(6,36,28)</f>
        <v>40694.275324074071</v>
      </c>
      <c r="C1122">
        <v>80</v>
      </c>
      <c r="D1122">
        <v>79.964630127000007</v>
      </c>
      <c r="E1122">
        <v>50</v>
      </c>
      <c r="F1122">
        <v>47.598396301000001</v>
      </c>
      <c r="G1122">
        <v>1339.9086914</v>
      </c>
      <c r="H1122">
        <v>1337.4412841999999</v>
      </c>
      <c r="I1122">
        <v>1326.5357666</v>
      </c>
      <c r="J1122">
        <v>1324.7142334</v>
      </c>
      <c r="K1122">
        <v>2400</v>
      </c>
      <c r="L1122">
        <v>0</v>
      </c>
      <c r="M1122">
        <v>0</v>
      </c>
      <c r="N1122">
        <v>2400</v>
      </c>
    </row>
    <row r="1123" spans="1:14" x14ac:dyDescent="0.25">
      <c r="A1123">
        <v>395.85015099999998</v>
      </c>
      <c r="B1123" s="1">
        <f>DATE(2011,5,31) + TIME(20,24,13)</f>
        <v>40694.85015046296</v>
      </c>
      <c r="C1123">
        <v>80</v>
      </c>
      <c r="D1123">
        <v>79.964591979999994</v>
      </c>
      <c r="E1123">
        <v>50</v>
      </c>
      <c r="F1123">
        <v>47.569652556999998</v>
      </c>
      <c r="G1123">
        <v>1339.9014893000001</v>
      </c>
      <c r="H1123">
        <v>1337.4385986</v>
      </c>
      <c r="I1123">
        <v>1326.5277100000001</v>
      </c>
      <c r="J1123">
        <v>1324.7032471</v>
      </c>
      <c r="K1123">
        <v>2400</v>
      </c>
      <c r="L1123">
        <v>0</v>
      </c>
      <c r="M1123">
        <v>0</v>
      </c>
      <c r="N1123">
        <v>2400</v>
      </c>
    </row>
    <row r="1124" spans="1:14" x14ac:dyDescent="0.25">
      <c r="A1124">
        <v>396</v>
      </c>
      <c r="B1124" s="1">
        <f>DATE(2011,6,1) + TIME(0,0,0)</f>
        <v>40695</v>
      </c>
      <c r="C1124">
        <v>80</v>
      </c>
      <c r="D1124">
        <v>79.964569092000005</v>
      </c>
      <c r="E1124">
        <v>50</v>
      </c>
      <c r="F1124">
        <v>47.558677672999998</v>
      </c>
      <c r="G1124">
        <v>1339.8953856999999</v>
      </c>
      <c r="H1124">
        <v>1337.4367675999999</v>
      </c>
      <c r="I1124">
        <v>1326.5205077999999</v>
      </c>
      <c r="J1124">
        <v>1324.6936035000001</v>
      </c>
      <c r="K1124">
        <v>2400</v>
      </c>
      <c r="L1124">
        <v>0</v>
      </c>
      <c r="M1124">
        <v>0</v>
      </c>
      <c r="N1124">
        <v>2400</v>
      </c>
    </row>
    <row r="1125" spans="1:14" x14ac:dyDescent="0.25">
      <c r="A1125">
        <v>396.57822199999998</v>
      </c>
      <c r="B1125" s="1">
        <f>DATE(2011,6,1) + TIME(13,52,38)</f>
        <v>40695.578217592592</v>
      </c>
      <c r="C1125">
        <v>80</v>
      </c>
      <c r="D1125">
        <v>79.964538574000002</v>
      </c>
      <c r="E1125">
        <v>50</v>
      </c>
      <c r="F1125">
        <v>47.529968261999997</v>
      </c>
      <c r="G1125">
        <v>1339.8919678</v>
      </c>
      <c r="H1125">
        <v>1337.4348144999999</v>
      </c>
      <c r="I1125">
        <v>1326.5168457</v>
      </c>
      <c r="J1125">
        <v>1324.6879882999999</v>
      </c>
      <c r="K1125">
        <v>2400</v>
      </c>
      <c r="L1125">
        <v>0</v>
      </c>
      <c r="M1125">
        <v>0</v>
      </c>
      <c r="N1125">
        <v>2400</v>
      </c>
    </row>
    <row r="1126" spans="1:14" x14ac:dyDescent="0.25">
      <c r="A1126">
        <v>397.16333900000001</v>
      </c>
      <c r="B1126" s="1">
        <f>DATE(2011,6,2) + TIME(3,55,12)</f>
        <v>40696.16333333333</v>
      </c>
      <c r="C1126">
        <v>80</v>
      </c>
      <c r="D1126">
        <v>79.964500427000004</v>
      </c>
      <c r="E1126">
        <v>50</v>
      </c>
      <c r="F1126">
        <v>47.500087737999998</v>
      </c>
      <c r="G1126">
        <v>1339.8848877</v>
      </c>
      <c r="H1126">
        <v>1337.4321289</v>
      </c>
      <c r="I1126">
        <v>1326.5084228999999</v>
      </c>
      <c r="J1126">
        <v>1324.6762695</v>
      </c>
      <c r="K1126">
        <v>2400</v>
      </c>
      <c r="L1126">
        <v>0</v>
      </c>
      <c r="M1126">
        <v>0</v>
      </c>
      <c r="N1126">
        <v>2400</v>
      </c>
    </row>
    <row r="1127" spans="1:14" x14ac:dyDescent="0.25">
      <c r="A1127">
        <v>397.75621599999999</v>
      </c>
      <c r="B1127" s="1">
        <f>DATE(2011,6,2) + TIME(18,8,57)</f>
        <v>40696.756215277775</v>
      </c>
      <c r="C1127">
        <v>80</v>
      </c>
      <c r="D1127">
        <v>79.964462280000006</v>
      </c>
      <c r="E1127">
        <v>50</v>
      </c>
      <c r="F1127">
        <v>47.469436645999998</v>
      </c>
      <c r="G1127">
        <v>1339.8776855000001</v>
      </c>
      <c r="H1127">
        <v>1337.4293213000001</v>
      </c>
      <c r="I1127">
        <v>1326.4997559000001</v>
      </c>
      <c r="J1127">
        <v>1324.6641846</v>
      </c>
      <c r="K1127">
        <v>2400</v>
      </c>
      <c r="L1127">
        <v>0</v>
      </c>
      <c r="M1127">
        <v>0</v>
      </c>
      <c r="N1127">
        <v>2400</v>
      </c>
    </row>
    <row r="1128" spans="1:14" x14ac:dyDescent="0.25">
      <c r="A1128">
        <v>398.35910799999999</v>
      </c>
      <c r="B1128" s="1">
        <f>DATE(2011,6,3) + TIME(8,37,6)</f>
        <v>40697.359097222223</v>
      </c>
      <c r="C1128">
        <v>80</v>
      </c>
      <c r="D1128">
        <v>79.964424132999994</v>
      </c>
      <c r="E1128">
        <v>50</v>
      </c>
      <c r="F1128">
        <v>47.438201904000003</v>
      </c>
      <c r="G1128">
        <v>1339.8704834</v>
      </c>
      <c r="H1128">
        <v>1337.4265137</v>
      </c>
      <c r="I1128">
        <v>1326.4908447</v>
      </c>
      <c r="J1128">
        <v>1324.6517334</v>
      </c>
      <c r="K1128">
        <v>2400</v>
      </c>
      <c r="L1128">
        <v>0</v>
      </c>
      <c r="M1128">
        <v>0</v>
      </c>
      <c r="N1128">
        <v>2400</v>
      </c>
    </row>
    <row r="1129" spans="1:14" x14ac:dyDescent="0.25">
      <c r="A1129">
        <v>398.97413599999999</v>
      </c>
      <c r="B1129" s="1">
        <f>DATE(2011,6,3) + TIME(23,22,45)</f>
        <v>40697.974131944444</v>
      </c>
      <c r="C1129">
        <v>80</v>
      </c>
      <c r="D1129">
        <v>79.964378357000001</v>
      </c>
      <c r="E1129">
        <v>50</v>
      </c>
      <c r="F1129">
        <v>47.406452178999999</v>
      </c>
      <c r="G1129">
        <v>1339.8632812000001</v>
      </c>
      <c r="H1129">
        <v>1337.4237060999999</v>
      </c>
      <c r="I1129">
        <v>1326.4816894999999</v>
      </c>
      <c r="J1129">
        <v>1324.6389160000001</v>
      </c>
      <c r="K1129">
        <v>2400</v>
      </c>
      <c r="L1129">
        <v>0</v>
      </c>
      <c r="M1129">
        <v>0</v>
      </c>
      <c r="N1129">
        <v>2400</v>
      </c>
    </row>
    <row r="1130" spans="1:14" x14ac:dyDescent="0.25">
      <c r="A1130">
        <v>399.603658</v>
      </c>
      <c r="B1130" s="1">
        <f>DATE(2011,6,4) + TIME(14,29,16)</f>
        <v>40698.60365740741</v>
      </c>
      <c r="C1130">
        <v>80</v>
      </c>
      <c r="D1130">
        <v>79.964340210000003</v>
      </c>
      <c r="E1130">
        <v>50</v>
      </c>
      <c r="F1130">
        <v>47.374198913999997</v>
      </c>
      <c r="G1130">
        <v>1339.8560791</v>
      </c>
      <c r="H1130">
        <v>1337.4208983999999</v>
      </c>
      <c r="I1130">
        <v>1326.4722899999999</v>
      </c>
      <c r="J1130">
        <v>1324.6256103999999</v>
      </c>
      <c r="K1130">
        <v>2400</v>
      </c>
      <c r="L1130">
        <v>0</v>
      </c>
      <c r="M1130">
        <v>0</v>
      </c>
      <c r="N1130">
        <v>2400</v>
      </c>
    </row>
    <row r="1131" spans="1:14" x14ac:dyDescent="0.25">
      <c r="A1131">
        <v>400.25395099999997</v>
      </c>
      <c r="B1131" s="1">
        <f>DATE(2011,6,5) + TIME(6,5,41)</f>
        <v>40699.253946759258</v>
      </c>
      <c r="C1131">
        <v>80</v>
      </c>
      <c r="D1131">
        <v>79.964302063000005</v>
      </c>
      <c r="E1131">
        <v>50</v>
      </c>
      <c r="F1131">
        <v>47.341281891000001</v>
      </c>
      <c r="G1131">
        <v>1339.8488769999999</v>
      </c>
      <c r="H1131">
        <v>1337.4179687999999</v>
      </c>
      <c r="I1131">
        <v>1326.4626464999999</v>
      </c>
      <c r="J1131">
        <v>1324.6120605000001</v>
      </c>
      <c r="K1131">
        <v>2400</v>
      </c>
      <c r="L1131">
        <v>0</v>
      </c>
      <c r="M1131">
        <v>0</v>
      </c>
      <c r="N1131">
        <v>2400</v>
      </c>
    </row>
    <row r="1132" spans="1:14" x14ac:dyDescent="0.25">
      <c r="A1132">
        <v>400.92254400000002</v>
      </c>
      <c r="B1132" s="1">
        <f>DATE(2011,6,5) + TIME(22,8,27)</f>
        <v>40699.922534722224</v>
      </c>
      <c r="C1132">
        <v>80</v>
      </c>
      <c r="D1132">
        <v>79.964263915999993</v>
      </c>
      <c r="E1132">
        <v>50</v>
      </c>
      <c r="F1132">
        <v>47.307750702</v>
      </c>
      <c r="G1132">
        <v>1339.8415527</v>
      </c>
      <c r="H1132">
        <v>1337.4150391000001</v>
      </c>
      <c r="I1132">
        <v>1326.4525146000001</v>
      </c>
      <c r="J1132">
        <v>1324.5979004000001</v>
      </c>
      <c r="K1132">
        <v>2400</v>
      </c>
      <c r="L1132">
        <v>0</v>
      </c>
      <c r="M1132">
        <v>0</v>
      </c>
      <c r="N1132">
        <v>2400</v>
      </c>
    </row>
    <row r="1133" spans="1:14" x14ac:dyDescent="0.25">
      <c r="A1133">
        <v>401.60499800000002</v>
      </c>
      <c r="B1133" s="1">
        <f>DATE(2011,6,6) + TIME(14,31,11)</f>
        <v>40700.604988425926</v>
      </c>
      <c r="C1133">
        <v>80</v>
      </c>
      <c r="D1133">
        <v>79.964225768999995</v>
      </c>
      <c r="E1133">
        <v>50</v>
      </c>
      <c r="F1133">
        <v>47.273731232000003</v>
      </c>
      <c r="G1133">
        <v>1339.8341064000001</v>
      </c>
      <c r="H1133">
        <v>1337.4121094</v>
      </c>
      <c r="I1133">
        <v>1326.4422606999999</v>
      </c>
      <c r="J1133">
        <v>1324.583374</v>
      </c>
      <c r="K1133">
        <v>2400</v>
      </c>
      <c r="L1133">
        <v>0</v>
      </c>
      <c r="M1133">
        <v>0</v>
      </c>
      <c r="N1133">
        <v>2400</v>
      </c>
    </row>
    <row r="1134" spans="1:14" x14ac:dyDescent="0.25">
      <c r="A1134">
        <v>402.30538200000001</v>
      </c>
      <c r="B1134" s="1">
        <f>DATE(2011,6,7) + TIME(7,19,45)</f>
        <v>40701.305381944447</v>
      </c>
      <c r="C1134">
        <v>80</v>
      </c>
      <c r="D1134">
        <v>79.964195251000007</v>
      </c>
      <c r="E1134">
        <v>50</v>
      </c>
      <c r="F1134">
        <v>47.239173889</v>
      </c>
      <c r="G1134">
        <v>1339.8266602000001</v>
      </c>
      <c r="H1134">
        <v>1337.4090576000001</v>
      </c>
      <c r="I1134">
        <v>1326.4315185999999</v>
      </c>
      <c r="J1134">
        <v>1324.5683594</v>
      </c>
      <c r="K1134">
        <v>2400</v>
      </c>
      <c r="L1134">
        <v>0</v>
      </c>
      <c r="M1134">
        <v>0</v>
      </c>
      <c r="N1134">
        <v>2400</v>
      </c>
    </row>
    <row r="1135" spans="1:14" x14ac:dyDescent="0.25">
      <c r="A1135">
        <v>402.66956199999998</v>
      </c>
      <c r="B1135" s="1">
        <f>DATE(2011,6,7) + TIME(16,4,10)</f>
        <v>40701.669560185182</v>
      </c>
      <c r="C1135">
        <v>80</v>
      </c>
      <c r="D1135">
        <v>79.964157103999995</v>
      </c>
      <c r="E1135">
        <v>50</v>
      </c>
      <c r="F1135">
        <v>47.216243744000003</v>
      </c>
      <c r="G1135">
        <v>1339.8198242000001</v>
      </c>
      <c r="H1135">
        <v>1337.4066161999999</v>
      </c>
      <c r="I1135">
        <v>1326.4215088000001</v>
      </c>
      <c r="J1135">
        <v>1324.5543213000001</v>
      </c>
      <c r="K1135">
        <v>2400</v>
      </c>
      <c r="L1135">
        <v>0</v>
      </c>
      <c r="M1135">
        <v>0</v>
      </c>
      <c r="N1135">
        <v>2400</v>
      </c>
    </row>
    <row r="1136" spans="1:14" x14ac:dyDescent="0.25">
      <c r="A1136">
        <v>403.03374200000002</v>
      </c>
      <c r="B1136" s="1">
        <f>DATE(2011,6,8) + TIME(0,48,35)</f>
        <v>40702.033738425926</v>
      </c>
      <c r="C1136">
        <v>80</v>
      </c>
      <c r="D1136">
        <v>79.964126586999996</v>
      </c>
      <c r="E1136">
        <v>50</v>
      </c>
      <c r="F1136">
        <v>47.194812775000003</v>
      </c>
      <c r="G1136">
        <v>1339.8156738</v>
      </c>
      <c r="H1136">
        <v>1337.4046631000001</v>
      </c>
      <c r="I1136">
        <v>1326.4150391000001</v>
      </c>
      <c r="J1136">
        <v>1324.5451660000001</v>
      </c>
      <c r="K1136">
        <v>2400</v>
      </c>
      <c r="L1136">
        <v>0</v>
      </c>
      <c r="M1136">
        <v>0</v>
      </c>
      <c r="N1136">
        <v>2400</v>
      </c>
    </row>
    <row r="1137" spans="1:14" x14ac:dyDescent="0.25">
      <c r="A1137">
        <v>403.39792199999999</v>
      </c>
      <c r="B1137" s="1">
        <f>DATE(2011,6,8) + TIME(9,33,0)</f>
        <v>40702.397916666669</v>
      </c>
      <c r="C1137">
        <v>80</v>
      </c>
      <c r="D1137">
        <v>79.964111328000001</v>
      </c>
      <c r="E1137">
        <v>50</v>
      </c>
      <c r="F1137">
        <v>47.174461364999999</v>
      </c>
      <c r="G1137">
        <v>1339.8117675999999</v>
      </c>
      <c r="H1137">
        <v>1337.4030762</v>
      </c>
      <c r="I1137">
        <v>1326.4088135</v>
      </c>
      <c r="J1137">
        <v>1324.5362548999999</v>
      </c>
      <c r="K1137">
        <v>2400</v>
      </c>
      <c r="L1137">
        <v>0</v>
      </c>
      <c r="M1137">
        <v>0</v>
      </c>
      <c r="N1137">
        <v>2400</v>
      </c>
    </row>
    <row r="1138" spans="1:14" x14ac:dyDescent="0.25">
      <c r="A1138">
        <v>403.76210200000003</v>
      </c>
      <c r="B1138" s="1">
        <f>DATE(2011,6,8) + TIME(18,17,25)</f>
        <v>40702.762094907404</v>
      </c>
      <c r="C1138">
        <v>80</v>
      </c>
      <c r="D1138">
        <v>79.964088439999998</v>
      </c>
      <c r="E1138">
        <v>50</v>
      </c>
      <c r="F1138">
        <v>47.154895781999997</v>
      </c>
      <c r="G1138">
        <v>1339.8081055</v>
      </c>
      <c r="H1138">
        <v>1337.4014893000001</v>
      </c>
      <c r="I1138">
        <v>1326.402832</v>
      </c>
      <c r="J1138">
        <v>1324.5275879000001</v>
      </c>
      <c r="K1138">
        <v>2400</v>
      </c>
      <c r="L1138">
        <v>0</v>
      </c>
      <c r="M1138">
        <v>0</v>
      </c>
      <c r="N1138">
        <v>2400</v>
      </c>
    </row>
    <row r="1139" spans="1:14" x14ac:dyDescent="0.25">
      <c r="A1139">
        <v>404.126282</v>
      </c>
      <c r="B1139" s="1">
        <f>DATE(2011,6,9) + TIME(3,1,50)</f>
        <v>40703.126273148147</v>
      </c>
      <c r="C1139">
        <v>80</v>
      </c>
      <c r="D1139">
        <v>79.964065551999994</v>
      </c>
      <c r="E1139">
        <v>50</v>
      </c>
      <c r="F1139">
        <v>47.135906218999999</v>
      </c>
      <c r="G1139">
        <v>1339.8043213000001</v>
      </c>
      <c r="H1139">
        <v>1337.3999022999999</v>
      </c>
      <c r="I1139">
        <v>1326.3967285000001</v>
      </c>
      <c r="J1139">
        <v>1324.519043</v>
      </c>
      <c r="K1139">
        <v>2400</v>
      </c>
      <c r="L1139">
        <v>0</v>
      </c>
      <c r="M1139">
        <v>0</v>
      </c>
      <c r="N1139">
        <v>2400</v>
      </c>
    </row>
    <row r="1140" spans="1:14" x14ac:dyDescent="0.25">
      <c r="A1140">
        <v>404.49046199999998</v>
      </c>
      <c r="B1140" s="1">
        <f>DATE(2011,6,9) + TIME(11,46,15)</f>
        <v>40703.490451388891</v>
      </c>
      <c r="C1140">
        <v>80</v>
      </c>
      <c r="D1140">
        <v>79.964050293</v>
      </c>
      <c r="E1140">
        <v>50</v>
      </c>
      <c r="F1140">
        <v>47.117347717000001</v>
      </c>
      <c r="G1140">
        <v>1339.8006591999999</v>
      </c>
      <c r="H1140">
        <v>1337.3984375</v>
      </c>
      <c r="I1140">
        <v>1326.3908690999999</v>
      </c>
      <c r="J1140">
        <v>1324.5104980000001</v>
      </c>
      <c r="K1140">
        <v>2400</v>
      </c>
      <c r="L1140">
        <v>0</v>
      </c>
      <c r="M1140">
        <v>0</v>
      </c>
      <c r="N1140">
        <v>2400</v>
      </c>
    </row>
    <row r="1141" spans="1:14" x14ac:dyDescent="0.25">
      <c r="A1141">
        <v>404.85464100000002</v>
      </c>
      <c r="B1141" s="1">
        <f>DATE(2011,6,9) + TIME(20,30,41)</f>
        <v>40703.854641203703</v>
      </c>
      <c r="C1141">
        <v>80</v>
      </c>
      <c r="D1141">
        <v>79.964035034000005</v>
      </c>
      <c r="E1141">
        <v>50</v>
      </c>
      <c r="F1141">
        <v>47.099117278999998</v>
      </c>
      <c r="G1141">
        <v>1339.7969971</v>
      </c>
      <c r="H1141">
        <v>1337.3968506000001</v>
      </c>
      <c r="I1141">
        <v>1326.3848877</v>
      </c>
      <c r="J1141">
        <v>1324.5020752</v>
      </c>
      <c r="K1141">
        <v>2400</v>
      </c>
      <c r="L1141">
        <v>0</v>
      </c>
      <c r="M1141">
        <v>0</v>
      </c>
      <c r="N1141">
        <v>2400</v>
      </c>
    </row>
    <row r="1142" spans="1:14" x14ac:dyDescent="0.25">
      <c r="A1142">
        <v>405.58300100000002</v>
      </c>
      <c r="B1142" s="1">
        <f>DATE(2011,6,10) + TIME(13,59,31)</f>
        <v>40704.582997685182</v>
      </c>
      <c r="C1142">
        <v>80</v>
      </c>
      <c r="D1142">
        <v>79.964019774999997</v>
      </c>
      <c r="E1142">
        <v>50</v>
      </c>
      <c r="F1142">
        <v>47.071422577</v>
      </c>
      <c r="G1142">
        <v>1339.7930908000001</v>
      </c>
      <c r="H1142">
        <v>1337.3950195</v>
      </c>
      <c r="I1142">
        <v>1326.3782959</v>
      </c>
      <c r="J1142">
        <v>1324.4924315999999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406.31265000000002</v>
      </c>
      <c r="B1143" s="1">
        <f>DATE(2011,6,11) + TIME(7,30,12)</f>
        <v>40705.312638888892</v>
      </c>
      <c r="C1143">
        <v>80</v>
      </c>
      <c r="D1143">
        <v>79.963996886999993</v>
      </c>
      <c r="E1143">
        <v>50</v>
      </c>
      <c r="F1143">
        <v>47.040557861000003</v>
      </c>
      <c r="G1143">
        <v>1339.7860106999999</v>
      </c>
      <c r="H1143">
        <v>1337.3922118999999</v>
      </c>
      <c r="I1143">
        <v>1326.3675536999999</v>
      </c>
      <c r="J1143">
        <v>1324.4774170000001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407.05125199999998</v>
      </c>
      <c r="B1144" s="1">
        <f>DATE(2011,6,12) + TIME(1,13,48)</f>
        <v>40706.051249999997</v>
      </c>
      <c r="C1144">
        <v>80</v>
      </c>
      <c r="D1144">
        <v>79.963966369999994</v>
      </c>
      <c r="E1144">
        <v>50</v>
      </c>
      <c r="F1144">
        <v>47.007911682</v>
      </c>
      <c r="G1144">
        <v>1339.7786865</v>
      </c>
      <c r="H1144">
        <v>1337.3891602000001</v>
      </c>
      <c r="I1144">
        <v>1326.3563231999999</v>
      </c>
      <c r="J1144">
        <v>1324.4616699000001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407.80193600000001</v>
      </c>
      <c r="B1145" s="1">
        <f>DATE(2011,6,12) + TIME(19,14,47)</f>
        <v>40706.801932870374</v>
      </c>
      <c r="C1145">
        <v>80</v>
      </c>
      <c r="D1145">
        <v>79.963935852000006</v>
      </c>
      <c r="E1145">
        <v>50</v>
      </c>
      <c r="F1145">
        <v>46.974178314</v>
      </c>
      <c r="G1145">
        <v>1339.7714844</v>
      </c>
      <c r="H1145">
        <v>1337.3859863</v>
      </c>
      <c r="I1145">
        <v>1326.3447266000001</v>
      </c>
      <c r="J1145">
        <v>1324.4451904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408.567881</v>
      </c>
      <c r="B1146" s="1">
        <f>DATE(2011,6,13) + TIME(13,37,44)</f>
        <v>40707.567870370367</v>
      </c>
      <c r="C1146">
        <v>80</v>
      </c>
      <c r="D1146">
        <v>79.963905334000003</v>
      </c>
      <c r="E1146">
        <v>50</v>
      </c>
      <c r="F1146">
        <v>46.939670563</v>
      </c>
      <c r="G1146">
        <v>1339.7642822</v>
      </c>
      <c r="H1146">
        <v>1337.3829346</v>
      </c>
      <c r="I1146">
        <v>1326.3327637</v>
      </c>
      <c r="J1146">
        <v>1324.4281006000001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409.35224499999998</v>
      </c>
      <c r="B1147" s="1">
        <f>DATE(2011,6,14) + TIME(8,27,13)</f>
        <v>40708.352233796293</v>
      </c>
      <c r="C1147">
        <v>80</v>
      </c>
      <c r="D1147">
        <v>79.963874817000004</v>
      </c>
      <c r="E1147">
        <v>50</v>
      </c>
      <c r="F1147">
        <v>46.904499053999999</v>
      </c>
      <c r="G1147">
        <v>1339.7570800999999</v>
      </c>
      <c r="H1147">
        <v>1337.3797606999999</v>
      </c>
      <c r="I1147">
        <v>1326.3204346</v>
      </c>
      <c r="J1147">
        <v>1324.4106445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410.15870100000001</v>
      </c>
      <c r="B1148" s="1">
        <f>DATE(2011,6,15) + TIME(3,48,31)</f>
        <v>40709.158692129633</v>
      </c>
      <c r="C1148">
        <v>80</v>
      </c>
      <c r="D1148">
        <v>79.963844299000002</v>
      </c>
      <c r="E1148">
        <v>50</v>
      </c>
      <c r="F1148">
        <v>46.868656158</v>
      </c>
      <c r="G1148">
        <v>1339.7497559000001</v>
      </c>
      <c r="H1148">
        <v>1337.3765868999999</v>
      </c>
      <c r="I1148">
        <v>1326.3077393000001</v>
      </c>
      <c r="J1148">
        <v>1324.3925781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410.98870699999998</v>
      </c>
      <c r="B1149" s="1">
        <f>DATE(2011,6,15) + TIME(23,43,44)</f>
        <v>40709.988703703704</v>
      </c>
      <c r="C1149">
        <v>80</v>
      </c>
      <c r="D1149">
        <v>79.963813782000003</v>
      </c>
      <c r="E1149">
        <v>50</v>
      </c>
      <c r="F1149">
        <v>46.832118987999998</v>
      </c>
      <c r="G1149">
        <v>1339.7424315999999</v>
      </c>
      <c r="H1149">
        <v>1337.3734131000001</v>
      </c>
      <c r="I1149">
        <v>1326.2946777</v>
      </c>
      <c r="J1149">
        <v>1324.3740233999999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411.83752900000002</v>
      </c>
      <c r="B1150" s="1">
        <f>DATE(2011,6,16) + TIME(20,6,2)</f>
        <v>40710.837523148148</v>
      </c>
      <c r="C1150">
        <v>80</v>
      </c>
      <c r="D1150">
        <v>79.963783264</v>
      </c>
      <c r="E1150">
        <v>50</v>
      </c>
      <c r="F1150">
        <v>46.794994354000004</v>
      </c>
      <c r="G1150">
        <v>1339.7351074000001</v>
      </c>
      <c r="H1150">
        <v>1337.3702393000001</v>
      </c>
      <c r="I1150">
        <v>1326.28125</v>
      </c>
      <c r="J1150">
        <v>1324.3547363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412.70908500000002</v>
      </c>
      <c r="B1151" s="1">
        <f>DATE(2011,6,17) + TIME(17,1,4)</f>
        <v>40711.709074074075</v>
      </c>
      <c r="C1151">
        <v>80</v>
      </c>
      <c r="D1151">
        <v>79.963760375999996</v>
      </c>
      <c r="E1151">
        <v>50</v>
      </c>
      <c r="F1151">
        <v>46.757247925000001</v>
      </c>
      <c r="G1151">
        <v>1339.7276611</v>
      </c>
      <c r="H1151">
        <v>1337.3669434000001</v>
      </c>
      <c r="I1151">
        <v>1326.2674560999999</v>
      </c>
      <c r="J1151">
        <v>1324.3350829999999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413.61148300000002</v>
      </c>
      <c r="B1152" s="1">
        <f>DATE(2011,6,18) + TIME(14,40,32)</f>
        <v>40712.611481481479</v>
      </c>
      <c r="C1152">
        <v>80</v>
      </c>
      <c r="D1152">
        <v>79.963729857999994</v>
      </c>
      <c r="E1152">
        <v>50</v>
      </c>
      <c r="F1152">
        <v>46.718708038000003</v>
      </c>
      <c r="G1152">
        <v>1339.7203368999999</v>
      </c>
      <c r="H1152">
        <v>1337.3636475000001</v>
      </c>
      <c r="I1152">
        <v>1326.2532959</v>
      </c>
      <c r="J1152">
        <v>1324.3146973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414.075558</v>
      </c>
      <c r="B1153" s="1">
        <f>DATE(2011,6,19) + TIME(1,48,48)</f>
        <v>40713.075555555559</v>
      </c>
      <c r="C1153">
        <v>80</v>
      </c>
      <c r="D1153">
        <v>79.963699340999995</v>
      </c>
      <c r="E1153">
        <v>50</v>
      </c>
      <c r="F1153">
        <v>46.692039489999999</v>
      </c>
      <c r="G1153">
        <v>1339.7133789</v>
      </c>
      <c r="H1153">
        <v>1337.3608397999999</v>
      </c>
      <c r="I1153">
        <v>1326.239624</v>
      </c>
      <c r="J1153">
        <v>1324.2956543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414.53963199999998</v>
      </c>
      <c r="B1154" s="1">
        <f>DATE(2011,6,19) + TIME(12,57,4)</f>
        <v>40713.539629629631</v>
      </c>
      <c r="C1154">
        <v>80</v>
      </c>
      <c r="D1154">
        <v>79.963676453000005</v>
      </c>
      <c r="E1154">
        <v>50</v>
      </c>
      <c r="F1154">
        <v>46.667774199999997</v>
      </c>
      <c r="G1154">
        <v>1339.7092285000001</v>
      </c>
      <c r="H1154">
        <v>1337.3587646000001</v>
      </c>
      <c r="I1154">
        <v>1326.230957</v>
      </c>
      <c r="J1154">
        <v>1324.2829589999999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415.00370600000002</v>
      </c>
      <c r="B1155" s="1">
        <f>DATE(2011,6,20) + TIME(0,5,20)</f>
        <v>40714.003703703704</v>
      </c>
      <c r="C1155">
        <v>80</v>
      </c>
      <c r="D1155">
        <v>79.963661193999997</v>
      </c>
      <c r="E1155">
        <v>50</v>
      </c>
      <c r="F1155">
        <v>46.645088196000003</v>
      </c>
      <c r="G1155">
        <v>1339.7053223</v>
      </c>
      <c r="H1155">
        <v>1337.3570557</v>
      </c>
      <c r="I1155">
        <v>1326.2226562000001</v>
      </c>
      <c r="J1155">
        <v>1324.270874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415.467781</v>
      </c>
      <c r="B1156" s="1">
        <f>DATE(2011,6,20) + TIME(11,13,36)</f>
        <v>40714.467777777776</v>
      </c>
      <c r="C1156">
        <v>80</v>
      </c>
      <c r="D1156">
        <v>79.963645935000002</v>
      </c>
      <c r="E1156">
        <v>50</v>
      </c>
      <c r="F1156">
        <v>46.623451232999997</v>
      </c>
      <c r="G1156">
        <v>1339.7016602000001</v>
      </c>
      <c r="H1156">
        <v>1337.3553466999999</v>
      </c>
      <c r="I1156">
        <v>1326.2145995999999</v>
      </c>
      <c r="J1156">
        <v>1324.2590332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416.39592900000002</v>
      </c>
      <c r="B1157" s="1">
        <f>DATE(2011,6,21) + TIME(9,30,8)</f>
        <v>40715.395925925928</v>
      </c>
      <c r="C1157">
        <v>80</v>
      </c>
      <c r="D1157">
        <v>79.963645935000002</v>
      </c>
      <c r="E1157">
        <v>50</v>
      </c>
      <c r="F1157">
        <v>46.592617035000004</v>
      </c>
      <c r="G1157">
        <v>1339.6976318</v>
      </c>
      <c r="H1157">
        <v>1337.3532714999999</v>
      </c>
      <c r="I1157">
        <v>1326.2058105000001</v>
      </c>
      <c r="J1157">
        <v>1324.2459716999999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417.32475099999999</v>
      </c>
      <c r="B1158" s="1">
        <f>DATE(2011,6,22) + TIME(7,47,38)</f>
        <v>40716.324745370373</v>
      </c>
      <c r="C1158">
        <v>80</v>
      </c>
      <c r="D1158">
        <v>79.963630675999994</v>
      </c>
      <c r="E1158">
        <v>50</v>
      </c>
      <c r="F1158">
        <v>46.557411193999997</v>
      </c>
      <c r="G1158">
        <v>1339.6906738</v>
      </c>
      <c r="H1158">
        <v>1337.3502197</v>
      </c>
      <c r="I1158">
        <v>1326.1918945</v>
      </c>
      <c r="J1158">
        <v>1324.2261963000001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418.26451800000001</v>
      </c>
      <c r="B1159" s="1">
        <f>DATE(2011,6,23) + TIME(6,20,54)</f>
        <v>40717.264513888891</v>
      </c>
      <c r="C1159">
        <v>80</v>
      </c>
      <c r="D1159">
        <v>79.963607788000004</v>
      </c>
      <c r="E1159">
        <v>50</v>
      </c>
      <c r="F1159">
        <v>46.520099639999998</v>
      </c>
      <c r="G1159">
        <v>1339.6835937999999</v>
      </c>
      <c r="H1159">
        <v>1337.3470459</v>
      </c>
      <c r="I1159">
        <v>1326.177124</v>
      </c>
      <c r="J1159">
        <v>1324.2052002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419.21983899999998</v>
      </c>
      <c r="B1160" s="1">
        <f>DATE(2011,6,24) + TIME(5,16,34)</f>
        <v>40718.219837962963</v>
      </c>
      <c r="C1160">
        <v>80</v>
      </c>
      <c r="D1160">
        <v>79.963584900000001</v>
      </c>
      <c r="E1160">
        <v>50</v>
      </c>
      <c r="F1160">
        <v>46.481616973999998</v>
      </c>
      <c r="G1160">
        <v>1339.6765137</v>
      </c>
      <c r="H1160">
        <v>1337.3438721</v>
      </c>
      <c r="I1160">
        <v>1326.1619873</v>
      </c>
      <c r="J1160">
        <v>1324.1833495999999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420.19033300000001</v>
      </c>
      <c r="B1161" s="1">
        <f>DATE(2011,6,25) + TIME(4,34,4)</f>
        <v>40719.190324074072</v>
      </c>
      <c r="C1161">
        <v>80</v>
      </c>
      <c r="D1161">
        <v>79.963569641000007</v>
      </c>
      <c r="E1161">
        <v>50</v>
      </c>
      <c r="F1161">
        <v>46.442409515000001</v>
      </c>
      <c r="G1161">
        <v>1339.6695557</v>
      </c>
      <c r="H1161">
        <v>1337.3406981999999</v>
      </c>
      <c r="I1161">
        <v>1326.1463623</v>
      </c>
      <c r="J1161">
        <v>1324.1608887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421.17589700000002</v>
      </c>
      <c r="B1162" s="1">
        <f>DATE(2011,6,26) + TIME(4,13,17)</f>
        <v>40720.175891203704</v>
      </c>
      <c r="C1162">
        <v>80</v>
      </c>
      <c r="D1162">
        <v>79.963546753000003</v>
      </c>
      <c r="E1162">
        <v>50</v>
      </c>
      <c r="F1162">
        <v>46.402683258000003</v>
      </c>
      <c r="G1162">
        <v>1339.6624756000001</v>
      </c>
      <c r="H1162">
        <v>1337.3374022999999</v>
      </c>
      <c r="I1162">
        <v>1326.1304932</v>
      </c>
      <c r="J1162">
        <v>1324.1379394999999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422.18161900000001</v>
      </c>
      <c r="B1163" s="1">
        <f>DATE(2011,6,27) + TIME(4,21,31)</f>
        <v>40721.181608796294</v>
      </c>
      <c r="C1163">
        <v>80</v>
      </c>
      <c r="D1163">
        <v>79.963531493999994</v>
      </c>
      <c r="E1163">
        <v>50</v>
      </c>
      <c r="F1163">
        <v>46.362449646000002</v>
      </c>
      <c r="G1163">
        <v>1339.6555175999999</v>
      </c>
      <c r="H1163">
        <v>1337.3342285000001</v>
      </c>
      <c r="I1163">
        <v>1326.1142577999999</v>
      </c>
      <c r="J1163">
        <v>1324.1145019999999</v>
      </c>
      <c r="K1163">
        <v>2400</v>
      </c>
      <c r="L1163">
        <v>0</v>
      </c>
      <c r="M1163">
        <v>0</v>
      </c>
      <c r="N1163">
        <v>2400</v>
      </c>
    </row>
    <row r="1164" spans="1:14" x14ac:dyDescent="0.25">
      <c r="A1164">
        <v>423.21307100000001</v>
      </c>
      <c r="B1164" s="1">
        <f>DATE(2011,6,28) + TIME(5,6,49)</f>
        <v>40722.213067129633</v>
      </c>
      <c r="C1164">
        <v>80</v>
      </c>
      <c r="D1164">
        <v>79.963516235</v>
      </c>
      <c r="E1164">
        <v>50</v>
      </c>
      <c r="F1164">
        <v>46.321590424</v>
      </c>
      <c r="G1164">
        <v>1339.6485596</v>
      </c>
      <c r="H1164">
        <v>1337.3309326000001</v>
      </c>
      <c r="I1164">
        <v>1326.0977783000001</v>
      </c>
      <c r="J1164">
        <v>1324.0905762</v>
      </c>
      <c r="K1164">
        <v>2400</v>
      </c>
      <c r="L1164">
        <v>0</v>
      </c>
      <c r="M1164">
        <v>0</v>
      </c>
      <c r="N1164">
        <v>2400</v>
      </c>
    </row>
    <row r="1165" spans="1:14" x14ac:dyDescent="0.25">
      <c r="A1165">
        <v>424.275713</v>
      </c>
      <c r="B1165" s="1">
        <f>DATE(2011,6,29) + TIME(6,37,1)</f>
        <v>40723.275706018518</v>
      </c>
      <c r="C1165">
        <v>80</v>
      </c>
      <c r="D1165">
        <v>79.963500976999995</v>
      </c>
      <c r="E1165">
        <v>50</v>
      </c>
      <c r="F1165">
        <v>46.279933929000002</v>
      </c>
      <c r="G1165">
        <v>1339.6416016000001</v>
      </c>
      <c r="H1165">
        <v>1337.3276367000001</v>
      </c>
      <c r="I1165">
        <v>1326.0809326000001</v>
      </c>
      <c r="J1165">
        <v>1324.0660399999999</v>
      </c>
      <c r="K1165">
        <v>2400</v>
      </c>
      <c r="L1165">
        <v>0</v>
      </c>
      <c r="M1165">
        <v>0</v>
      </c>
      <c r="N1165">
        <v>2400</v>
      </c>
    </row>
    <row r="1166" spans="1:14" x14ac:dyDescent="0.25">
      <c r="A1166">
        <v>425.37982899999997</v>
      </c>
      <c r="B1166" s="1">
        <f>DATE(2011,6,30) + TIME(9,6,57)</f>
        <v>40724.379826388889</v>
      </c>
      <c r="C1166">
        <v>80</v>
      </c>
      <c r="D1166">
        <v>79.963485718000001</v>
      </c>
      <c r="E1166">
        <v>50</v>
      </c>
      <c r="F1166">
        <v>46.237201691000003</v>
      </c>
      <c r="G1166">
        <v>1339.6345214999999</v>
      </c>
      <c r="H1166">
        <v>1337.3243408000001</v>
      </c>
      <c r="I1166">
        <v>1326.0634766000001</v>
      </c>
      <c r="J1166">
        <v>1324.0407714999999</v>
      </c>
      <c r="K1166">
        <v>2400</v>
      </c>
      <c r="L1166">
        <v>0</v>
      </c>
      <c r="M1166">
        <v>0</v>
      </c>
      <c r="N1166">
        <v>2400</v>
      </c>
    </row>
    <row r="1167" spans="1:14" x14ac:dyDescent="0.25">
      <c r="A1167">
        <v>426</v>
      </c>
      <c r="B1167" s="1">
        <f>DATE(2011,7,1) + TIME(0,0,0)</f>
        <v>40725</v>
      </c>
      <c r="C1167">
        <v>80</v>
      </c>
      <c r="D1167">
        <v>79.963462829999997</v>
      </c>
      <c r="E1167">
        <v>50</v>
      </c>
      <c r="F1167">
        <v>46.204635619999998</v>
      </c>
      <c r="G1167">
        <v>1339.6278076000001</v>
      </c>
      <c r="H1167">
        <v>1337.3214111</v>
      </c>
      <c r="I1167">
        <v>1326.0466309000001</v>
      </c>
      <c r="J1167">
        <v>1324.0166016000001</v>
      </c>
      <c r="K1167">
        <v>2400</v>
      </c>
      <c r="L1167">
        <v>0</v>
      </c>
      <c r="M1167">
        <v>0</v>
      </c>
      <c r="N1167">
        <v>2400</v>
      </c>
    </row>
    <row r="1168" spans="1:14" x14ac:dyDescent="0.25">
      <c r="A1168">
        <v>427.14429999999999</v>
      </c>
      <c r="B1168" s="1">
        <f>DATE(2011,7,2) + TIME(3,27,47)</f>
        <v>40726.144293981481</v>
      </c>
      <c r="C1168">
        <v>80</v>
      </c>
      <c r="D1168">
        <v>79.963462829999997</v>
      </c>
      <c r="E1168">
        <v>50</v>
      </c>
      <c r="F1168">
        <v>46.165409087999997</v>
      </c>
      <c r="G1168">
        <v>1339.6230469</v>
      </c>
      <c r="H1168">
        <v>1337.3188477000001</v>
      </c>
      <c r="I1168">
        <v>1326.0340576000001</v>
      </c>
      <c r="J1168">
        <v>1323.9975586</v>
      </c>
      <c r="K1168">
        <v>2400</v>
      </c>
      <c r="L1168">
        <v>0</v>
      </c>
      <c r="M1168">
        <v>0</v>
      </c>
      <c r="N1168">
        <v>2400</v>
      </c>
    </row>
    <row r="1169" spans="1:14" x14ac:dyDescent="0.25">
      <c r="A1169">
        <v>427.733113</v>
      </c>
      <c r="B1169" s="1">
        <f>DATE(2011,7,2) + TIME(17,35,40)</f>
        <v>40726.733101851853</v>
      </c>
      <c r="C1169">
        <v>80</v>
      </c>
      <c r="D1169">
        <v>79.963439941000004</v>
      </c>
      <c r="E1169">
        <v>50</v>
      </c>
      <c r="F1169">
        <v>46.134742737000003</v>
      </c>
      <c r="G1169">
        <v>1339.6166992000001</v>
      </c>
      <c r="H1169">
        <v>1337.3160399999999</v>
      </c>
      <c r="I1169">
        <v>1326.0174560999999</v>
      </c>
      <c r="J1169">
        <v>1323.973999</v>
      </c>
      <c r="K1169">
        <v>2400</v>
      </c>
      <c r="L1169">
        <v>0</v>
      </c>
      <c r="M1169">
        <v>0</v>
      </c>
      <c r="N1169">
        <v>2400</v>
      </c>
    </row>
    <row r="1170" spans="1:14" x14ac:dyDescent="0.25">
      <c r="A1170">
        <v>428.32192600000002</v>
      </c>
      <c r="B1170" s="1">
        <f>DATE(2011,7,3) + TIME(7,43,34)</f>
        <v>40727.321921296294</v>
      </c>
      <c r="C1170">
        <v>80</v>
      </c>
      <c r="D1170">
        <v>79.963424683</v>
      </c>
      <c r="E1170">
        <v>50</v>
      </c>
      <c r="F1170">
        <v>46.107273102000001</v>
      </c>
      <c r="G1170">
        <v>1339.6126709</v>
      </c>
      <c r="H1170">
        <v>1337.3139647999999</v>
      </c>
      <c r="I1170">
        <v>1326.0064697</v>
      </c>
      <c r="J1170">
        <v>1323.9576416</v>
      </c>
      <c r="K1170">
        <v>2400</v>
      </c>
      <c r="L1170">
        <v>0</v>
      </c>
      <c r="M1170">
        <v>0</v>
      </c>
      <c r="N1170">
        <v>2400</v>
      </c>
    </row>
    <row r="1171" spans="1:14" x14ac:dyDescent="0.25">
      <c r="A1171">
        <v>428.91073799999998</v>
      </c>
      <c r="B1171" s="1">
        <f>DATE(2011,7,3) + TIME(21,51,27)</f>
        <v>40727.910729166666</v>
      </c>
      <c r="C1171">
        <v>80</v>
      </c>
      <c r="D1171">
        <v>79.963417053000001</v>
      </c>
      <c r="E1171">
        <v>50</v>
      </c>
      <c r="F1171">
        <v>46.081661224000001</v>
      </c>
      <c r="G1171">
        <v>1339.6088867000001</v>
      </c>
      <c r="H1171">
        <v>1337.3121338000001</v>
      </c>
      <c r="I1171">
        <v>1325.9960937999999</v>
      </c>
      <c r="J1171">
        <v>1323.9421387</v>
      </c>
      <c r="K1171">
        <v>2400</v>
      </c>
      <c r="L1171">
        <v>0</v>
      </c>
      <c r="M1171">
        <v>0</v>
      </c>
      <c r="N1171">
        <v>2400</v>
      </c>
    </row>
    <row r="1172" spans="1:14" x14ac:dyDescent="0.25">
      <c r="A1172">
        <v>429.499551</v>
      </c>
      <c r="B1172" s="1">
        <f>DATE(2011,7,4) + TIME(11,59,21)</f>
        <v>40728.499548611115</v>
      </c>
      <c r="C1172">
        <v>80</v>
      </c>
      <c r="D1172">
        <v>79.963409424000005</v>
      </c>
      <c r="E1172">
        <v>50</v>
      </c>
      <c r="F1172">
        <v>46.057140349999997</v>
      </c>
      <c r="G1172">
        <v>1339.6053466999999</v>
      </c>
      <c r="H1172">
        <v>1337.3103027</v>
      </c>
      <c r="I1172">
        <v>1325.9860839999999</v>
      </c>
      <c r="J1172">
        <v>1323.9273682</v>
      </c>
      <c r="K1172">
        <v>2400</v>
      </c>
      <c r="L1172">
        <v>0</v>
      </c>
      <c r="M1172">
        <v>0</v>
      </c>
      <c r="N1172">
        <v>2400</v>
      </c>
    </row>
    <row r="1173" spans="1:14" x14ac:dyDescent="0.25">
      <c r="A1173">
        <v>430.08836300000002</v>
      </c>
      <c r="B1173" s="1">
        <f>DATE(2011,7,5) + TIME(2,7,14)</f>
        <v>40729.088356481479</v>
      </c>
      <c r="C1173">
        <v>80</v>
      </c>
      <c r="D1173">
        <v>79.963409424000005</v>
      </c>
      <c r="E1173">
        <v>50</v>
      </c>
      <c r="F1173">
        <v>46.033264160000002</v>
      </c>
      <c r="G1173">
        <v>1339.6018065999999</v>
      </c>
      <c r="H1173">
        <v>1337.3085937999999</v>
      </c>
      <c r="I1173">
        <v>1325.9761963000001</v>
      </c>
      <c r="J1173">
        <v>1323.9127197</v>
      </c>
      <c r="K1173">
        <v>2400</v>
      </c>
      <c r="L1173">
        <v>0</v>
      </c>
      <c r="M1173">
        <v>0</v>
      </c>
      <c r="N1173">
        <v>2400</v>
      </c>
    </row>
    <row r="1174" spans="1:14" x14ac:dyDescent="0.25">
      <c r="A1174">
        <v>431.26598799999999</v>
      </c>
      <c r="B1174" s="1">
        <f>DATE(2011,7,6) + TIME(6,23,1)</f>
        <v>40730.265983796293</v>
      </c>
      <c r="C1174">
        <v>80</v>
      </c>
      <c r="D1174">
        <v>79.963417053000001</v>
      </c>
      <c r="E1174">
        <v>50</v>
      </c>
      <c r="F1174">
        <v>46.000282288000001</v>
      </c>
      <c r="G1174">
        <v>1339.5979004000001</v>
      </c>
      <c r="H1174">
        <v>1337.3065185999999</v>
      </c>
      <c r="I1174">
        <v>1325.9654541</v>
      </c>
      <c r="J1174">
        <v>1323.8967285000001</v>
      </c>
      <c r="K1174">
        <v>2400</v>
      </c>
      <c r="L1174">
        <v>0</v>
      </c>
      <c r="M1174">
        <v>0</v>
      </c>
      <c r="N1174">
        <v>2400</v>
      </c>
    </row>
    <row r="1175" spans="1:14" x14ac:dyDescent="0.25">
      <c r="A1175">
        <v>432.44488100000001</v>
      </c>
      <c r="B1175" s="1">
        <f>DATE(2011,7,7) + TIME(10,40,37)</f>
        <v>40731.444872685184</v>
      </c>
      <c r="C1175">
        <v>80</v>
      </c>
      <c r="D1175">
        <v>79.963417053000001</v>
      </c>
      <c r="E1175">
        <v>50</v>
      </c>
      <c r="F1175">
        <v>45.959644318000002</v>
      </c>
      <c r="G1175">
        <v>1339.5913086</v>
      </c>
      <c r="H1175">
        <v>1337.3034668</v>
      </c>
      <c r="I1175">
        <v>1325.9486084</v>
      </c>
      <c r="J1175">
        <v>1323.8721923999999</v>
      </c>
      <c r="K1175">
        <v>2400</v>
      </c>
      <c r="L1175">
        <v>0</v>
      </c>
      <c r="M1175">
        <v>0</v>
      </c>
      <c r="N1175">
        <v>2400</v>
      </c>
    </row>
    <row r="1176" spans="1:14" x14ac:dyDescent="0.25">
      <c r="A1176">
        <v>433.64162800000003</v>
      </c>
      <c r="B1176" s="1">
        <f>DATE(2011,7,8) + TIME(15,23,56)</f>
        <v>40732.64162037037</v>
      </c>
      <c r="C1176">
        <v>80</v>
      </c>
      <c r="D1176">
        <v>79.963409424000005</v>
      </c>
      <c r="E1176">
        <v>50</v>
      </c>
      <c r="F1176">
        <v>45.915679932000003</v>
      </c>
      <c r="G1176">
        <v>1339.5844727000001</v>
      </c>
      <c r="H1176">
        <v>1337.3001709</v>
      </c>
      <c r="I1176">
        <v>1325.9304199000001</v>
      </c>
      <c r="J1176">
        <v>1323.8455810999999</v>
      </c>
      <c r="K1176">
        <v>2400</v>
      </c>
      <c r="L1176">
        <v>0</v>
      </c>
      <c r="M1176">
        <v>0</v>
      </c>
      <c r="N1176">
        <v>2400</v>
      </c>
    </row>
    <row r="1177" spans="1:14" x14ac:dyDescent="0.25">
      <c r="A1177">
        <v>434.86318</v>
      </c>
      <c r="B1177" s="1">
        <f>DATE(2011,7,9) + TIME(20,42,58)</f>
        <v>40733.863171296296</v>
      </c>
      <c r="C1177">
        <v>80</v>
      </c>
      <c r="D1177">
        <v>79.963409424000005</v>
      </c>
      <c r="E1177">
        <v>50</v>
      </c>
      <c r="F1177">
        <v>45.869880676000001</v>
      </c>
      <c r="G1177">
        <v>1339.5777588000001</v>
      </c>
      <c r="H1177">
        <v>1337.2967529</v>
      </c>
      <c r="I1177">
        <v>1325.911499</v>
      </c>
      <c r="J1177">
        <v>1323.817749</v>
      </c>
      <c r="K1177">
        <v>2400</v>
      </c>
      <c r="L1177">
        <v>0</v>
      </c>
      <c r="M1177">
        <v>0</v>
      </c>
      <c r="N1177">
        <v>2400</v>
      </c>
    </row>
    <row r="1178" spans="1:14" x14ac:dyDescent="0.25">
      <c r="A1178">
        <v>436.117074</v>
      </c>
      <c r="B1178" s="1">
        <f>DATE(2011,7,11) + TIME(2,48,35)</f>
        <v>40735.117071759261</v>
      </c>
      <c r="C1178">
        <v>80</v>
      </c>
      <c r="D1178">
        <v>79.963401794000006</v>
      </c>
      <c r="E1178">
        <v>50</v>
      </c>
      <c r="F1178">
        <v>45.822669982999997</v>
      </c>
      <c r="G1178">
        <v>1339.5709228999999</v>
      </c>
      <c r="H1178">
        <v>1337.2933350000001</v>
      </c>
      <c r="I1178">
        <v>1325.8922118999999</v>
      </c>
      <c r="J1178">
        <v>1323.7891846</v>
      </c>
      <c r="K1178">
        <v>2400</v>
      </c>
      <c r="L1178">
        <v>0</v>
      </c>
      <c r="M1178">
        <v>0</v>
      </c>
      <c r="N1178">
        <v>2400</v>
      </c>
    </row>
    <row r="1179" spans="1:14" x14ac:dyDescent="0.25">
      <c r="A1179">
        <v>437.39061600000002</v>
      </c>
      <c r="B1179" s="1">
        <f>DATE(2011,7,12) + TIME(9,22,29)</f>
        <v>40736.390613425923</v>
      </c>
      <c r="C1179">
        <v>80</v>
      </c>
      <c r="D1179">
        <v>79.963394164999997</v>
      </c>
      <c r="E1179">
        <v>50</v>
      </c>
      <c r="F1179">
        <v>45.774337768999999</v>
      </c>
      <c r="G1179">
        <v>1339.5640868999999</v>
      </c>
      <c r="H1179">
        <v>1337.2899170000001</v>
      </c>
      <c r="I1179">
        <v>1325.8724365</v>
      </c>
      <c r="J1179">
        <v>1323.7598877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438.68244499999997</v>
      </c>
      <c r="B1180" s="1">
        <f>DATE(2011,7,13) + TIME(16,22,43)</f>
        <v>40737.682442129626</v>
      </c>
      <c r="C1180">
        <v>80</v>
      </c>
      <c r="D1180">
        <v>79.963394164999997</v>
      </c>
      <c r="E1180">
        <v>50</v>
      </c>
      <c r="F1180">
        <v>45.725120543999999</v>
      </c>
      <c r="G1180">
        <v>1339.557251</v>
      </c>
      <c r="H1180">
        <v>1337.286499</v>
      </c>
      <c r="I1180">
        <v>1325.8524170000001</v>
      </c>
      <c r="J1180">
        <v>1323.7299805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439.97689400000002</v>
      </c>
      <c r="B1181" s="1">
        <f>DATE(2011,7,14) + TIME(23,26,43)</f>
        <v>40738.976886574077</v>
      </c>
      <c r="C1181">
        <v>80</v>
      </c>
      <c r="D1181">
        <v>79.963394164999997</v>
      </c>
      <c r="E1181">
        <v>50</v>
      </c>
      <c r="F1181">
        <v>45.675346374999997</v>
      </c>
      <c r="G1181">
        <v>1339.5504149999999</v>
      </c>
      <c r="H1181">
        <v>1337.2830810999999</v>
      </c>
      <c r="I1181">
        <v>1325.8321533000001</v>
      </c>
      <c r="J1181">
        <v>1323.6998291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441.28784000000002</v>
      </c>
      <c r="B1182" s="1">
        <f>DATE(2011,7,16) + TIME(6,54,29)</f>
        <v>40740.287835648145</v>
      </c>
      <c r="C1182">
        <v>80</v>
      </c>
      <c r="D1182">
        <v>79.963394164999997</v>
      </c>
      <c r="E1182">
        <v>50</v>
      </c>
      <c r="F1182">
        <v>45.625102996999999</v>
      </c>
      <c r="G1182">
        <v>1339.5437012</v>
      </c>
      <c r="H1182">
        <v>1337.2796631000001</v>
      </c>
      <c r="I1182">
        <v>1325.8120117000001</v>
      </c>
      <c r="J1182">
        <v>1323.6695557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442.61730399999999</v>
      </c>
      <c r="B1183" s="1">
        <f>DATE(2011,7,17) + TIME(14,48,55)</f>
        <v>40741.617303240739</v>
      </c>
      <c r="C1183">
        <v>80</v>
      </c>
      <c r="D1183">
        <v>79.963394164999997</v>
      </c>
      <c r="E1183">
        <v>50</v>
      </c>
      <c r="F1183">
        <v>45.574272155999999</v>
      </c>
      <c r="G1183">
        <v>1339.5371094</v>
      </c>
      <c r="H1183">
        <v>1337.2762451000001</v>
      </c>
      <c r="I1183">
        <v>1325.7917480000001</v>
      </c>
      <c r="J1183">
        <v>1323.6391602000001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443.95132000000001</v>
      </c>
      <c r="B1184" s="1">
        <f>DATE(2011,7,18) + TIME(22,49,54)</f>
        <v>40742.951319444444</v>
      </c>
      <c r="C1184">
        <v>80</v>
      </c>
      <c r="D1184">
        <v>79.963394164999997</v>
      </c>
      <c r="E1184">
        <v>50</v>
      </c>
      <c r="F1184">
        <v>45.523025513</v>
      </c>
      <c r="G1184">
        <v>1339.5305175999999</v>
      </c>
      <c r="H1184">
        <v>1337.2728271000001</v>
      </c>
      <c r="I1184">
        <v>1325.7713623</v>
      </c>
      <c r="J1184">
        <v>1323.6083983999999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445.30431800000002</v>
      </c>
      <c r="B1185" s="1">
        <f>DATE(2011,7,20) + TIME(7,18,13)</f>
        <v>40744.30431712963</v>
      </c>
      <c r="C1185">
        <v>80</v>
      </c>
      <c r="D1185">
        <v>79.963401794000006</v>
      </c>
      <c r="E1185">
        <v>50</v>
      </c>
      <c r="F1185">
        <v>45.471416472999998</v>
      </c>
      <c r="G1185">
        <v>1339.5239257999999</v>
      </c>
      <c r="H1185">
        <v>1337.2694091999999</v>
      </c>
      <c r="I1185">
        <v>1325.7510986</v>
      </c>
      <c r="J1185">
        <v>1323.5776367000001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446.661428</v>
      </c>
      <c r="B1186" s="1">
        <f>DATE(2011,7,21) + TIME(15,52,27)</f>
        <v>40745.661423611113</v>
      </c>
      <c r="C1186">
        <v>80</v>
      </c>
      <c r="D1186">
        <v>79.963401794000006</v>
      </c>
      <c r="E1186">
        <v>50</v>
      </c>
      <c r="F1186">
        <v>45.419612884999999</v>
      </c>
      <c r="G1186">
        <v>1339.5174560999999</v>
      </c>
      <c r="H1186">
        <v>1337.2659911999999</v>
      </c>
      <c r="I1186">
        <v>1325.7308350000001</v>
      </c>
      <c r="J1186">
        <v>1323.5466309000001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448.03272299999998</v>
      </c>
      <c r="B1187" s="1">
        <f>DATE(2011,7,23) + TIME(0,47,7)</f>
        <v>40747.032719907409</v>
      </c>
      <c r="C1187">
        <v>80</v>
      </c>
      <c r="D1187">
        <v>79.963409424000005</v>
      </c>
      <c r="E1187">
        <v>50</v>
      </c>
      <c r="F1187">
        <v>45.367820739999999</v>
      </c>
      <c r="G1187">
        <v>1339.5111084</v>
      </c>
      <c r="H1187">
        <v>1337.2626952999999</v>
      </c>
      <c r="I1187">
        <v>1325.7105713000001</v>
      </c>
      <c r="J1187">
        <v>1323.515625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449.42773099999999</v>
      </c>
      <c r="B1188" s="1">
        <f>DATE(2011,7,24) + TIME(10,15,55)</f>
        <v>40748.427719907406</v>
      </c>
      <c r="C1188">
        <v>80</v>
      </c>
      <c r="D1188">
        <v>79.963417053000001</v>
      </c>
      <c r="E1188">
        <v>50</v>
      </c>
      <c r="F1188">
        <v>45.316040039000001</v>
      </c>
      <c r="G1188">
        <v>1339.5047606999999</v>
      </c>
      <c r="H1188">
        <v>1337.2592772999999</v>
      </c>
      <c r="I1188">
        <v>1325.6904297000001</v>
      </c>
      <c r="J1188">
        <v>1323.4846190999999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450.82514300000003</v>
      </c>
      <c r="B1189" s="1">
        <f>DATE(2011,7,25) + TIME(19,48,12)</f>
        <v>40749.825138888889</v>
      </c>
      <c r="C1189">
        <v>80</v>
      </c>
      <c r="D1189">
        <v>79.963424683</v>
      </c>
      <c r="E1189">
        <v>50</v>
      </c>
      <c r="F1189">
        <v>45.264705657999997</v>
      </c>
      <c r="G1189">
        <v>1339.4982910000001</v>
      </c>
      <c r="H1189">
        <v>1337.2559814000001</v>
      </c>
      <c r="I1189">
        <v>1325.6701660000001</v>
      </c>
      <c r="J1189">
        <v>1323.4533690999999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452.24057499999998</v>
      </c>
      <c r="B1190" s="1">
        <f>DATE(2011,7,27) + TIME(5,46,25)</f>
        <v>40751.240567129629</v>
      </c>
      <c r="C1190">
        <v>80</v>
      </c>
      <c r="D1190">
        <v>79.963432311999995</v>
      </c>
      <c r="E1190">
        <v>50</v>
      </c>
      <c r="F1190">
        <v>45.214313507</v>
      </c>
      <c r="G1190">
        <v>1339.4920654</v>
      </c>
      <c r="H1190">
        <v>1337.2525635</v>
      </c>
      <c r="I1190">
        <v>1325.6502685999999</v>
      </c>
      <c r="J1190">
        <v>1323.4222411999999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453.66425400000003</v>
      </c>
      <c r="B1191" s="1">
        <f>DATE(2011,7,28) + TIME(15,56,31)</f>
        <v>40752.664247685185</v>
      </c>
      <c r="C1191">
        <v>80</v>
      </c>
      <c r="D1191">
        <v>79.963439941000004</v>
      </c>
      <c r="E1191">
        <v>50</v>
      </c>
      <c r="F1191">
        <v>45.165393829000003</v>
      </c>
      <c r="G1191">
        <v>1339.4858397999999</v>
      </c>
      <c r="H1191">
        <v>1337.2492675999999</v>
      </c>
      <c r="I1191">
        <v>1325.6303711</v>
      </c>
      <c r="J1191">
        <v>1323.3909911999999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455.10100499999999</v>
      </c>
      <c r="B1192" s="1">
        <f>DATE(2011,7,30) + TIME(2,25,26)</f>
        <v>40754.100995370369</v>
      </c>
      <c r="C1192">
        <v>80</v>
      </c>
      <c r="D1192">
        <v>79.963447571000003</v>
      </c>
      <c r="E1192">
        <v>50</v>
      </c>
      <c r="F1192">
        <v>45.118690491000002</v>
      </c>
      <c r="G1192">
        <v>1339.4796143000001</v>
      </c>
      <c r="H1192">
        <v>1337.2458495999999</v>
      </c>
      <c r="I1192">
        <v>1325.6105957</v>
      </c>
      <c r="J1192">
        <v>1323.3598632999999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456.559438</v>
      </c>
      <c r="B1193" s="1">
        <f>DATE(2011,7,31) + TIME(13,25,35)</f>
        <v>40755.559432870374</v>
      </c>
      <c r="C1193">
        <v>80</v>
      </c>
      <c r="D1193">
        <v>79.963462829999997</v>
      </c>
      <c r="E1193">
        <v>50</v>
      </c>
      <c r="F1193">
        <v>45.075016022</v>
      </c>
      <c r="G1193">
        <v>1339.4735106999999</v>
      </c>
      <c r="H1193">
        <v>1337.2425536999999</v>
      </c>
      <c r="I1193">
        <v>1325.5911865</v>
      </c>
      <c r="J1193">
        <v>1323.3287353999999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457</v>
      </c>
      <c r="B1194" s="1">
        <f>DATE(2011,8,1) + TIME(0,0,0)</f>
        <v>40756</v>
      </c>
      <c r="C1194">
        <v>80</v>
      </c>
      <c r="D1194">
        <v>79.963447571000003</v>
      </c>
      <c r="E1194">
        <v>50</v>
      </c>
      <c r="F1194">
        <v>45.052825927999997</v>
      </c>
      <c r="G1194">
        <v>1339.4686279</v>
      </c>
      <c r="H1194">
        <v>1337.2402344</v>
      </c>
      <c r="I1194">
        <v>1325.5740966999999</v>
      </c>
      <c r="J1194">
        <v>1323.3020019999999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458.46290499999998</v>
      </c>
      <c r="B1195" s="1">
        <f>DATE(2011,8,2) + TIME(11,6,34)</f>
        <v>40757.462893518517</v>
      </c>
      <c r="C1195">
        <v>80</v>
      </c>
      <c r="D1195">
        <v>79.963470459000007</v>
      </c>
      <c r="E1195">
        <v>50</v>
      </c>
      <c r="F1195">
        <v>45.021942138999997</v>
      </c>
      <c r="G1195">
        <v>1339.4652100000001</v>
      </c>
      <c r="H1195">
        <v>1337.2379149999999</v>
      </c>
      <c r="I1195">
        <v>1325.5639647999999</v>
      </c>
      <c r="J1195">
        <v>1323.2847899999999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459.94594000000001</v>
      </c>
      <c r="B1196" s="1">
        <f>DATE(2011,8,3) + TIME(22,42,9)</f>
        <v>40758.945937500001</v>
      </c>
      <c r="C1196">
        <v>80</v>
      </c>
      <c r="D1196">
        <v>79.963485718000001</v>
      </c>
      <c r="E1196">
        <v>50</v>
      </c>
      <c r="F1196">
        <v>44.992580414000003</v>
      </c>
      <c r="G1196">
        <v>1339.4594727000001</v>
      </c>
      <c r="H1196">
        <v>1337.2347411999999</v>
      </c>
      <c r="I1196">
        <v>1325.5465088000001</v>
      </c>
      <c r="J1196">
        <v>1323.2564697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461.44219900000002</v>
      </c>
      <c r="B1197" s="1">
        <f>DATE(2011,8,5) + TIME(10,36,46)</f>
        <v>40760.442199074074</v>
      </c>
      <c r="C1197">
        <v>80</v>
      </c>
      <c r="D1197">
        <v>79.963500976999995</v>
      </c>
      <c r="E1197">
        <v>50</v>
      </c>
      <c r="F1197">
        <v>44.969512938999998</v>
      </c>
      <c r="G1197">
        <v>1339.4534911999999</v>
      </c>
      <c r="H1197">
        <v>1337.2314452999999</v>
      </c>
      <c r="I1197">
        <v>1325.5284423999999</v>
      </c>
      <c r="J1197">
        <v>1323.2268065999999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462.95095099999998</v>
      </c>
      <c r="B1198" s="1">
        <f>DATE(2011,8,6) + TIME(22,49,22)</f>
        <v>40761.950949074075</v>
      </c>
      <c r="C1198">
        <v>80</v>
      </c>
      <c r="D1198">
        <v>79.963516235</v>
      </c>
      <c r="E1198">
        <v>50</v>
      </c>
      <c r="F1198">
        <v>44.955760955999999</v>
      </c>
      <c r="G1198">
        <v>1339.4475098</v>
      </c>
      <c r="H1198">
        <v>1337.2281493999999</v>
      </c>
      <c r="I1198">
        <v>1325.5104980000001</v>
      </c>
      <c r="J1198">
        <v>1323.1968993999999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464.46486299999998</v>
      </c>
      <c r="B1199" s="1">
        <f>DATE(2011,8,8) + TIME(11,9,24)</f>
        <v>40763.464861111112</v>
      </c>
      <c r="C1199">
        <v>80</v>
      </c>
      <c r="D1199">
        <v>79.963531493999994</v>
      </c>
      <c r="E1199">
        <v>50</v>
      </c>
      <c r="F1199">
        <v>44.953979492000002</v>
      </c>
      <c r="G1199">
        <v>1339.4415283000001</v>
      </c>
      <c r="H1199">
        <v>1337.2247314000001</v>
      </c>
      <c r="I1199">
        <v>1325.4929199000001</v>
      </c>
      <c r="J1199">
        <v>1323.1672363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465.992639</v>
      </c>
      <c r="B1200" s="1">
        <f>DATE(2011,8,9) + TIME(23,49,23)</f>
        <v>40764.992627314816</v>
      </c>
      <c r="C1200">
        <v>80</v>
      </c>
      <c r="D1200">
        <v>79.963546753000003</v>
      </c>
      <c r="E1200">
        <v>50</v>
      </c>
      <c r="F1200">
        <v>44.966846466</v>
      </c>
      <c r="G1200">
        <v>1339.4355469</v>
      </c>
      <c r="H1200">
        <v>1337.2214355000001</v>
      </c>
      <c r="I1200">
        <v>1325.4757079999999</v>
      </c>
      <c r="J1200">
        <v>1323.1380615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466.765355</v>
      </c>
      <c r="B1201" s="1">
        <f>DATE(2011,8,10) + TIME(18,22,6)</f>
        <v>40765.765347222223</v>
      </c>
      <c r="C1201">
        <v>80</v>
      </c>
      <c r="D1201">
        <v>79.963546753000003</v>
      </c>
      <c r="E1201">
        <v>50</v>
      </c>
      <c r="F1201">
        <v>44.990077972000002</v>
      </c>
      <c r="G1201">
        <v>1339.4302978999999</v>
      </c>
      <c r="H1201">
        <v>1337.2186279</v>
      </c>
      <c r="I1201">
        <v>1325.4606934000001</v>
      </c>
      <c r="J1201">
        <v>1323.1118164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467.52631400000001</v>
      </c>
      <c r="B1202" s="1">
        <f>DATE(2011,8,11) + TIME(12,37,53)</f>
        <v>40766.526307870372</v>
      </c>
      <c r="C1202">
        <v>80</v>
      </c>
      <c r="D1202">
        <v>79.963546753000003</v>
      </c>
      <c r="E1202">
        <v>50</v>
      </c>
      <c r="F1202">
        <v>45.016929626</v>
      </c>
      <c r="G1202">
        <v>1339.4270019999999</v>
      </c>
      <c r="H1202">
        <v>1337.2165527</v>
      </c>
      <c r="I1202">
        <v>1325.4504394999999</v>
      </c>
      <c r="J1202">
        <v>1323.0941161999999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468.28727300000003</v>
      </c>
      <c r="B1203" s="1">
        <f>DATE(2011,8,12) + TIME(6,53,40)</f>
        <v>40767.287268518521</v>
      </c>
      <c r="C1203">
        <v>80</v>
      </c>
      <c r="D1203">
        <v>79.963554381999998</v>
      </c>
      <c r="E1203">
        <v>50</v>
      </c>
      <c r="F1203">
        <v>45.048652648999997</v>
      </c>
      <c r="G1203">
        <v>1339.4240723</v>
      </c>
      <c r="H1203">
        <v>1337.2148437999999</v>
      </c>
      <c r="I1203">
        <v>1325.4415283000001</v>
      </c>
      <c r="J1203">
        <v>1323.0786132999999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469.04823299999998</v>
      </c>
      <c r="B1204" s="1">
        <f>DATE(2011,8,13) + TIME(1,9,27)</f>
        <v>40768.048229166663</v>
      </c>
      <c r="C1204">
        <v>80</v>
      </c>
      <c r="D1204">
        <v>79.963562011999997</v>
      </c>
      <c r="E1204">
        <v>50</v>
      </c>
      <c r="F1204">
        <v>45.086044311999999</v>
      </c>
      <c r="G1204">
        <v>1339.4211425999999</v>
      </c>
      <c r="H1204">
        <v>1337.2131348</v>
      </c>
      <c r="I1204">
        <v>1325.4333495999999</v>
      </c>
      <c r="J1204">
        <v>1323.0644531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469.809192</v>
      </c>
      <c r="B1205" s="1">
        <f>DATE(2011,8,13) + TIME(19,25,14)</f>
        <v>40768.809189814812</v>
      </c>
      <c r="C1205">
        <v>80</v>
      </c>
      <c r="D1205">
        <v>79.963577271000005</v>
      </c>
      <c r="E1205">
        <v>50</v>
      </c>
      <c r="F1205">
        <v>45.129718781000001</v>
      </c>
      <c r="G1205">
        <v>1339.4183350000001</v>
      </c>
      <c r="H1205">
        <v>1337.2115478999999</v>
      </c>
      <c r="I1205">
        <v>1325.4257812000001</v>
      </c>
      <c r="J1205">
        <v>1323.0509033000001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470.57015100000001</v>
      </c>
      <c r="B1206" s="1">
        <f>DATE(2011,8,14) + TIME(13,41,1)</f>
        <v>40769.570150462961</v>
      </c>
      <c r="C1206">
        <v>80</v>
      </c>
      <c r="D1206">
        <v>79.963584900000001</v>
      </c>
      <c r="E1206">
        <v>50</v>
      </c>
      <c r="F1206">
        <v>45.180213928000001</v>
      </c>
      <c r="G1206">
        <v>1339.4155272999999</v>
      </c>
      <c r="H1206">
        <v>1337.2098389</v>
      </c>
      <c r="I1206">
        <v>1325.418457</v>
      </c>
      <c r="J1206">
        <v>1323.0379639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471.33111000000002</v>
      </c>
      <c r="B1207" s="1">
        <f>DATE(2011,8,15) + TIME(7,56,47)</f>
        <v>40770.331099537034</v>
      </c>
      <c r="C1207">
        <v>80</v>
      </c>
      <c r="D1207">
        <v>79.963592528999996</v>
      </c>
      <c r="E1207">
        <v>50</v>
      </c>
      <c r="F1207">
        <v>45.237968445</v>
      </c>
      <c r="G1207">
        <v>1339.4127197</v>
      </c>
      <c r="H1207">
        <v>1337.2082519999999</v>
      </c>
      <c r="I1207">
        <v>1325.4113769999999</v>
      </c>
      <c r="J1207">
        <v>1323.0255127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472.09206999999998</v>
      </c>
      <c r="B1208" s="1">
        <f>DATE(2011,8,16) + TIME(2,12,34)</f>
        <v>40771.092060185183</v>
      </c>
      <c r="C1208">
        <v>80</v>
      </c>
      <c r="D1208">
        <v>79.963600158999995</v>
      </c>
      <c r="E1208">
        <v>50</v>
      </c>
      <c r="F1208">
        <v>45.303333281999997</v>
      </c>
      <c r="G1208">
        <v>1339.4099120999999</v>
      </c>
      <c r="H1208">
        <v>1337.2066649999999</v>
      </c>
      <c r="I1208">
        <v>1325.4046631000001</v>
      </c>
      <c r="J1208">
        <v>1323.0133057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473.61398800000001</v>
      </c>
      <c r="B1209" s="1">
        <f>DATE(2011,8,17) + TIME(14,44,8)</f>
        <v>40772.613981481481</v>
      </c>
      <c r="C1209">
        <v>80</v>
      </c>
      <c r="D1209">
        <v>79.963638306000007</v>
      </c>
      <c r="E1209">
        <v>50</v>
      </c>
      <c r="F1209">
        <v>45.399505615000002</v>
      </c>
      <c r="G1209">
        <v>1339.4068603999999</v>
      </c>
      <c r="H1209">
        <v>1337.2047118999999</v>
      </c>
      <c r="I1209">
        <v>1325.3966064000001</v>
      </c>
      <c r="J1209">
        <v>1323.0001221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475.13693899999998</v>
      </c>
      <c r="B1210" s="1">
        <f>DATE(2011,8,19) + TIME(3,17,11)</f>
        <v>40774.136932870373</v>
      </c>
      <c r="C1210">
        <v>80</v>
      </c>
      <c r="D1210">
        <v>79.963661193999997</v>
      </c>
      <c r="E1210">
        <v>50</v>
      </c>
      <c r="F1210">
        <v>45.551349639999998</v>
      </c>
      <c r="G1210">
        <v>1339.4016113</v>
      </c>
      <c r="H1210">
        <v>1337.2017822</v>
      </c>
      <c r="I1210">
        <v>1325.3863524999999</v>
      </c>
      <c r="J1210">
        <v>1322.9808350000001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476.77851800000002</v>
      </c>
      <c r="B1211" s="1">
        <f>DATE(2011,8,20) + TIME(18,41,3)</f>
        <v>40775.778506944444</v>
      </c>
      <c r="C1211">
        <v>80</v>
      </c>
      <c r="D1211">
        <v>79.963684082</v>
      </c>
      <c r="E1211">
        <v>50</v>
      </c>
      <c r="F1211">
        <v>45.74773407</v>
      </c>
      <c r="G1211">
        <v>1339.3962402</v>
      </c>
      <c r="H1211">
        <v>1337.1986084</v>
      </c>
      <c r="I1211">
        <v>1325.3748779</v>
      </c>
      <c r="J1211">
        <v>1322.9603271000001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478.42859199999998</v>
      </c>
      <c r="B1212" s="1">
        <f>DATE(2011,8,22) + TIME(10,17,10)</f>
        <v>40777.428587962961</v>
      </c>
      <c r="C1212">
        <v>80</v>
      </c>
      <c r="D1212">
        <v>79.963706970000004</v>
      </c>
      <c r="E1212">
        <v>50</v>
      </c>
      <c r="F1212">
        <v>45.990314484000002</v>
      </c>
      <c r="G1212">
        <v>1339.3905029</v>
      </c>
      <c r="H1212">
        <v>1337.1951904</v>
      </c>
      <c r="I1212">
        <v>1325.3632812000001</v>
      </c>
      <c r="J1212">
        <v>1322.9392089999999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480.09800300000001</v>
      </c>
      <c r="B1213" s="1">
        <f>DATE(2011,8,24) + TIME(2,21,7)</f>
        <v>40779.097997685189</v>
      </c>
      <c r="C1213">
        <v>80</v>
      </c>
      <c r="D1213">
        <v>79.963737488000007</v>
      </c>
      <c r="E1213">
        <v>50</v>
      </c>
      <c r="F1213">
        <v>46.270687103</v>
      </c>
      <c r="G1213">
        <v>1339.3847656</v>
      </c>
      <c r="H1213">
        <v>1337.1917725000001</v>
      </c>
      <c r="I1213">
        <v>1325.3518065999999</v>
      </c>
      <c r="J1213">
        <v>1322.9189452999999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481.76767000000001</v>
      </c>
      <c r="B1214" s="1">
        <f>DATE(2011,8,25) + TIME(18,25,26)</f>
        <v>40780.76766203704</v>
      </c>
      <c r="C1214">
        <v>80</v>
      </c>
      <c r="D1214">
        <v>79.963760375999996</v>
      </c>
      <c r="E1214">
        <v>50</v>
      </c>
      <c r="F1214">
        <v>46.586658477999997</v>
      </c>
      <c r="G1214">
        <v>1339.3790283000001</v>
      </c>
      <c r="H1214">
        <v>1337.1883545000001</v>
      </c>
      <c r="I1214">
        <v>1325.3410644999999</v>
      </c>
      <c r="J1214">
        <v>1322.8999022999999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483.44787600000001</v>
      </c>
      <c r="B1215" s="1">
        <f>DATE(2011,8,27) + TIME(10,44,56)</f>
        <v>40782.447870370372</v>
      </c>
      <c r="C1215">
        <v>80</v>
      </c>
      <c r="D1215">
        <v>79.963783264</v>
      </c>
      <c r="E1215">
        <v>50</v>
      </c>
      <c r="F1215">
        <v>46.937877655000001</v>
      </c>
      <c r="G1215">
        <v>1339.3734131000001</v>
      </c>
      <c r="H1215">
        <v>1337.1850586</v>
      </c>
      <c r="I1215">
        <v>1325.3309326000001</v>
      </c>
      <c r="J1215">
        <v>1322.8822021000001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485.17334399999999</v>
      </c>
      <c r="B1216" s="1">
        <f>DATE(2011,8,29) + TIME(4,9,36)</f>
        <v>40784.173333333332</v>
      </c>
      <c r="C1216">
        <v>80</v>
      </c>
      <c r="D1216">
        <v>79.963813782000003</v>
      </c>
      <c r="E1216">
        <v>50</v>
      </c>
      <c r="F1216">
        <v>47.326560974000003</v>
      </c>
      <c r="G1216">
        <v>1339.3677978999999</v>
      </c>
      <c r="H1216">
        <v>1337.1816406</v>
      </c>
      <c r="I1216">
        <v>1325.3214111</v>
      </c>
      <c r="J1216">
        <v>1322.8658447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486.92049300000002</v>
      </c>
      <c r="B1217" s="1">
        <f>DATE(2011,8,30) + TIME(22,5,30)</f>
        <v>40785.920486111114</v>
      </c>
      <c r="C1217">
        <v>80</v>
      </c>
      <c r="D1217">
        <v>79.963836670000006</v>
      </c>
      <c r="E1217">
        <v>50</v>
      </c>
      <c r="F1217">
        <v>47.753337860000002</v>
      </c>
      <c r="G1217">
        <v>1339.3621826000001</v>
      </c>
      <c r="H1217">
        <v>1337.1782227000001</v>
      </c>
      <c r="I1217">
        <v>1325.3125</v>
      </c>
      <c r="J1217">
        <v>1322.8507079999999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488</v>
      </c>
      <c r="B1218" s="1">
        <f>DATE(2011,9,1) + TIME(0,0,0)</f>
        <v>40787</v>
      </c>
      <c r="C1218">
        <v>80</v>
      </c>
      <c r="D1218">
        <v>79.963844299000002</v>
      </c>
      <c r="E1218">
        <v>50</v>
      </c>
      <c r="F1218">
        <v>48.144100189</v>
      </c>
      <c r="G1218">
        <v>1339.3569336</v>
      </c>
      <c r="H1218">
        <v>1337.1751709</v>
      </c>
      <c r="I1218">
        <v>1325.3061522999999</v>
      </c>
      <c r="J1218">
        <v>1322.8380127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489.80672099999998</v>
      </c>
      <c r="B1219" s="1">
        <f>DATE(2011,9,2) + TIME(19,21,40)</f>
        <v>40788.806712962964</v>
      </c>
      <c r="C1219">
        <v>80</v>
      </c>
      <c r="D1219">
        <v>79.963882446</v>
      </c>
      <c r="E1219">
        <v>50</v>
      </c>
      <c r="F1219">
        <v>48.533878326</v>
      </c>
      <c r="G1219">
        <v>1339.3529053</v>
      </c>
      <c r="H1219">
        <v>1337.1724853999999</v>
      </c>
      <c r="I1219">
        <v>1325.2979736</v>
      </c>
      <c r="J1219">
        <v>1322.8282471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491.68014199999999</v>
      </c>
      <c r="B1220" s="1">
        <f>DATE(2011,9,4) + TIME(16,19,24)</f>
        <v>40790.680138888885</v>
      </c>
      <c r="C1220">
        <v>80</v>
      </c>
      <c r="D1220">
        <v>79.963920592999997</v>
      </c>
      <c r="E1220">
        <v>50</v>
      </c>
      <c r="F1220">
        <v>49.009304047000001</v>
      </c>
      <c r="G1220">
        <v>1339.3474120999999</v>
      </c>
      <c r="H1220">
        <v>1337.1691894999999</v>
      </c>
      <c r="I1220">
        <v>1325.2912598</v>
      </c>
      <c r="J1220">
        <v>1322.8167725000001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493.58890100000002</v>
      </c>
      <c r="B1221" s="1">
        <f>DATE(2011,9,6) + TIME(14,8,1)</f>
        <v>40792.588900462964</v>
      </c>
      <c r="C1221">
        <v>80</v>
      </c>
      <c r="D1221">
        <v>79.963951111</v>
      </c>
      <c r="E1221">
        <v>50</v>
      </c>
      <c r="F1221">
        <v>49.521343231000003</v>
      </c>
      <c r="G1221">
        <v>1339.3416748</v>
      </c>
      <c r="H1221">
        <v>1337.1656493999999</v>
      </c>
      <c r="I1221">
        <v>1325.2844238</v>
      </c>
      <c r="J1221">
        <v>1322.8059082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495.522175</v>
      </c>
      <c r="B1222" s="1">
        <f>DATE(2011,9,8) + TIME(12,31,55)</f>
        <v>40794.522164351853</v>
      </c>
      <c r="C1222">
        <v>80</v>
      </c>
      <c r="D1222">
        <v>79.963981627999999</v>
      </c>
      <c r="E1222">
        <v>50</v>
      </c>
      <c r="F1222">
        <v>50.046607971</v>
      </c>
      <c r="G1222">
        <v>1339.3359375</v>
      </c>
      <c r="H1222">
        <v>1337.1622314000001</v>
      </c>
      <c r="I1222">
        <v>1325.277832</v>
      </c>
      <c r="J1222">
        <v>1322.7958983999999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497.47281800000002</v>
      </c>
      <c r="B1223" s="1">
        <f>DATE(2011,9,10) + TIME(11,20,51)</f>
        <v>40796.472812499997</v>
      </c>
      <c r="C1223">
        <v>80</v>
      </c>
      <c r="D1223">
        <v>79.964019774999997</v>
      </c>
      <c r="E1223">
        <v>50</v>
      </c>
      <c r="F1223">
        <v>50.57289505</v>
      </c>
      <c r="G1223">
        <v>1339.3302002</v>
      </c>
      <c r="H1223">
        <v>1337.1586914</v>
      </c>
      <c r="I1223">
        <v>1325.2717285000001</v>
      </c>
      <c r="J1223">
        <v>1322.7866211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499.46644700000002</v>
      </c>
      <c r="B1224" s="1">
        <f>DATE(2011,9,12) + TIME(11,11,41)</f>
        <v>40798.466446759259</v>
      </c>
      <c r="C1224">
        <v>80</v>
      </c>
      <c r="D1224">
        <v>79.964050293</v>
      </c>
      <c r="E1224">
        <v>50</v>
      </c>
      <c r="F1224">
        <v>51.094459534000002</v>
      </c>
      <c r="G1224">
        <v>1339.3244629000001</v>
      </c>
      <c r="H1224">
        <v>1337.1551514</v>
      </c>
      <c r="I1224">
        <v>1325.2661132999999</v>
      </c>
      <c r="J1224">
        <v>1322.7783202999999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501.49429900000001</v>
      </c>
      <c r="B1225" s="1">
        <f>DATE(2011,9,14) + TIME(11,51,47)</f>
        <v>40800.494293981479</v>
      </c>
      <c r="C1225">
        <v>80</v>
      </c>
      <c r="D1225">
        <v>79.964088439999998</v>
      </c>
      <c r="E1225">
        <v>50</v>
      </c>
      <c r="F1225">
        <v>51.609519958</v>
      </c>
      <c r="G1225">
        <v>1339.3187256000001</v>
      </c>
      <c r="H1225">
        <v>1337.1516113</v>
      </c>
      <c r="I1225">
        <v>1325.2609863</v>
      </c>
      <c r="J1225">
        <v>1322.7706298999999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503.53233799999998</v>
      </c>
      <c r="B1226" s="1">
        <f>DATE(2011,9,16) + TIME(12,46,34)</f>
        <v>40802.532337962963</v>
      </c>
      <c r="C1226">
        <v>80</v>
      </c>
      <c r="D1226">
        <v>79.964126586999996</v>
      </c>
      <c r="E1226">
        <v>50</v>
      </c>
      <c r="F1226">
        <v>52.114212035999998</v>
      </c>
      <c r="G1226">
        <v>1339.3131103999999</v>
      </c>
      <c r="H1226">
        <v>1337.1481934000001</v>
      </c>
      <c r="I1226">
        <v>1325.2563477000001</v>
      </c>
      <c r="J1226">
        <v>1322.7636719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505.60635400000001</v>
      </c>
      <c r="B1227" s="1">
        <f>DATE(2011,9,18) + TIME(14,33,9)</f>
        <v>40804.606354166666</v>
      </c>
      <c r="C1227">
        <v>80</v>
      </c>
      <c r="D1227">
        <v>79.964164733999993</v>
      </c>
      <c r="E1227">
        <v>50</v>
      </c>
      <c r="F1227">
        <v>52.606204986999998</v>
      </c>
      <c r="G1227">
        <v>1339.3074951000001</v>
      </c>
      <c r="H1227">
        <v>1337.1447754000001</v>
      </c>
      <c r="I1227">
        <v>1325.2520752</v>
      </c>
      <c r="J1227">
        <v>1322.7574463000001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507.73051500000003</v>
      </c>
      <c r="B1228" s="1">
        <f>DATE(2011,9,20) + TIME(17,31,56)</f>
        <v>40806.730509259258</v>
      </c>
      <c r="C1228">
        <v>80</v>
      </c>
      <c r="D1228">
        <v>79.964202881000006</v>
      </c>
      <c r="E1228">
        <v>50</v>
      </c>
      <c r="F1228">
        <v>53.088657378999997</v>
      </c>
      <c r="G1228">
        <v>1339.3018798999999</v>
      </c>
      <c r="H1228">
        <v>1337.1413574000001</v>
      </c>
      <c r="I1228">
        <v>1325.2481689000001</v>
      </c>
      <c r="J1228">
        <v>1322.7515868999999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509.86913199999998</v>
      </c>
      <c r="B1229" s="1">
        <f>DATE(2011,9,22) + TIME(20,51,32)</f>
        <v>40808.869120370371</v>
      </c>
      <c r="C1229">
        <v>80</v>
      </c>
      <c r="D1229">
        <v>79.964241028000004</v>
      </c>
      <c r="E1229">
        <v>50</v>
      </c>
      <c r="F1229">
        <v>53.561748504999997</v>
      </c>
      <c r="G1229">
        <v>1339.2963867000001</v>
      </c>
      <c r="H1229">
        <v>1337.1378173999999</v>
      </c>
      <c r="I1229">
        <v>1325.244751</v>
      </c>
      <c r="J1229">
        <v>1322.7463379000001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512.03563299999996</v>
      </c>
      <c r="B1230" s="1">
        <f>DATE(2011,9,25) + TIME(0,51,18)</f>
        <v>40811.035624999997</v>
      </c>
      <c r="C1230">
        <v>80</v>
      </c>
      <c r="D1230">
        <v>79.964279175000001</v>
      </c>
      <c r="E1230">
        <v>50</v>
      </c>
      <c r="F1230">
        <v>54.020488739000001</v>
      </c>
      <c r="G1230">
        <v>1339.2907714999999</v>
      </c>
      <c r="H1230">
        <v>1337.1345214999999</v>
      </c>
      <c r="I1230">
        <v>1325.2414550999999</v>
      </c>
      <c r="J1230">
        <v>1322.7414550999999</v>
      </c>
      <c r="K1230">
        <v>2400</v>
      </c>
      <c r="L1230">
        <v>0</v>
      </c>
      <c r="M1230">
        <v>0</v>
      </c>
      <c r="N1230">
        <v>2400</v>
      </c>
    </row>
    <row r="1231" spans="1:14" x14ac:dyDescent="0.25">
      <c r="A1231">
        <v>514.24629800000002</v>
      </c>
      <c r="B1231" s="1">
        <f>DATE(2011,9,27) + TIME(5,54,40)</f>
        <v>40813.246296296296</v>
      </c>
      <c r="C1231">
        <v>80</v>
      </c>
      <c r="D1231">
        <v>79.964324950999995</v>
      </c>
      <c r="E1231">
        <v>50</v>
      </c>
      <c r="F1231">
        <v>54.466327667000002</v>
      </c>
      <c r="G1231">
        <v>1339.2852783000001</v>
      </c>
      <c r="H1231">
        <v>1337.1311035000001</v>
      </c>
      <c r="I1231">
        <v>1325.2385254000001</v>
      </c>
      <c r="J1231">
        <v>1322.7368164</v>
      </c>
      <c r="K1231">
        <v>2400</v>
      </c>
      <c r="L1231">
        <v>0</v>
      </c>
      <c r="M1231">
        <v>0</v>
      </c>
      <c r="N1231">
        <v>2400</v>
      </c>
    </row>
    <row r="1232" spans="1:14" x14ac:dyDescent="0.25">
      <c r="A1232">
        <v>516.50547700000004</v>
      </c>
      <c r="B1232" s="1">
        <f>DATE(2011,9,29) + TIME(12,7,53)</f>
        <v>40815.505474537036</v>
      </c>
      <c r="C1232">
        <v>80</v>
      </c>
      <c r="D1232">
        <v>79.964363098000007</v>
      </c>
      <c r="E1232">
        <v>50</v>
      </c>
      <c r="F1232">
        <v>54.900676726999997</v>
      </c>
      <c r="G1232">
        <v>1339.2799072</v>
      </c>
      <c r="H1232">
        <v>1337.1276855000001</v>
      </c>
      <c r="I1232">
        <v>1325.2358397999999</v>
      </c>
      <c r="J1232">
        <v>1322.7325439000001</v>
      </c>
      <c r="K1232">
        <v>2400</v>
      </c>
      <c r="L1232">
        <v>0</v>
      </c>
      <c r="M1232">
        <v>0</v>
      </c>
      <c r="N1232">
        <v>2400</v>
      </c>
    </row>
    <row r="1233" spans="1:14" x14ac:dyDescent="0.25">
      <c r="A1233">
        <v>518</v>
      </c>
      <c r="B1233" s="1">
        <f>DATE(2011,10,1) + TIME(0,0,0)</f>
        <v>40817</v>
      </c>
      <c r="C1233">
        <v>80</v>
      </c>
      <c r="D1233">
        <v>79.964385985999996</v>
      </c>
      <c r="E1233">
        <v>50</v>
      </c>
      <c r="F1233">
        <v>55.284080504999999</v>
      </c>
      <c r="G1233">
        <v>1339.2746582</v>
      </c>
      <c r="H1233">
        <v>1337.1247559000001</v>
      </c>
      <c r="I1233">
        <v>1325.2344971</v>
      </c>
      <c r="J1233">
        <v>1322.7290039</v>
      </c>
      <c r="K1233">
        <v>2400</v>
      </c>
      <c r="L1233">
        <v>0</v>
      </c>
      <c r="M1233">
        <v>0</v>
      </c>
      <c r="N1233">
        <v>2400</v>
      </c>
    </row>
    <row r="1234" spans="1:14" x14ac:dyDescent="0.25">
      <c r="A1234">
        <v>520.27905799999996</v>
      </c>
      <c r="B1234" s="1">
        <f>DATE(2011,10,3) + TIME(6,41,50)</f>
        <v>40819.279050925928</v>
      </c>
      <c r="C1234">
        <v>80</v>
      </c>
      <c r="D1234">
        <v>79.964439392000003</v>
      </c>
      <c r="E1234">
        <v>50</v>
      </c>
      <c r="F1234">
        <v>55.611991881999998</v>
      </c>
      <c r="G1234">
        <v>1339.2707519999999</v>
      </c>
      <c r="H1234">
        <v>1337.1220702999999</v>
      </c>
      <c r="I1234">
        <v>1325.2314452999999</v>
      </c>
      <c r="J1234">
        <v>1322.7263184000001</v>
      </c>
      <c r="K1234">
        <v>2400</v>
      </c>
      <c r="L1234">
        <v>0</v>
      </c>
      <c r="M1234">
        <v>0</v>
      </c>
      <c r="N1234">
        <v>2400</v>
      </c>
    </row>
    <row r="1235" spans="1:14" x14ac:dyDescent="0.25">
      <c r="A1235">
        <v>522.61599699999999</v>
      </c>
      <c r="B1235" s="1">
        <f>DATE(2011,10,5) + TIME(14,47,2)</f>
        <v>40821.615995370368</v>
      </c>
      <c r="C1235">
        <v>80</v>
      </c>
      <c r="D1235">
        <v>79.964485167999996</v>
      </c>
      <c r="E1235">
        <v>50</v>
      </c>
      <c r="F1235">
        <v>55.991596221999998</v>
      </c>
      <c r="G1235">
        <v>1339.2655029</v>
      </c>
      <c r="H1235">
        <v>1337.1188964999999</v>
      </c>
      <c r="I1235">
        <v>1325.2293701000001</v>
      </c>
      <c r="J1235">
        <v>1322.7220459</v>
      </c>
      <c r="K1235">
        <v>2400</v>
      </c>
      <c r="L1235">
        <v>0</v>
      </c>
      <c r="M1235">
        <v>0</v>
      </c>
      <c r="N1235">
        <v>2400</v>
      </c>
    </row>
    <row r="1236" spans="1:14" x14ac:dyDescent="0.25">
      <c r="A1236">
        <v>525.01317500000005</v>
      </c>
      <c r="B1236" s="1">
        <f>DATE(2011,10,8) + TIME(0,18,58)</f>
        <v>40824.013171296298</v>
      </c>
      <c r="C1236">
        <v>80</v>
      </c>
      <c r="D1236">
        <v>79.964530945000007</v>
      </c>
      <c r="E1236">
        <v>50</v>
      </c>
      <c r="F1236">
        <v>56.373432158999996</v>
      </c>
      <c r="G1236">
        <v>1339.2601318</v>
      </c>
      <c r="H1236">
        <v>1337.1157227000001</v>
      </c>
      <c r="I1236">
        <v>1325.2274170000001</v>
      </c>
      <c r="J1236">
        <v>1322.7183838000001</v>
      </c>
      <c r="K1236">
        <v>2400</v>
      </c>
      <c r="L1236">
        <v>0</v>
      </c>
      <c r="M1236">
        <v>0</v>
      </c>
      <c r="N1236">
        <v>2400</v>
      </c>
    </row>
    <row r="1237" spans="1:14" x14ac:dyDescent="0.25">
      <c r="A1237">
        <v>527.43757800000003</v>
      </c>
      <c r="B1237" s="1">
        <f>DATE(2011,10,10) + TIME(10,30,6)</f>
        <v>40826.437569444446</v>
      </c>
      <c r="C1237">
        <v>80</v>
      </c>
      <c r="D1237">
        <v>79.964576721</v>
      </c>
      <c r="E1237">
        <v>50</v>
      </c>
      <c r="F1237">
        <v>56.747039794999999</v>
      </c>
      <c r="G1237">
        <v>1339.2547606999999</v>
      </c>
      <c r="H1237">
        <v>1337.1124268000001</v>
      </c>
      <c r="I1237">
        <v>1325.2254639</v>
      </c>
      <c r="J1237">
        <v>1322.7148437999999</v>
      </c>
      <c r="K1237">
        <v>2400</v>
      </c>
      <c r="L1237">
        <v>0</v>
      </c>
      <c r="M1237">
        <v>0</v>
      </c>
      <c r="N1237">
        <v>2400</v>
      </c>
    </row>
    <row r="1238" spans="1:14" x14ac:dyDescent="0.25">
      <c r="A1238">
        <v>529.88217299999997</v>
      </c>
      <c r="B1238" s="1">
        <f>DATE(2011,10,12) + TIME(21,10,19)</f>
        <v>40828.882164351853</v>
      </c>
      <c r="C1238">
        <v>80</v>
      </c>
      <c r="D1238">
        <v>79.964630127000007</v>
      </c>
      <c r="E1238">
        <v>50</v>
      </c>
      <c r="F1238">
        <v>57.107257842999999</v>
      </c>
      <c r="G1238">
        <v>1339.2495117000001</v>
      </c>
      <c r="H1238">
        <v>1337.1091309000001</v>
      </c>
      <c r="I1238">
        <v>1325.2237548999999</v>
      </c>
      <c r="J1238">
        <v>1322.7115478999999</v>
      </c>
      <c r="K1238">
        <v>2400</v>
      </c>
      <c r="L1238">
        <v>0</v>
      </c>
      <c r="M1238">
        <v>0</v>
      </c>
      <c r="N1238">
        <v>2400</v>
      </c>
    </row>
    <row r="1239" spans="1:14" x14ac:dyDescent="0.25">
      <c r="A1239">
        <v>532.374009</v>
      </c>
      <c r="B1239" s="1">
        <f>DATE(2011,10,15) + TIME(8,58,34)</f>
        <v>40831.37400462963</v>
      </c>
      <c r="C1239">
        <v>80</v>
      </c>
      <c r="D1239">
        <v>79.964675903</v>
      </c>
      <c r="E1239">
        <v>50</v>
      </c>
      <c r="F1239">
        <v>57.453819275000001</v>
      </c>
      <c r="G1239">
        <v>1339.2442627</v>
      </c>
      <c r="H1239">
        <v>1337.105957</v>
      </c>
      <c r="I1239">
        <v>1325.222168</v>
      </c>
      <c r="J1239">
        <v>1322.708374</v>
      </c>
      <c r="K1239">
        <v>2400</v>
      </c>
      <c r="L1239">
        <v>0</v>
      </c>
      <c r="M1239">
        <v>0</v>
      </c>
      <c r="N1239">
        <v>2400</v>
      </c>
    </row>
    <row r="1240" spans="1:14" x14ac:dyDescent="0.25">
      <c r="A1240">
        <v>534.92326100000002</v>
      </c>
      <c r="B1240" s="1">
        <f>DATE(2011,10,17) + TIME(22,9,29)</f>
        <v>40833.923252314817</v>
      </c>
      <c r="C1240">
        <v>80</v>
      </c>
      <c r="D1240">
        <v>79.964729309000006</v>
      </c>
      <c r="E1240">
        <v>50</v>
      </c>
      <c r="F1240">
        <v>57.788536071999999</v>
      </c>
      <c r="G1240">
        <v>1339.2390137</v>
      </c>
      <c r="H1240">
        <v>1337.1027832</v>
      </c>
      <c r="I1240">
        <v>1325.2207031</v>
      </c>
      <c r="J1240">
        <v>1322.7052002</v>
      </c>
      <c r="K1240">
        <v>2400</v>
      </c>
      <c r="L1240">
        <v>0</v>
      </c>
      <c r="M1240">
        <v>0</v>
      </c>
      <c r="N1240">
        <v>2400</v>
      </c>
    </row>
    <row r="1241" spans="1:14" x14ac:dyDescent="0.25">
      <c r="A1241">
        <v>537.49965299999997</v>
      </c>
      <c r="B1241" s="1">
        <f>DATE(2011,10,20) + TIME(11,59,30)</f>
        <v>40836.499652777777</v>
      </c>
      <c r="C1241">
        <v>80</v>
      </c>
      <c r="D1241">
        <v>79.964775084999999</v>
      </c>
      <c r="E1241">
        <v>50</v>
      </c>
      <c r="F1241">
        <v>58.113323211999997</v>
      </c>
      <c r="G1241">
        <v>1339.2338867000001</v>
      </c>
      <c r="H1241">
        <v>1337.0996094</v>
      </c>
      <c r="I1241">
        <v>1325.2194824000001</v>
      </c>
      <c r="J1241">
        <v>1322.7022704999999</v>
      </c>
      <c r="K1241">
        <v>2400</v>
      </c>
      <c r="L1241">
        <v>0</v>
      </c>
      <c r="M1241">
        <v>0</v>
      </c>
      <c r="N1241">
        <v>2400</v>
      </c>
    </row>
    <row r="1242" spans="1:14" x14ac:dyDescent="0.25">
      <c r="A1242">
        <v>540.110052</v>
      </c>
      <c r="B1242" s="1">
        <f>DATE(2011,10,23) + TIME(2,38,28)</f>
        <v>40839.110046296293</v>
      </c>
      <c r="C1242">
        <v>80</v>
      </c>
      <c r="D1242">
        <v>79.964828491000006</v>
      </c>
      <c r="E1242">
        <v>50</v>
      </c>
      <c r="F1242">
        <v>58.425628662000001</v>
      </c>
      <c r="G1242">
        <v>1339.2286377</v>
      </c>
      <c r="H1242">
        <v>1337.0964355000001</v>
      </c>
      <c r="I1242">
        <v>1325.2182617000001</v>
      </c>
      <c r="J1242">
        <v>1322.6993408000001</v>
      </c>
      <c r="K1242">
        <v>2400</v>
      </c>
      <c r="L1242">
        <v>0</v>
      </c>
      <c r="M1242">
        <v>0</v>
      </c>
      <c r="N1242">
        <v>2400</v>
      </c>
    </row>
    <row r="1243" spans="1:14" x14ac:dyDescent="0.25">
      <c r="A1243">
        <v>542.779991</v>
      </c>
      <c r="B1243" s="1">
        <f>DATE(2011,10,25) + TIME(18,43,11)</f>
        <v>40841.779988425929</v>
      </c>
      <c r="C1243">
        <v>80</v>
      </c>
      <c r="D1243">
        <v>79.964881896999998</v>
      </c>
      <c r="E1243">
        <v>50</v>
      </c>
      <c r="F1243">
        <v>58.725715637</v>
      </c>
      <c r="G1243">
        <v>1339.2235106999999</v>
      </c>
      <c r="H1243">
        <v>1337.0933838000001</v>
      </c>
      <c r="I1243">
        <v>1325.2171631000001</v>
      </c>
      <c r="J1243">
        <v>1322.6966553</v>
      </c>
      <c r="K1243">
        <v>2400</v>
      </c>
      <c r="L1243">
        <v>0</v>
      </c>
      <c r="M1243">
        <v>0</v>
      </c>
      <c r="N1243">
        <v>2400</v>
      </c>
    </row>
    <row r="1244" spans="1:14" x14ac:dyDescent="0.25">
      <c r="A1244">
        <v>545.49533299999996</v>
      </c>
      <c r="B1244" s="1">
        <f>DATE(2011,10,28) + TIME(11,53,16)</f>
        <v>40844.495324074072</v>
      </c>
      <c r="C1244">
        <v>80</v>
      </c>
      <c r="D1244">
        <v>79.964942932</v>
      </c>
      <c r="E1244">
        <v>50</v>
      </c>
      <c r="F1244">
        <v>59.015247344999999</v>
      </c>
      <c r="G1244">
        <v>1339.2185059000001</v>
      </c>
      <c r="H1244">
        <v>1337.090332</v>
      </c>
      <c r="I1244">
        <v>1325.2163086</v>
      </c>
      <c r="J1244">
        <v>1322.6939697</v>
      </c>
      <c r="K1244">
        <v>2400</v>
      </c>
      <c r="L1244">
        <v>0</v>
      </c>
      <c r="M1244">
        <v>0</v>
      </c>
      <c r="N1244">
        <v>2400</v>
      </c>
    </row>
    <row r="1245" spans="1:14" x14ac:dyDescent="0.25">
      <c r="A1245">
        <v>548.24230299999999</v>
      </c>
      <c r="B1245" s="1">
        <f>DATE(2011,10,31) + TIME(5,48,55)</f>
        <v>40847.242303240739</v>
      </c>
      <c r="C1245">
        <v>80</v>
      </c>
      <c r="D1245">
        <v>79.964996338000006</v>
      </c>
      <c r="E1245">
        <v>50</v>
      </c>
      <c r="F1245">
        <v>59.295459747000002</v>
      </c>
      <c r="G1245">
        <v>1339.2133789</v>
      </c>
      <c r="H1245">
        <v>1337.0871582</v>
      </c>
      <c r="I1245">
        <v>1325.2155762</v>
      </c>
      <c r="J1245">
        <v>1322.6915283000001</v>
      </c>
      <c r="K1245">
        <v>2400</v>
      </c>
      <c r="L1245">
        <v>0</v>
      </c>
      <c r="M1245">
        <v>0</v>
      </c>
      <c r="N1245">
        <v>2400</v>
      </c>
    </row>
    <row r="1246" spans="1:14" x14ac:dyDescent="0.25">
      <c r="A1246">
        <v>549</v>
      </c>
      <c r="B1246" s="1">
        <f>DATE(2011,11,1) + TIME(0,0,0)</f>
        <v>40848</v>
      </c>
      <c r="C1246">
        <v>80</v>
      </c>
      <c r="D1246">
        <v>79.964996338000006</v>
      </c>
      <c r="E1246">
        <v>50</v>
      </c>
      <c r="F1246">
        <v>59.485221863</v>
      </c>
      <c r="G1246">
        <v>1339.2094727000001</v>
      </c>
      <c r="H1246">
        <v>1337.0852050999999</v>
      </c>
      <c r="I1246">
        <v>1325.2177733999999</v>
      </c>
      <c r="J1246">
        <v>1322.690918</v>
      </c>
      <c r="K1246">
        <v>2400</v>
      </c>
      <c r="L1246">
        <v>0</v>
      </c>
      <c r="M1246">
        <v>0</v>
      </c>
      <c r="N1246">
        <v>2400</v>
      </c>
    </row>
    <row r="1247" spans="1:14" x14ac:dyDescent="0.25">
      <c r="A1247">
        <v>549.000001</v>
      </c>
      <c r="B1247" s="1">
        <f>DATE(2011,11,1) + TIME(0,0,0)</f>
        <v>40848</v>
      </c>
      <c r="C1247">
        <v>80</v>
      </c>
      <c r="D1247">
        <v>79.964958190999994</v>
      </c>
      <c r="E1247">
        <v>50</v>
      </c>
      <c r="F1247">
        <v>59.485233307000001</v>
      </c>
      <c r="G1247">
        <v>1337.0743408000001</v>
      </c>
      <c r="H1247">
        <v>1336.4194336</v>
      </c>
      <c r="I1247">
        <v>1327.8969727000001</v>
      </c>
      <c r="J1247">
        <v>1325.2331543</v>
      </c>
      <c r="K1247">
        <v>0</v>
      </c>
      <c r="L1247">
        <v>2400</v>
      </c>
      <c r="M1247">
        <v>2400</v>
      </c>
      <c r="N1247">
        <v>0</v>
      </c>
    </row>
    <row r="1248" spans="1:14" x14ac:dyDescent="0.25">
      <c r="A1248">
        <v>549.00000399999999</v>
      </c>
      <c r="B1248" s="1">
        <f>DATE(2011,11,1) + TIME(0,0,0)</f>
        <v>40848</v>
      </c>
      <c r="C1248">
        <v>80</v>
      </c>
      <c r="D1248">
        <v>79.964859008999994</v>
      </c>
      <c r="E1248">
        <v>50</v>
      </c>
      <c r="F1248">
        <v>59.485271453999999</v>
      </c>
      <c r="G1248">
        <v>1337.0423584</v>
      </c>
      <c r="H1248">
        <v>1336.3889160000001</v>
      </c>
      <c r="I1248">
        <v>1327.9285889</v>
      </c>
      <c r="J1248">
        <v>1325.2785644999999</v>
      </c>
      <c r="K1248">
        <v>0</v>
      </c>
      <c r="L1248">
        <v>2400</v>
      </c>
      <c r="M1248">
        <v>2400</v>
      </c>
      <c r="N1248">
        <v>0</v>
      </c>
    </row>
    <row r="1249" spans="1:14" x14ac:dyDescent="0.25">
      <c r="A1249">
        <v>549.00001299999997</v>
      </c>
      <c r="B1249" s="1">
        <f>DATE(2011,11,1) + TIME(0,0,1)</f>
        <v>40848.000011574077</v>
      </c>
      <c r="C1249">
        <v>80</v>
      </c>
      <c r="D1249">
        <v>79.964561462000006</v>
      </c>
      <c r="E1249">
        <v>50</v>
      </c>
      <c r="F1249">
        <v>59.485374450999998</v>
      </c>
      <c r="G1249">
        <v>1336.9520264</v>
      </c>
      <c r="H1249">
        <v>1336.3026123</v>
      </c>
      <c r="I1249">
        <v>1328.0201416</v>
      </c>
      <c r="J1249">
        <v>1325.4074707</v>
      </c>
      <c r="K1249">
        <v>0</v>
      </c>
      <c r="L1249">
        <v>2400</v>
      </c>
      <c r="M1249">
        <v>2400</v>
      </c>
      <c r="N1249">
        <v>0</v>
      </c>
    </row>
    <row r="1250" spans="1:14" x14ac:dyDescent="0.25">
      <c r="A1250">
        <v>549.00004000000001</v>
      </c>
      <c r="B1250" s="1">
        <f>DATE(2011,11,1) + TIME(0,0,3)</f>
        <v>40848.000034722223</v>
      </c>
      <c r="C1250">
        <v>80</v>
      </c>
      <c r="D1250">
        <v>79.963829040999997</v>
      </c>
      <c r="E1250">
        <v>50</v>
      </c>
      <c r="F1250">
        <v>59.485607147000003</v>
      </c>
      <c r="G1250">
        <v>1336.7233887</v>
      </c>
      <c r="H1250">
        <v>1336.081543</v>
      </c>
      <c r="I1250">
        <v>1328.2683105000001</v>
      </c>
      <c r="J1250">
        <v>1325.7421875</v>
      </c>
      <c r="K1250">
        <v>0</v>
      </c>
      <c r="L1250">
        <v>2400</v>
      </c>
      <c r="M1250">
        <v>2400</v>
      </c>
      <c r="N1250">
        <v>0</v>
      </c>
    </row>
    <row r="1251" spans="1:14" x14ac:dyDescent="0.25">
      <c r="A1251">
        <v>549.00012100000004</v>
      </c>
      <c r="B1251" s="1">
        <f>DATE(2011,11,1) + TIME(0,0,10)</f>
        <v>40848.000115740739</v>
      </c>
      <c r="C1251">
        <v>80</v>
      </c>
      <c r="D1251">
        <v>79.962318420000003</v>
      </c>
      <c r="E1251">
        <v>50</v>
      </c>
      <c r="F1251">
        <v>59.485855102999999</v>
      </c>
      <c r="G1251">
        <v>1336.2575684000001</v>
      </c>
      <c r="H1251">
        <v>1335.6209716999999</v>
      </c>
      <c r="I1251">
        <v>1328.8479004000001</v>
      </c>
      <c r="J1251">
        <v>1326.456543</v>
      </c>
      <c r="K1251">
        <v>0</v>
      </c>
      <c r="L1251">
        <v>2400</v>
      </c>
      <c r="M1251">
        <v>2400</v>
      </c>
      <c r="N1251">
        <v>0</v>
      </c>
    </row>
    <row r="1252" spans="1:14" x14ac:dyDescent="0.25">
      <c r="A1252">
        <v>549.00036399999999</v>
      </c>
      <c r="B1252" s="1">
        <f>DATE(2011,11,1) + TIME(0,0,31)</f>
        <v>40848.000358796293</v>
      </c>
      <c r="C1252">
        <v>80</v>
      </c>
      <c r="D1252">
        <v>79.960060119999994</v>
      </c>
      <c r="E1252">
        <v>50</v>
      </c>
      <c r="F1252">
        <v>59.484081267999997</v>
      </c>
      <c r="G1252">
        <v>1335.5607910000001</v>
      </c>
      <c r="H1252">
        <v>1334.9107666</v>
      </c>
      <c r="I1252">
        <v>1329.8879394999999</v>
      </c>
      <c r="J1252">
        <v>1327.5727539</v>
      </c>
      <c r="K1252">
        <v>0</v>
      </c>
      <c r="L1252">
        <v>2400</v>
      </c>
      <c r="M1252">
        <v>2400</v>
      </c>
      <c r="N1252">
        <v>0</v>
      </c>
    </row>
    <row r="1253" spans="1:14" x14ac:dyDescent="0.25">
      <c r="A1253">
        <v>549.00109299999997</v>
      </c>
      <c r="B1253" s="1">
        <f>DATE(2011,11,1) + TIME(0,1,34)</f>
        <v>40848.001087962963</v>
      </c>
      <c r="C1253">
        <v>80</v>
      </c>
      <c r="D1253">
        <v>79.957382202000005</v>
      </c>
      <c r="E1253">
        <v>50</v>
      </c>
      <c r="F1253">
        <v>59.474533080999997</v>
      </c>
      <c r="G1253">
        <v>1334.7540283000001</v>
      </c>
      <c r="H1253">
        <v>1334.0709228999999</v>
      </c>
      <c r="I1253">
        <v>1331.2719727000001</v>
      </c>
      <c r="J1253">
        <v>1328.9327393000001</v>
      </c>
      <c r="K1253">
        <v>0</v>
      </c>
      <c r="L1253">
        <v>2400</v>
      </c>
      <c r="M1253">
        <v>2400</v>
      </c>
      <c r="N1253">
        <v>0</v>
      </c>
    </row>
    <row r="1254" spans="1:14" x14ac:dyDescent="0.25">
      <c r="A1254">
        <v>549.00328000000002</v>
      </c>
      <c r="B1254" s="1">
        <f>DATE(2011,11,1) + TIME(0,4,43)</f>
        <v>40848.003275462965</v>
      </c>
      <c r="C1254">
        <v>80</v>
      </c>
      <c r="D1254">
        <v>79.954353333</v>
      </c>
      <c r="E1254">
        <v>50</v>
      </c>
      <c r="F1254">
        <v>59.439815521</v>
      </c>
      <c r="G1254">
        <v>1333.9049072</v>
      </c>
      <c r="H1254">
        <v>1333.177124</v>
      </c>
      <c r="I1254">
        <v>1332.7648925999999</v>
      </c>
      <c r="J1254">
        <v>1330.3765868999999</v>
      </c>
      <c r="K1254">
        <v>0</v>
      </c>
      <c r="L1254">
        <v>2400</v>
      </c>
      <c r="M1254">
        <v>2400</v>
      </c>
      <c r="N1254">
        <v>0</v>
      </c>
    </row>
    <row r="1255" spans="1:14" x14ac:dyDescent="0.25">
      <c r="A1255">
        <v>549.00984100000005</v>
      </c>
      <c r="B1255" s="1">
        <f>DATE(2011,11,1) + TIME(0,14,10)</f>
        <v>40848.009837962964</v>
      </c>
      <c r="C1255">
        <v>80</v>
      </c>
      <c r="D1255">
        <v>79.950492858999993</v>
      </c>
      <c r="E1255">
        <v>50</v>
      </c>
      <c r="F1255">
        <v>59.329097748000002</v>
      </c>
      <c r="G1255">
        <v>1333.0032959</v>
      </c>
      <c r="H1255">
        <v>1332.2180175999999</v>
      </c>
      <c r="I1255">
        <v>1334.2709961</v>
      </c>
      <c r="J1255">
        <v>1331.8363036999999</v>
      </c>
      <c r="K1255">
        <v>0</v>
      </c>
      <c r="L1255">
        <v>2400</v>
      </c>
      <c r="M1255">
        <v>2400</v>
      </c>
      <c r="N1255">
        <v>0</v>
      </c>
    </row>
    <row r="1256" spans="1:14" x14ac:dyDescent="0.25">
      <c r="A1256">
        <v>549.02952400000004</v>
      </c>
      <c r="B1256" s="1">
        <f>DATE(2011,11,1) + TIME(0,42,30)</f>
        <v>40848.029513888891</v>
      </c>
      <c r="C1256">
        <v>80</v>
      </c>
      <c r="D1256">
        <v>79.944374084000003</v>
      </c>
      <c r="E1256">
        <v>50</v>
      </c>
      <c r="F1256">
        <v>58.997650145999998</v>
      </c>
      <c r="G1256">
        <v>1332.0299072</v>
      </c>
      <c r="H1256">
        <v>1331.1785889</v>
      </c>
      <c r="I1256">
        <v>1335.7661132999999</v>
      </c>
      <c r="J1256">
        <v>1333.2786865</v>
      </c>
      <c r="K1256">
        <v>0</v>
      </c>
      <c r="L1256">
        <v>2400</v>
      </c>
      <c r="M1256">
        <v>2400</v>
      </c>
      <c r="N1256">
        <v>0</v>
      </c>
    </row>
    <row r="1257" spans="1:14" x14ac:dyDescent="0.25">
      <c r="A1257">
        <v>549.055161</v>
      </c>
      <c r="B1257" s="1">
        <f>DATE(2011,11,1) + TIME(1,19,25)</f>
        <v>40848.055150462962</v>
      </c>
      <c r="C1257">
        <v>80</v>
      </c>
      <c r="D1257">
        <v>79.938385010000005</v>
      </c>
      <c r="E1257">
        <v>50</v>
      </c>
      <c r="F1257">
        <v>58.580673218000001</v>
      </c>
      <c r="G1257">
        <v>1331.4104004000001</v>
      </c>
      <c r="H1257">
        <v>1330.5172118999999</v>
      </c>
      <c r="I1257">
        <v>1336.6599120999999</v>
      </c>
      <c r="J1257">
        <v>1334.1356201000001</v>
      </c>
      <c r="K1257">
        <v>0</v>
      </c>
      <c r="L1257">
        <v>2400</v>
      </c>
      <c r="M1257">
        <v>2400</v>
      </c>
      <c r="N1257">
        <v>0</v>
      </c>
    </row>
    <row r="1258" spans="1:14" x14ac:dyDescent="0.25">
      <c r="A1258">
        <v>549.08248900000001</v>
      </c>
      <c r="B1258" s="1">
        <f>DATE(2011,11,1) + TIME(1,58,47)</f>
        <v>40848.082488425927</v>
      </c>
      <c r="C1258">
        <v>80</v>
      </c>
      <c r="D1258">
        <v>79.932815551999994</v>
      </c>
      <c r="E1258">
        <v>50</v>
      </c>
      <c r="F1258">
        <v>58.156238555999998</v>
      </c>
      <c r="G1258">
        <v>1331.0185547000001</v>
      </c>
      <c r="H1258">
        <v>1330.0992432</v>
      </c>
      <c r="I1258">
        <v>1337.203125</v>
      </c>
      <c r="J1258">
        <v>1334.6544189000001</v>
      </c>
      <c r="K1258">
        <v>0</v>
      </c>
      <c r="L1258">
        <v>2400</v>
      </c>
      <c r="M1258">
        <v>2400</v>
      </c>
      <c r="N1258">
        <v>0</v>
      </c>
    </row>
    <row r="1259" spans="1:14" x14ac:dyDescent="0.25">
      <c r="A1259">
        <v>549.11141699999996</v>
      </c>
      <c r="B1259" s="1">
        <f>DATE(2011,11,1) + TIME(2,40,26)</f>
        <v>40848.11141203704</v>
      </c>
      <c r="C1259">
        <v>80</v>
      </c>
      <c r="D1259">
        <v>79.927352905000006</v>
      </c>
      <c r="E1259">
        <v>50</v>
      </c>
      <c r="F1259">
        <v>57.730178832999997</v>
      </c>
      <c r="G1259">
        <v>1330.7460937999999</v>
      </c>
      <c r="H1259">
        <v>1329.8095702999999</v>
      </c>
      <c r="I1259">
        <v>1337.5684814000001</v>
      </c>
      <c r="J1259">
        <v>1335.0032959</v>
      </c>
      <c r="K1259">
        <v>0</v>
      </c>
      <c r="L1259">
        <v>2400</v>
      </c>
      <c r="M1259">
        <v>2400</v>
      </c>
      <c r="N1259">
        <v>0</v>
      </c>
    </row>
    <row r="1260" spans="1:14" x14ac:dyDescent="0.25">
      <c r="A1260">
        <v>549.141931</v>
      </c>
      <c r="B1260" s="1">
        <f>DATE(2011,11,1) + TIME(3,24,22)</f>
        <v>40848.141921296294</v>
      </c>
      <c r="C1260">
        <v>80</v>
      </c>
      <c r="D1260">
        <v>79.921867371000005</v>
      </c>
      <c r="E1260">
        <v>50</v>
      </c>
      <c r="F1260">
        <v>57.306163787999999</v>
      </c>
      <c r="G1260">
        <v>1330.5450439000001</v>
      </c>
      <c r="H1260">
        <v>1329.5963135</v>
      </c>
      <c r="I1260">
        <v>1337.8297118999999</v>
      </c>
      <c r="J1260">
        <v>1335.2530518000001</v>
      </c>
      <c r="K1260">
        <v>0</v>
      </c>
      <c r="L1260">
        <v>2400</v>
      </c>
      <c r="M1260">
        <v>2400</v>
      </c>
      <c r="N1260">
        <v>0</v>
      </c>
    </row>
    <row r="1261" spans="1:14" x14ac:dyDescent="0.25">
      <c r="A1261">
        <v>549.17405799999995</v>
      </c>
      <c r="B1261" s="1">
        <f>DATE(2011,11,1) + TIME(4,10,38)</f>
        <v>40848.174050925925</v>
      </c>
      <c r="C1261">
        <v>80</v>
      </c>
      <c r="D1261">
        <v>79.916282654</v>
      </c>
      <c r="E1261">
        <v>50</v>
      </c>
      <c r="F1261">
        <v>56.886711120999998</v>
      </c>
      <c r="G1261">
        <v>1330.3900146000001</v>
      </c>
      <c r="H1261">
        <v>1329.432251</v>
      </c>
      <c r="I1261">
        <v>1338.0239257999999</v>
      </c>
      <c r="J1261">
        <v>1335.4393310999999</v>
      </c>
      <c r="K1261">
        <v>0</v>
      </c>
      <c r="L1261">
        <v>2400</v>
      </c>
      <c r="M1261">
        <v>2400</v>
      </c>
      <c r="N1261">
        <v>0</v>
      </c>
    </row>
    <row r="1262" spans="1:14" x14ac:dyDescent="0.25">
      <c r="A1262">
        <v>549.20785599999999</v>
      </c>
      <c r="B1262" s="1">
        <f>DATE(2011,11,1) + TIME(4,59,18)</f>
        <v>40848.20784722222</v>
      </c>
      <c r="C1262">
        <v>80</v>
      </c>
      <c r="D1262">
        <v>79.910568237000007</v>
      </c>
      <c r="E1262">
        <v>50</v>
      </c>
      <c r="F1262">
        <v>56.473621368000003</v>
      </c>
      <c r="G1262">
        <v>1330.2664795000001</v>
      </c>
      <c r="H1262">
        <v>1329.3017577999999</v>
      </c>
      <c r="I1262">
        <v>1338.1724853999999</v>
      </c>
      <c r="J1262">
        <v>1335.5822754000001</v>
      </c>
      <c r="K1262">
        <v>0</v>
      </c>
      <c r="L1262">
        <v>2400</v>
      </c>
      <c r="M1262">
        <v>2400</v>
      </c>
      <c r="N1262">
        <v>0</v>
      </c>
    </row>
    <row r="1263" spans="1:14" x14ac:dyDescent="0.25">
      <c r="A1263">
        <v>549.24340700000005</v>
      </c>
      <c r="B1263" s="1">
        <f>DATE(2011,11,1) + TIME(5,50,30)</f>
        <v>40848.243402777778</v>
      </c>
      <c r="C1263">
        <v>80</v>
      </c>
      <c r="D1263">
        <v>79.904678344999994</v>
      </c>
      <c r="E1263">
        <v>50</v>
      </c>
      <c r="F1263">
        <v>56.068218231000003</v>
      </c>
      <c r="G1263">
        <v>1330.1654053</v>
      </c>
      <c r="H1263">
        <v>1329.1949463000001</v>
      </c>
      <c r="I1263">
        <v>1338.2882079999999</v>
      </c>
      <c r="J1263">
        <v>1335.6939697</v>
      </c>
      <c r="K1263">
        <v>0</v>
      </c>
      <c r="L1263">
        <v>2400</v>
      </c>
      <c r="M1263">
        <v>2400</v>
      </c>
      <c r="N1263">
        <v>0</v>
      </c>
    </row>
    <row r="1264" spans="1:14" x14ac:dyDescent="0.25">
      <c r="A1264">
        <v>549.28081599999996</v>
      </c>
      <c r="B1264" s="1">
        <f>DATE(2011,11,1) + TIME(6,44,22)</f>
        <v>40848.280810185184</v>
      </c>
      <c r="C1264">
        <v>80</v>
      </c>
      <c r="D1264">
        <v>79.898582458000007</v>
      </c>
      <c r="E1264">
        <v>50</v>
      </c>
      <c r="F1264">
        <v>55.671504974000001</v>
      </c>
      <c r="G1264">
        <v>1330.0808105000001</v>
      </c>
      <c r="H1264">
        <v>1329.1054687999999</v>
      </c>
      <c r="I1264">
        <v>1338.3797606999999</v>
      </c>
      <c r="J1264">
        <v>1335.7825928</v>
      </c>
      <c r="K1264">
        <v>0</v>
      </c>
      <c r="L1264">
        <v>2400</v>
      </c>
      <c r="M1264">
        <v>2400</v>
      </c>
      <c r="N1264">
        <v>0</v>
      </c>
    </row>
    <row r="1265" spans="1:14" x14ac:dyDescent="0.25">
      <c r="A1265">
        <v>549.32020999999997</v>
      </c>
      <c r="B1265" s="1">
        <f>DATE(2011,11,1) + TIME(7,41,6)</f>
        <v>40848.320208333331</v>
      </c>
      <c r="C1265">
        <v>80</v>
      </c>
      <c r="D1265">
        <v>79.892265320000007</v>
      </c>
      <c r="E1265">
        <v>50</v>
      </c>
      <c r="F1265">
        <v>55.284286498999997</v>
      </c>
      <c r="G1265">
        <v>1330.0086670000001</v>
      </c>
      <c r="H1265">
        <v>1329.0290527</v>
      </c>
      <c r="I1265">
        <v>1338.4526367000001</v>
      </c>
      <c r="J1265">
        <v>1335.8533935999999</v>
      </c>
      <c r="K1265">
        <v>0</v>
      </c>
      <c r="L1265">
        <v>2400</v>
      </c>
      <c r="M1265">
        <v>2400</v>
      </c>
      <c r="N1265">
        <v>0</v>
      </c>
    </row>
    <row r="1266" spans="1:14" x14ac:dyDescent="0.25">
      <c r="A1266">
        <v>549.36171899999999</v>
      </c>
      <c r="B1266" s="1">
        <f>DATE(2011,11,1) + TIME(8,40,52)</f>
        <v>40848.361712962964</v>
      </c>
      <c r="C1266">
        <v>80</v>
      </c>
      <c r="D1266">
        <v>79.885704040999997</v>
      </c>
      <c r="E1266">
        <v>50</v>
      </c>
      <c r="F1266">
        <v>54.907356262</v>
      </c>
      <c r="G1266">
        <v>1329.9464111</v>
      </c>
      <c r="H1266">
        <v>1328.9627685999999</v>
      </c>
      <c r="I1266">
        <v>1338.5107422000001</v>
      </c>
      <c r="J1266">
        <v>1335.9101562000001</v>
      </c>
      <c r="K1266">
        <v>0</v>
      </c>
      <c r="L1266">
        <v>2400</v>
      </c>
      <c r="M1266">
        <v>2400</v>
      </c>
      <c r="N1266">
        <v>0</v>
      </c>
    </row>
    <row r="1267" spans="1:14" x14ac:dyDescent="0.25">
      <c r="A1267">
        <v>549.40552200000002</v>
      </c>
      <c r="B1267" s="1">
        <f>DATE(2011,11,1) + TIME(9,43,57)</f>
        <v>40848.40552083333</v>
      </c>
      <c r="C1267">
        <v>80</v>
      </c>
      <c r="D1267">
        <v>79.878875731999997</v>
      </c>
      <c r="E1267">
        <v>50</v>
      </c>
      <c r="F1267">
        <v>54.541202544999997</v>
      </c>
      <c r="G1267">
        <v>1329.8919678</v>
      </c>
      <c r="H1267">
        <v>1328.9044189000001</v>
      </c>
      <c r="I1267">
        <v>1338.5571289</v>
      </c>
      <c r="J1267">
        <v>1335.9553223</v>
      </c>
      <c r="K1267">
        <v>0</v>
      </c>
      <c r="L1267">
        <v>2400</v>
      </c>
      <c r="M1267">
        <v>2400</v>
      </c>
      <c r="N1267">
        <v>0</v>
      </c>
    </row>
    <row r="1268" spans="1:14" x14ac:dyDescent="0.25">
      <c r="A1268">
        <v>549.45181500000001</v>
      </c>
      <c r="B1268" s="1">
        <f>DATE(2011,11,1) + TIME(10,50,36)</f>
        <v>40848.451805555553</v>
      </c>
      <c r="C1268">
        <v>80</v>
      </c>
      <c r="D1268">
        <v>79.871749878000003</v>
      </c>
      <c r="E1268">
        <v>50</v>
      </c>
      <c r="F1268">
        <v>54.186302185000002</v>
      </c>
      <c r="G1268">
        <v>1329.8438721</v>
      </c>
      <c r="H1268">
        <v>1328.8526611</v>
      </c>
      <c r="I1268">
        <v>1338.5938721</v>
      </c>
      <c r="J1268">
        <v>1335.9912108999999</v>
      </c>
      <c r="K1268">
        <v>0</v>
      </c>
      <c r="L1268">
        <v>2400</v>
      </c>
      <c r="M1268">
        <v>2400</v>
      </c>
      <c r="N1268">
        <v>0</v>
      </c>
    </row>
    <row r="1269" spans="1:14" x14ac:dyDescent="0.25">
      <c r="A1269">
        <v>549.50081499999999</v>
      </c>
      <c r="B1269" s="1">
        <f>DATE(2011,11,1) + TIME(12,1,10)</f>
        <v>40848.500810185185</v>
      </c>
      <c r="C1269">
        <v>80</v>
      </c>
      <c r="D1269">
        <v>79.864295959000003</v>
      </c>
      <c r="E1269">
        <v>50</v>
      </c>
      <c r="F1269">
        <v>53.843151093000003</v>
      </c>
      <c r="G1269">
        <v>1329.8009033000001</v>
      </c>
      <c r="H1269">
        <v>1328.8060303</v>
      </c>
      <c r="I1269">
        <v>1338.6225586</v>
      </c>
      <c r="J1269">
        <v>1336.0191649999999</v>
      </c>
      <c r="K1269">
        <v>0</v>
      </c>
      <c r="L1269">
        <v>2400</v>
      </c>
      <c r="M1269">
        <v>2400</v>
      </c>
      <c r="N1269">
        <v>0</v>
      </c>
    </row>
    <row r="1270" spans="1:14" x14ac:dyDescent="0.25">
      <c r="A1270">
        <v>549.552773</v>
      </c>
      <c r="B1270" s="1">
        <f>DATE(2011,11,1) + TIME(13,15,59)</f>
        <v>40848.552766203706</v>
      </c>
      <c r="C1270">
        <v>80</v>
      </c>
      <c r="D1270">
        <v>79.856491089000002</v>
      </c>
      <c r="E1270">
        <v>50</v>
      </c>
      <c r="F1270">
        <v>53.512218474999997</v>
      </c>
      <c r="G1270">
        <v>1329.7624512</v>
      </c>
      <c r="H1270">
        <v>1328.7639160000001</v>
      </c>
      <c r="I1270">
        <v>1338.6445312000001</v>
      </c>
      <c r="J1270">
        <v>1336.0405272999999</v>
      </c>
      <c r="K1270">
        <v>0</v>
      </c>
      <c r="L1270">
        <v>2400</v>
      </c>
      <c r="M1270">
        <v>2400</v>
      </c>
      <c r="N1270">
        <v>0</v>
      </c>
    </row>
    <row r="1271" spans="1:14" x14ac:dyDescent="0.25">
      <c r="A1271">
        <v>549.60796800000003</v>
      </c>
      <c r="B1271" s="1">
        <f>DATE(2011,11,1) + TIME(14,35,28)</f>
        <v>40848.60796296296</v>
      </c>
      <c r="C1271">
        <v>80</v>
      </c>
      <c r="D1271">
        <v>79.848304748999993</v>
      </c>
      <c r="E1271">
        <v>50</v>
      </c>
      <c r="F1271">
        <v>53.193977355999998</v>
      </c>
      <c r="G1271">
        <v>1329.7276611</v>
      </c>
      <c r="H1271">
        <v>1328.7254639</v>
      </c>
      <c r="I1271">
        <v>1338.6607666</v>
      </c>
      <c r="J1271">
        <v>1336.0562743999999</v>
      </c>
      <c r="K1271">
        <v>0</v>
      </c>
      <c r="L1271">
        <v>2400</v>
      </c>
      <c r="M1271">
        <v>2400</v>
      </c>
      <c r="N1271">
        <v>0</v>
      </c>
    </row>
    <row r="1272" spans="1:14" x14ac:dyDescent="0.25">
      <c r="A1272">
        <v>549.66672500000004</v>
      </c>
      <c r="B1272" s="1">
        <f>DATE(2011,11,1) + TIME(16,0,5)</f>
        <v>40848.666724537034</v>
      </c>
      <c r="C1272">
        <v>80</v>
      </c>
      <c r="D1272">
        <v>79.839706421000002</v>
      </c>
      <c r="E1272">
        <v>50</v>
      </c>
      <c r="F1272">
        <v>52.888881683000001</v>
      </c>
      <c r="G1272">
        <v>1329.6959228999999</v>
      </c>
      <c r="H1272">
        <v>1328.6901855000001</v>
      </c>
      <c r="I1272">
        <v>1338.6723632999999</v>
      </c>
      <c r="J1272">
        <v>1336.0675048999999</v>
      </c>
      <c r="K1272">
        <v>0</v>
      </c>
      <c r="L1272">
        <v>2400</v>
      </c>
      <c r="M1272">
        <v>2400</v>
      </c>
      <c r="N1272">
        <v>0</v>
      </c>
    </row>
    <row r="1273" spans="1:14" x14ac:dyDescent="0.25">
      <c r="A1273">
        <v>549.72940900000003</v>
      </c>
      <c r="B1273" s="1">
        <f>DATE(2011,11,1) + TIME(17,30,20)</f>
        <v>40848.729398148149</v>
      </c>
      <c r="C1273">
        <v>80</v>
      </c>
      <c r="D1273">
        <v>79.830642699999999</v>
      </c>
      <c r="E1273">
        <v>50</v>
      </c>
      <c r="F1273">
        <v>52.597393036</v>
      </c>
      <c r="G1273">
        <v>1329.6669922000001</v>
      </c>
      <c r="H1273">
        <v>1328.6574707</v>
      </c>
      <c r="I1273">
        <v>1338.6800536999999</v>
      </c>
      <c r="J1273">
        <v>1336.074707</v>
      </c>
      <c r="K1273">
        <v>0</v>
      </c>
      <c r="L1273">
        <v>2400</v>
      </c>
      <c r="M1273">
        <v>2400</v>
      </c>
      <c r="N1273">
        <v>0</v>
      </c>
    </row>
    <row r="1274" spans="1:14" x14ac:dyDescent="0.25">
      <c r="A1274">
        <v>549.79644599999995</v>
      </c>
      <c r="B1274" s="1">
        <f>DATE(2011,11,1) + TIME(19,6,52)</f>
        <v>40848.796435185184</v>
      </c>
      <c r="C1274">
        <v>80</v>
      </c>
      <c r="D1274">
        <v>79.821067810000002</v>
      </c>
      <c r="E1274">
        <v>50</v>
      </c>
      <c r="F1274">
        <v>52.319976807000003</v>
      </c>
      <c r="G1274">
        <v>1329.6403809000001</v>
      </c>
      <c r="H1274">
        <v>1328.6269531</v>
      </c>
      <c r="I1274">
        <v>1338.6845702999999</v>
      </c>
      <c r="J1274">
        <v>1336.0787353999999</v>
      </c>
      <c r="K1274">
        <v>0</v>
      </c>
      <c r="L1274">
        <v>2400</v>
      </c>
      <c r="M1274">
        <v>2400</v>
      </c>
      <c r="N1274">
        <v>0</v>
      </c>
    </row>
    <row r="1275" spans="1:14" x14ac:dyDescent="0.25">
      <c r="A1275">
        <v>549.86832100000004</v>
      </c>
      <c r="B1275" s="1">
        <f>DATE(2011,11,1) + TIME(20,50,22)</f>
        <v>40848.868310185186</v>
      </c>
      <c r="C1275">
        <v>80</v>
      </c>
      <c r="D1275">
        <v>79.810951232999997</v>
      </c>
      <c r="E1275">
        <v>50</v>
      </c>
      <c r="F1275">
        <v>52.057086945000002</v>
      </c>
      <c r="G1275">
        <v>1329.6158447</v>
      </c>
      <c r="H1275">
        <v>1328.5983887</v>
      </c>
      <c r="I1275">
        <v>1338.6865233999999</v>
      </c>
      <c r="J1275">
        <v>1336.0802002</v>
      </c>
      <c r="K1275">
        <v>0</v>
      </c>
      <c r="L1275">
        <v>2400</v>
      </c>
      <c r="M1275">
        <v>2400</v>
      </c>
      <c r="N1275">
        <v>0</v>
      </c>
    </row>
    <row r="1276" spans="1:14" x14ac:dyDescent="0.25">
      <c r="A1276">
        <v>549.94553499999995</v>
      </c>
      <c r="B1276" s="1">
        <f>DATE(2011,11,1) + TIME(22,41,34)</f>
        <v>40848.945532407408</v>
      </c>
      <c r="C1276">
        <v>80</v>
      </c>
      <c r="D1276">
        <v>79.800224303999997</v>
      </c>
      <c r="E1276">
        <v>50</v>
      </c>
      <c r="F1276">
        <v>51.809364318999997</v>
      </c>
      <c r="G1276">
        <v>1329.5928954999999</v>
      </c>
      <c r="H1276">
        <v>1328.5714111</v>
      </c>
      <c r="I1276">
        <v>1338.6864014</v>
      </c>
      <c r="J1276">
        <v>1336.0797118999999</v>
      </c>
      <c r="K1276">
        <v>0</v>
      </c>
      <c r="L1276">
        <v>2400</v>
      </c>
      <c r="M1276">
        <v>2400</v>
      </c>
      <c r="N1276">
        <v>0</v>
      </c>
    </row>
    <row r="1277" spans="1:14" x14ac:dyDescent="0.25">
      <c r="A1277">
        <v>550.02751799999999</v>
      </c>
      <c r="B1277" s="1">
        <f>DATE(2011,11,2) + TIME(0,39,37)</f>
        <v>40849.027511574073</v>
      </c>
      <c r="C1277">
        <v>80</v>
      </c>
      <c r="D1277">
        <v>79.788978576999995</v>
      </c>
      <c r="E1277">
        <v>50</v>
      </c>
      <c r="F1277">
        <v>51.580154419000003</v>
      </c>
      <c r="G1277">
        <v>1329.5716553</v>
      </c>
      <c r="H1277">
        <v>1328.5458983999999</v>
      </c>
      <c r="I1277">
        <v>1338.6851807</v>
      </c>
      <c r="J1277">
        <v>1336.0778809000001</v>
      </c>
      <c r="K1277">
        <v>0</v>
      </c>
      <c r="L1277">
        <v>2400</v>
      </c>
      <c r="M1277">
        <v>2400</v>
      </c>
      <c r="N1277">
        <v>0</v>
      </c>
    </row>
    <row r="1278" spans="1:14" x14ac:dyDescent="0.25">
      <c r="A1278">
        <v>550.11487999999997</v>
      </c>
      <c r="B1278" s="1">
        <f>DATE(2011,11,2) + TIME(2,45,25)</f>
        <v>40849.114872685182</v>
      </c>
      <c r="C1278">
        <v>80</v>
      </c>
      <c r="D1278">
        <v>79.777153014999996</v>
      </c>
      <c r="E1278">
        <v>50</v>
      </c>
      <c r="F1278">
        <v>51.368877411</v>
      </c>
      <c r="G1278">
        <v>1329.5517577999999</v>
      </c>
      <c r="H1278">
        <v>1328.5217285000001</v>
      </c>
      <c r="I1278">
        <v>1338.6829834</v>
      </c>
      <c r="J1278">
        <v>1336.0750731999999</v>
      </c>
      <c r="K1278">
        <v>0</v>
      </c>
      <c r="L1278">
        <v>2400</v>
      </c>
      <c r="M1278">
        <v>2400</v>
      </c>
      <c r="N1278">
        <v>0</v>
      </c>
    </row>
    <row r="1279" spans="1:14" x14ac:dyDescent="0.25">
      <c r="A1279">
        <v>550.20833000000005</v>
      </c>
      <c r="B1279" s="1">
        <f>DATE(2011,11,2) + TIME(4,59,59)</f>
        <v>40849.208321759259</v>
      </c>
      <c r="C1279">
        <v>80</v>
      </c>
      <c r="D1279">
        <v>79.764671325999998</v>
      </c>
      <c r="E1279">
        <v>50</v>
      </c>
      <c r="F1279">
        <v>51.175033569</v>
      </c>
      <c r="G1279">
        <v>1329.5330810999999</v>
      </c>
      <c r="H1279">
        <v>1328.4986572</v>
      </c>
      <c r="I1279">
        <v>1338.6800536999999</v>
      </c>
      <c r="J1279">
        <v>1336.0716553</v>
      </c>
      <c r="K1279">
        <v>0</v>
      </c>
      <c r="L1279">
        <v>2400</v>
      </c>
      <c r="M1279">
        <v>2400</v>
      </c>
      <c r="N1279">
        <v>0</v>
      </c>
    </row>
    <row r="1280" spans="1:14" x14ac:dyDescent="0.25">
      <c r="A1280">
        <v>550.308718</v>
      </c>
      <c r="B1280" s="1">
        <f>DATE(2011,11,2) + TIME(7,24,33)</f>
        <v>40849.308715277781</v>
      </c>
      <c r="C1280">
        <v>80</v>
      </c>
      <c r="D1280">
        <v>79.751457213999998</v>
      </c>
      <c r="E1280">
        <v>50</v>
      </c>
      <c r="F1280">
        <v>50.998123169000003</v>
      </c>
      <c r="G1280">
        <v>1329.5153809000001</v>
      </c>
      <c r="H1280">
        <v>1328.4761963000001</v>
      </c>
      <c r="I1280">
        <v>1338.6767577999999</v>
      </c>
      <c r="J1280">
        <v>1336.0678711</v>
      </c>
      <c r="K1280">
        <v>0</v>
      </c>
      <c r="L1280">
        <v>2400</v>
      </c>
      <c r="M1280">
        <v>2400</v>
      </c>
      <c r="N1280">
        <v>0</v>
      </c>
    </row>
    <row r="1281" spans="1:14" x14ac:dyDescent="0.25">
      <c r="A1281">
        <v>550.41707199999996</v>
      </c>
      <c r="B1281" s="1">
        <f>DATE(2011,11,2) + TIME(10,0,35)</f>
        <v>40849.417071759257</v>
      </c>
      <c r="C1281">
        <v>80</v>
      </c>
      <c r="D1281">
        <v>79.737396239999995</v>
      </c>
      <c r="E1281">
        <v>50</v>
      </c>
      <c r="F1281">
        <v>50.837677002</v>
      </c>
      <c r="G1281">
        <v>1329.4982910000001</v>
      </c>
      <c r="H1281">
        <v>1328.4543457</v>
      </c>
      <c r="I1281">
        <v>1338.6734618999999</v>
      </c>
      <c r="J1281">
        <v>1336.0640868999999</v>
      </c>
      <c r="K1281">
        <v>0</v>
      </c>
      <c r="L1281">
        <v>2400</v>
      </c>
      <c r="M1281">
        <v>2400</v>
      </c>
      <c r="N1281">
        <v>0</v>
      </c>
    </row>
    <row r="1282" spans="1:14" x14ac:dyDescent="0.25">
      <c r="A1282">
        <v>550.53465200000005</v>
      </c>
      <c r="B1282" s="1">
        <f>DATE(2011,11,2) + TIME(12,49,53)</f>
        <v>40849.534641203703</v>
      </c>
      <c r="C1282">
        <v>80</v>
      </c>
      <c r="D1282">
        <v>79.722366332999997</v>
      </c>
      <c r="E1282">
        <v>50</v>
      </c>
      <c r="F1282">
        <v>50.693218231000003</v>
      </c>
      <c r="G1282">
        <v>1329.4816894999999</v>
      </c>
      <c r="H1282">
        <v>1328.4326172000001</v>
      </c>
      <c r="I1282">
        <v>1338.6699219</v>
      </c>
      <c r="J1282">
        <v>1336.0604248</v>
      </c>
      <c r="K1282">
        <v>0</v>
      </c>
      <c r="L1282">
        <v>2400</v>
      </c>
      <c r="M1282">
        <v>2400</v>
      </c>
      <c r="N1282">
        <v>0</v>
      </c>
    </row>
    <row r="1283" spans="1:14" x14ac:dyDescent="0.25">
      <c r="A1283">
        <v>550.65949999999998</v>
      </c>
      <c r="B1283" s="1">
        <f>DATE(2011,11,2) + TIME(15,49,40)</f>
        <v>40849.659490740742</v>
      </c>
      <c r="C1283">
        <v>80</v>
      </c>
      <c r="D1283">
        <v>79.706611632999994</v>
      </c>
      <c r="E1283">
        <v>50</v>
      </c>
      <c r="F1283">
        <v>50.567165375000002</v>
      </c>
      <c r="G1283">
        <v>1329.4655762</v>
      </c>
      <c r="H1283">
        <v>1328.4113769999999</v>
      </c>
      <c r="I1283">
        <v>1338.6672363</v>
      </c>
      <c r="J1283">
        <v>1336.057251</v>
      </c>
      <c r="K1283">
        <v>0</v>
      </c>
      <c r="L1283">
        <v>2400</v>
      </c>
      <c r="M1283">
        <v>2400</v>
      </c>
      <c r="N1283">
        <v>0</v>
      </c>
    </row>
    <row r="1284" spans="1:14" x14ac:dyDescent="0.25">
      <c r="A1284">
        <v>550.78884700000003</v>
      </c>
      <c r="B1284" s="1">
        <f>DATE(2011,11,2) + TIME(18,55,56)</f>
        <v>40849.788842592592</v>
      </c>
      <c r="C1284">
        <v>80</v>
      </c>
      <c r="D1284">
        <v>79.690437317000004</v>
      </c>
      <c r="E1284">
        <v>50</v>
      </c>
      <c r="F1284">
        <v>50.460441588999998</v>
      </c>
      <c r="G1284">
        <v>1329.4500731999999</v>
      </c>
      <c r="H1284">
        <v>1328.3905029</v>
      </c>
      <c r="I1284">
        <v>1338.6650391000001</v>
      </c>
      <c r="J1284">
        <v>1336.0549315999999</v>
      </c>
      <c r="K1284">
        <v>0</v>
      </c>
      <c r="L1284">
        <v>2400</v>
      </c>
      <c r="M1284">
        <v>2400</v>
      </c>
      <c r="N1284">
        <v>0</v>
      </c>
    </row>
    <row r="1285" spans="1:14" x14ac:dyDescent="0.25">
      <c r="A1285">
        <v>550.92309399999999</v>
      </c>
      <c r="B1285" s="1">
        <f>DATE(2011,11,2) + TIME(22,9,15)</f>
        <v>40849.923090277778</v>
      </c>
      <c r="C1285">
        <v>80</v>
      </c>
      <c r="D1285">
        <v>79.673812866000006</v>
      </c>
      <c r="E1285">
        <v>50</v>
      </c>
      <c r="F1285">
        <v>50.370491028000004</v>
      </c>
      <c r="G1285">
        <v>1329.4351807</v>
      </c>
      <c r="H1285">
        <v>1328.3702393000001</v>
      </c>
      <c r="I1285">
        <v>1338.6629639</v>
      </c>
      <c r="J1285">
        <v>1336.0528564000001</v>
      </c>
      <c r="K1285">
        <v>0</v>
      </c>
      <c r="L1285">
        <v>2400</v>
      </c>
      <c r="M1285">
        <v>2400</v>
      </c>
      <c r="N1285">
        <v>0</v>
      </c>
    </row>
    <row r="1286" spans="1:14" x14ac:dyDescent="0.25">
      <c r="A1286">
        <v>551.06255899999996</v>
      </c>
      <c r="B1286" s="1">
        <f>DATE(2011,11,3) + TIME(1,30,5)</f>
        <v>40850.062557870369</v>
      </c>
      <c r="C1286">
        <v>80</v>
      </c>
      <c r="D1286">
        <v>79.656692504999995</v>
      </c>
      <c r="E1286">
        <v>50</v>
      </c>
      <c r="F1286">
        <v>50.295104979999998</v>
      </c>
      <c r="G1286">
        <v>1329.4207764</v>
      </c>
      <c r="H1286">
        <v>1328.3503418</v>
      </c>
      <c r="I1286">
        <v>1338.6608887</v>
      </c>
      <c r="J1286">
        <v>1336.0510254000001</v>
      </c>
      <c r="K1286">
        <v>0</v>
      </c>
      <c r="L1286">
        <v>2400</v>
      </c>
      <c r="M1286">
        <v>2400</v>
      </c>
      <c r="N1286">
        <v>0</v>
      </c>
    </row>
    <row r="1287" spans="1:14" x14ac:dyDescent="0.25">
      <c r="A1287">
        <v>551.20759499999997</v>
      </c>
      <c r="B1287" s="1">
        <f>DATE(2011,11,3) + TIME(4,58,56)</f>
        <v>40850.207592592589</v>
      </c>
      <c r="C1287">
        <v>80</v>
      </c>
      <c r="D1287">
        <v>79.639053344999994</v>
      </c>
      <c r="E1287">
        <v>50</v>
      </c>
      <c r="F1287">
        <v>50.232311248999999</v>
      </c>
      <c r="G1287">
        <v>1329.4067382999999</v>
      </c>
      <c r="H1287">
        <v>1328.3306885</v>
      </c>
      <c r="I1287">
        <v>1338.6588135</v>
      </c>
      <c r="J1287">
        <v>1336.0494385</v>
      </c>
      <c r="K1287">
        <v>0</v>
      </c>
      <c r="L1287">
        <v>2400</v>
      </c>
      <c r="M1287">
        <v>2400</v>
      </c>
      <c r="N1287">
        <v>0</v>
      </c>
    </row>
    <row r="1288" spans="1:14" x14ac:dyDescent="0.25">
      <c r="A1288">
        <v>551.35858599999995</v>
      </c>
      <c r="B1288" s="1">
        <f>DATE(2011,11,3) + TIME(8,36,21)</f>
        <v>40850.358576388891</v>
      </c>
      <c r="C1288">
        <v>80</v>
      </c>
      <c r="D1288">
        <v>79.620864867999998</v>
      </c>
      <c r="E1288">
        <v>50</v>
      </c>
      <c r="F1288">
        <v>50.180339813000003</v>
      </c>
      <c r="G1288">
        <v>1329.3928223</v>
      </c>
      <c r="H1288">
        <v>1328.3112793</v>
      </c>
      <c r="I1288">
        <v>1338.6566161999999</v>
      </c>
      <c r="J1288">
        <v>1336.0479736</v>
      </c>
      <c r="K1288">
        <v>0</v>
      </c>
      <c r="L1288">
        <v>2400</v>
      </c>
      <c r="M1288">
        <v>2400</v>
      </c>
      <c r="N1288">
        <v>0</v>
      </c>
    </row>
    <row r="1289" spans="1:14" x14ac:dyDescent="0.25">
      <c r="A1289">
        <v>551.51587800000004</v>
      </c>
      <c r="B1289" s="1">
        <f>DATE(2011,11,3) + TIME(12,22,51)</f>
        <v>40850.515868055554</v>
      </c>
      <c r="C1289">
        <v>80</v>
      </c>
      <c r="D1289">
        <v>79.602073669000006</v>
      </c>
      <c r="E1289">
        <v>50</v>
      </c>
      <c r="F1289">
        <v>50.137638092000003</v>
      </c>
      <c r="G1289">
        <v>1329.3790283000001</v>
      </c>
      <c r="H1289">
        <v>1328.2917480000001</v>
      </c>
      <c r="I1289">
        <v>1338.6541748</v>
      </c>
      <c r="J1289">
        <v>1336.0466309000001</v>
      </c>
      <c r="K1289">
        <v>0</v>
      </c>
      <c r="L1289">
        <v>2400</v>
      </c>
      <c r="M1289">
        <v>2400</v>
      </c>
      <c r="N1289">
        <v>0</v>
      </c>
    </row>
    <row r="1290" spans="1:14" x14ac:dyDescent="0.25">
      <c r="A1290">
        <v>551.67999699999996</v>
      </c>
      <c r="B1290" s="1">
        <f>DATE(2011,11,3) + TIME(16,19,11)</f>
        <v>40850.679988425924</v>
      </c>
      <c r="C1290">
        <v>80</v>
      </c>
      <c r="D1290">
        <v>79.58265686</v>
      </c>
      <c r="E1290">
        <v>50</v>
      </c>
      <c r="F1290">
        <v>50.102790833</v>
      </c>
      <c r="G1290">
        <v>1329.3653564000001</v>
      </c>
      <c r="H1290">
        <v>1328.2722168</v>
      </c>
      <c r="I1290">
        <v>1338.6516113</v>
      </c>
      <c r="J1290">
        <v>1336.0452881000001</v>
      </c>
      <c r="K1290">
        <v>0</v>
      </c>
      <c r="L1290">
        <v>2400</v>
      </c>
      <c r="M1290">
        <v>2400</v>
      </c>
      <c r="N1290">
        <v>0</v>
      </c>
    </row>
    <row r="1291" spans="1:14" x14ac:dyDescent="0.25">
      <c r="A1291">
        <v>551.85144400000001</v>
      </c>
      <c r="B1291" s="1">
        <f>DATE(2011,11,3) + TIME(20,26,4)</f>
        <v>40850.851435185185</v>
      </c>
      <c r="C1291">
        <v>80</v>
      </c>
      <c r="D1291">
        <v>79.562545775999993</v>
      </c>
      <c r="E1291">
        <v>50</v>
      </c>
      <c r="F1291">
        <v>50.074577331999997</v>
      </c>
      <c r="G1291">
        <v>1329.3515625</v>
      </c>
      <c r="H1291">
        <v>1328.2525635</v>
      </c>
      <c r="I1291">
        <v>1338.6486815999999</v>
      </c>
      <c r="J1291">
        <v>1336.0439452999999</v>
      </c>
      <c r="K1291">
        <v>0</v>
      </c>
      <c r="L1291">
        <v>2400</v>
      </c>
      <c r="M1291">
        <v>2400</v>
      </c>
      <c r="N1291">
        <v>0</v>
      </c>
    </row>
    <row r="1292" spans="1:14" x14ac:dyDescent="0.25">
      <c r="A1292">
        <v>552.03077299999995</v>
      </c>
      <c r="B1292" s="1">
        <f>DATE(2011,11,4) + TIME(0,44,18)</f>
        <v>40851.030763888892</v>
      </c>
      <c r="C1292">
        <v>80</v>
      </c>
      <c r="D1292">
        <v>79.541702271000005</v>
      </c>
      <c r="E1292">
        <v>50</v>
      </c>
      <c r="F1292">
        <v>50.051921843999999</v>
      </c>
      <c r="G1292">
        <v>1329.3376464999999</v>
      </c>
      <c r="H1292">
        <v>1328.2325439000001</v>
      </c>
      <c r="I1292">
        <v>1338.6455077999999</v>
      </c>
      <c r="J1292">
        <v>1336.0423584</v>
      </c>
      <c r="K1292">
        <v>0</v>
      </c>
      <c r="L1292">
        <v>2400</v>
      </c>
      <c r="M1292">
        <v>2400</v>
      </c>
      <c r="N1292">
        <v>0</v>
      </c>
    </row>
    <row r="1293" spans="1:14" x14ac:dyDescent="0.25">
      <c r="A1293">
        <v>552.21859800000004</v>
      </c>
      <c r="B1293" s="1">
        <f>DATE(2011,11,4) + TIME(5,14,46)</f>
        <v>40851.218587962961</v>
      </c>
      <c r="C1293">
        <v>80</v>
      </c>
      <c r="D1293">
        <v>79.520072936999995</v>
      </c>
      <c r="E1293">
        <v>50</v>
      </c>
      <c r="F1293">
        <v>50.033882140999999</v>
      </c>
      <c r="G1293">
        <v>1329.3234863</v>
      </c>
      <c r="H1293">
        <v>1328.2122803</v>
      </c>
      <c r="I1293">
        <v>1338.6419678</v>
      </c>
      <c r="J1293">
        <v>1336.0407714999999</v>
      </c>
      <c r="K1293">
        <v>0</v>
      </c>
      <c r="L1293">
        <v>2400</v>
      </c>
      <c r="M1293">
        <v>2400</v>
      </c>
      <c r="N1293">
        <v>0</v>
      </c>
    </row>
    <row r="1294" spans="1:14" x14ac:dyDescent="0.25">
      <c r="A1294">
        <v>552.41559800000005</v>
      </c>
      <c r="B1294" s="1">
        <f>DATE(2011,11,4) + TIME(9,58,27)</f>
        <v>40851.415590277778</v>
      </c>
      <c r="C1294">
        <v>80</v>
      </c>
      <c r="D1294">
        <v>79.497596740999995</v>
      </c>
      <c r="E1294">
        <v>50</v>
      </c>
      <c r="F1294">
        <v>50.019653320000003</v>
      </c>
      <c r="G1294">
        <v>1329.309082</v>
      </c>
      <c r="H1294">
        <v>1328.1915283000001</v>
      </c>
      <c r="I1294">
        <v>1338.6380615</v>
      </c>
      <c r="J1294">
        <v>1336.0390625</v>
      </c>
      <c r="K1294">
        <v>0</v>
      </c>
      <c r="L1294">
        <v>2400</v>
      </c>
      <c r="M1294">
        <v>2400</v>
      </c>
      <c r="N1294">
        <v>0</v>
      </c>
    </row>
    <row r="1295" spans="1:14" x14ac:dyDescent="0.25">
      <c r="A1295">
        <v>552.62252799999999</v>
      </c>
      <c r="B1295" s="1">
        <f>DATE(2011,11,4) + TIME(14,56,26)</f>
        <v>40851.622523148151</v>
      </c>
      <c r="C1295">
        <v>80</v>
      </c>
      <c r="D1295">
        <v>79.474205017000003</v>
      </c>
      <c r="E1295">
        <v>50</v>
      </c>
      <c r="F1295">
        <v>50.008533477999997</v>
      </c>
      <c r="G1295">
        <v>1329.2943115</v>
      </c>
      <c r="H1295">
        <v>1328.1702881000001</v>
      </c>
      <c r="I1295">
        <v>1338.6336670000001</v>
      </c>
      <c r="J1295">
        <v>1336.0371094</v>
      </c>
      <c r="K1295">
        <v>0</v>
      </c>
      <c r="L1295">
        <v>2400</v>
      </c>
      <c r="M1295">
        <v>2400</v>
      </c>
      <c r="N1295">
        <v>0</v>
      </c>
    </row>
    <row r="1296" spans="1:14" x14ac:dyDescent="0.25">
      <c r="A1296">
        <v>552.838481</v>
      </c>
      <c r="B1296" s="1">
        <f>DATE(2011,11,4) + TIME(20,7,24)</f>
        <v>40851.838472222225</v>
      </c>
      <c r="C1296">
        <v>80</v>
      </c>
      <c r="D1296">
        <v>79.449981688999998</v>
      </c>
      <c r="E1296">
        <v>50</v>
      </c>
      <c r="F1296">
        <v>49.999980927000003</v>
      </c>
      <c r="G1296">
        <v>1329.2791748</v>
      </c>
      <c r="H1296">
        <v>1328.1485596</v>
      </c>
      <c r="I1296">
        <v>1338.6290283000001</v>
      </c>
      <c r="J1296">
        <v>1336.0349120999999</v>
      </c>
      <c r="K1296">
        <v>0</v>
      </c>
      <c r="L1296">
        <v>2400</v>
      </c>
      <c r="M1296">
        <v>2400</v>
      </c>
      <c r="N1296">
        <v>0</v>
      </c>
    </row>
    <row r="1297" spans="1:14" x14ac:dyDescent="0.25">
      <c r="A1297">
        <v>553.06353100000001</v>
      </c>
      <c r="B1297" s="1">
        <f>DATE(2011,11,5) + TIME(1,31,29)</f>
        <v>40852.063530092593</v>
      </c>
      <c r="C1297">
        <v>80</v>
      </c>
      <c r="D1297">
        <v>79.424934386999993</v>
      </c>
      <c r="E1297">
        <v>50</v>
      </c>
      <c r="F1297">
        <v>49.993469238000003</v>
      </c>
      <c r="G1297">
        <v>1329.2636719</v>
      </c>
      <c r="H1297">
        <v>1328.1262207</v>
      </c>
      <c r="I1297">
        <v>1338.6240233999999</v>
      </c>
      <c r="J1297">
        <v>1336.0325928</v>
      </c>
      <c r="K1297">
        <v>0</v>
      </c>
      <c r="L1297">
        <v>2400</v>
      </c>
      <c r="M1297">
        <v>2400</v>
      </c>
      <c r="N1297">
        <v>0</v>
      </c>
    </row>
    <row r="1298" spans="1:14" x14ac:dyDescent="0.25">
      <c r="A1298">
        <v>553.29826300000002</v>
      </c>
      <c r="B1298" s="1">
        <f>DATE(2011,11,5) + TIME(7,9,29)</f>
        <v>40852.298252314817</v>
      </c>
      <c r="C1298">
        <v>80</v>
      </c>
      <c r="D1298">
        <v>79.399017334000007</v>
      </c>
      <c r="E1298">
        <v>50</v>
      </c>
      <c r="F1298">
        <v>49.988548279</v>
      </c>
      <c r="G1298">
        <v>1329.2478027</v>
      </c>
      <c r="H1298">
        <v>1328.1033935999999</v>
      </c>
      <c r="I1298">
        <v>1338.6186522999999</v>
      </c>
      <c r="J1298">
        <v>1336.0301514</v>
      </c>
      <c r="K1298">
        <v>0</v>
      </c>
      <c r="L1298">
        <v>2400</v>
      </c>
      <c r="M1298">
        <v>2400</v>
      </c>
      <c r="N1298">
        <v>0</v>
      </c>
    </row>
    <row r="1299" spans="1:14" x14ac:dyDescent="0.25">
      <c r="A1299">
        <v>553.54335400000002</v>
      </c>
      <c r="B1299" s="1">
        <f>DATE(2011,11,5) + TIME(13,2,25)</f>
        <v>40852.543344907404</v>
      </c>
      <c r="C1299">
        <v>80</v>
      </c>
      <c r="D1299">
        <v>79.372177124000004</v>
      </c>
      <c r="E1299">
        <v>50</v>
      </c>
      <c r="F1299">
        <v>49.984863281000003</v>
      </c>
      <c r="G1299">
        <v>1329.2315673999999</v>
      </c>
      <c r="H1299">
        <v>1328.0800781</v>
      </c>
      <c r="I1299">
        <v>1338.6130370999999</v>
      </c>
      <c r="J1299">
        <v>1336.0274658000001</v>
      </c>
      <c r="K1299">
        <v>0</v>
      </c>
      <c r="L1299">
        <v>2400</v>
      </c>
      <c r="M1299">
        <v>2400</v>
      </c>
      <c r="N1299">
        <v>0</v>
      </c>
    </row>
    <row r="1300" spans="1:14" x14ac:dyDescent="0.25">
      <c r="A1300">
        <v>553.79961900000001</v>
      </c>
      <c r="B1300" s="1">
        <f>DATE(2011,11,5) + TIME(19,11,27)</f>
        <v>40852.799618055556</v>
      </c>
      <c r="C1300">
        <v>80</v>
      </c>
      <c r="D1300">
        <v>79.344360351999995</v>
      </c>
      <c r="E1300">
        <v>50</v>
      </c>
      <c r="F1300">
        <v>49.982124329000001</v>
      </c>
      <c r="G1300">
        <v>1329.2149658000001</v>
      </c>
      <c r="H1300">
        <v>1328.0561522999999</v>
      </c>
      <c r="I1300">
        <v>1338.6071777</v>
      </c>
      <c r="J1300">
        <v>1336.0245361</v>
      </c>
      <c r="K1300">
        <v>0</v>
      </c>
      <c r="L1300">
        <v>2400</v>
      </c>
      <c r="M1300">
        <v>2400</v>
      </c>
      <c r="N1300">
        <v>0</v>
      </c>
    </row>
    <row r="1301" spans="1:14" x14ac:dyDescent="0.25">
      <c r="A1301">
        <v>554.06801800000005</v>
      </c>
      <c r="B1301" s="1">
        <f>DATE(2011,11,6) + TIME(1,37,56)</f>
        <v>40853.068009259259</v>
      </c>
      <c r="C1301">
        <v>80</v>
      </c>
      <c r="D1301">
        <v>79.315490722999996</v>
      </c>
      <c r="E1301">
        <v>50</v>
      </c>
      <c r="F1301">
        <v>49.980094909999998</v>
      </c>
      <c r="G1301">
        <v>1329.1977539</v>
      </c>
      <c r="H1301">
        <v>1328.0314940999999</v>
      </c>
      <c r="I1301">
        <v>1338.6009521000001</v>
      </c>
      <c r="J1301">
        <v>1336.0216064000001</v>
      </c>
      <c r="K1301">
        <v>0</v>
      </c>
      <c r="L1301">
        <v>2400</v>
      </c>
      <c r="M1301">
        <v>2400</v>
      </c>
      <c r="N1301">
        <v>0</v>
      </c>
    </row>
    <row r="1302" spans="1:14" x14ac:dyDescent="0.25">
      <c r="A1302">
        <v>554.349558</v>
      </c>
      <c r="B1302" s="1">
        <f>DATE(2011,11,6) + TIME(8,23,21)</f>
        <v>40853.349548611113</v>
      </c>
      <c r="C1302">
        <v>80</v>
      </c>
      <c r="D1302">
        <v>79.285484314000001</v>
      </c>
      <c r="E1302">
        <v>50</v>
      </c>
      <c r="F1302">
        <v>49.978607177999997</v>
      </c>
      <c r="G1302">
        <v>1329.1800536999999</v>
      </c>
      <c r="H1302">
        <v>1328.0061035000001</v>
      </c>
      <c r="I1302">
        <v>1338.5944824000001</v>
      </c>
      <c r="J1302">
        <v>1336.0184326000001</v>
      </c>
      <c r="K1302">
        <v>0</v>
      </c>
      <c r="L1302">
        <v>2400</v>
      </c>
      <c r="M1302">
        <v>2400</v>
      </c>
      <c r="N1302">
        <v>0</v>
      </c>
    </row>
    <row r="1303" spans="1:14" x14ac:dyDescent="0.25">
      <c r="A1303">
        <v>554.64532599999995</v>
      </c>
      <c r="B1303" s="1">
        <f>DATE(2011,11,6) + TIME(15,29,16)</f>
        <v>40853.645324074074</v>
      </c>
      <c r="C1303">
        <v>80</v>
      </c>
      <c r="D1303">
        <v>79.254280089999995</v>
      </c>
      <c r="E1303">
        <v>50</v>
      </c>
      <c r="F1303">
        <v>49.977519989000001</v>
      </c>
      <c r="G1303">
        <v>1329.1617432</v>
      </c>
      <c r="H1303">
        <v>1327.9798584</v>
      </c>
      <c r="I1303">
        <v>1338.5878906</v>
      </c>
      <c r="J1303">
        <v>1336.0151367000001</v>
      </c>
      <c r="K1303">
        <v>0</v>
      </c>
      <c r="L1303">
        <v>2400</v>
      </c>
      <c r="M1303">
        <v>2400</v>
      </c>
      <c r="N1303">
        <v>0</v>
      </c>
    </row>
    <row r="1304" spans="1:14" x14ac:dyDescent="0.25">
      <c r="A1304">
        <v>554.95651299999997</v>
      </c>
      <c r="B1304" s="1">
        <f>DATE(2011,11,6) + TIME(22,57,22)</f>
        <v>40853.956504629627</v>
      </c>
      <c r="C1304">
        <v>80</v>
      </c>
      <c r="D1304">
        <v>79.221778869999994</v>
      </c>
      <c r="E1304">
        <v>50</v>
      </c>
      <c r="F1304">
        <v>49.976726532000001</v>
      </c>
      <c r="G1304">
        <v>1329.1428223</v>
      </c>
      <c r="H1304">
        <v>1327.9527588000001</v>
      </c>
      <c r="I1304">
        <v>1338.5809326000001</v>
      </c>
      <c r="J1304">
        <v>1336.0117187999999</v>
      </c>
      <c r="K1304">
        <v>0</v>
      </c>
      <c r="L1304">
        <v>2400</v>
      </c>
      <c r="M1304">
        <v>2400</v>
      </c>
      <c r="N1304">
        <v>0</v>
      </c>
    </row>
    <row r="1305" spans="1:14" x14ac:dyDescent="0.25">
      <c r="A1305">
        <v>555.28443700000003</v>
      </c>
      <c r="B1305" s="1">
        <f>DATE(2011,11,7) + TIME(6,49,35)</f>
        <v>40854.284432870372</v>
      </c>
      <c r="C1305">
        <v>80</v>
      </c>
      <c r="D1305">
        <v>79.187881469999994</v>
      </c>
      <c r="E1305">
        <v>50</v>
      </c>
      <c r="F1305">
        <v>49.976146698000001</v>
      </c>
      <c r="G1305">
        <v>1329.1231689000001</v>
      </c>
      <c r="H1305">
        <v>1327.9248047000001</v>
      </c>
      <c r="I1305">
        <v>1338.5738524999999</v>
      </c>
      <c r="J1305">
        <v>1336.0081786999999</v>
      </c>
      <c r="K1305">
        <v>0</v>
      </c>
      <c r="L1305">
        <v>2400</v>
      </c>
      <c r="M1305">
        <v>2400</v>
      </c>
      <c r="N1305">
        <v>0</v>
      </c>
    </row>
    <row r="1306" spans="1:14" x14ac:dyDescent="0.25">
      <c r="A1306">
        <v>555.62101800000005</v>
      </c>
      <c r="B1306" s="1">
        <f>DATE(2011,11,7) + TIME(14,54,15)</f>
        <v>40854.621006944442</v>
      </c>
      <c r="C1306">
        <v>80</v>
      </c>
      <c r="D1306">
        <v>79.153190613000007</v>
      </c>
      <c r="E1306">
        <v>50</v>
      </c>
      <c r="F1306">
        <v>49.975734711000001</v>
      </c>
      <c r="G1306">
        <v>1329.1029053</v>
      </c>
      <c r="H1306">
        <v>1327.895874</v>
      </c>
      <c r="I1306">
        <v>1338.5666504000001</v>
      </c>
      <c r="J1306">
        <v>1336.0045166</v>
      </c>
      <c r="K1306">
        <v>0</v>
      </c>
      <c r="L1306">
        <v>2400</v>
      </c>
      <c r="M1306">
        <v>2400</v>
      </c>
      <c r="N1306">
        <v>0</v>
      </c>
    </row>
    <row r="1307" spans="1:14" x14ac:dyDescent="0.25">
      <c r="A1307">
        <v>555.96434999999997</v>
      </c>
      <c r="B1307" s="1">
        <f>DATE(2011,11,7) + TIME(23,8,39)</f>
        <v>40854.96434027778</v>
      </c>
      <c r="C1307">
        <v>80</v>
      </c>
      <c r="D1307">
        <v>79.117904663000004</v>
      </c>
      <c r="E1307">
        <v>50</v>
      </c>
      <c r="F1307">
        <v>49.975433350000003</v>
      </c>
      <c r="G1307">
        <v>1329.0822754000001</v>
      </c>
      <c r="H1307">
        <v>1327.8664550999999</v>
      </c>
      <c r="I1307">
        <v>1338.5594481999999</v>
      </c>
      <c r="J1307">
        <v>1336.0008545000001</v>
      </c>
      <c r="K1307">
        <v>0</v>
      </c>
      <c r="L1307">
        <v>2400</v>
      </c>
      <c r="M1307">
        <v>2400</v>
      </c>
      <c r="N1307">
        <v>0</v>
      </c>
    </row>
    <row r="1308" spans="1:14" x14ac:dyDescent="0.25">
      <c r="A1308">
        <v>556.31518000000005</v>
      </c>
      <c r="B1308" s="1">
        <f>DATE(2011,11,8) + TIME(7,33,51)</f>
        <v>40855.31517361111</v>
      </c>
      <c r="C1308">
        <v>80</v>
      </c>
      <c r="D1308">
        <v>79.082023621000005</v>
      </c>
      <c r="E1308">
        <v>50</v>
      </c>
      <c r="F1308">
        <v>49.975215912000003</v>
      </c>
      <c r="G1308">
        <v>1329.0614014</v>
      </c>
      <c r="H1308">
        <v>1327.8367920000001</v>
      </c>
      <c r="I1308">
        <v>1338.5522461</v>
      </c>
      <c r="J1308">
        <v>1335.9971923999999</v>
      </c>
      <c r="K1308">
        <v>0</v>
      </c>
      <c r="L1308">
        <v>2400</v>
      </c>
      <c r="M1308">
        <v>2400</v>
      </c>
      <c r="N1308">
        <v>0</v>
      </c>
    </row>
    <row r="1309" spans="1:14" x14ac:dyDescent="0.25">
      <c r="A1309">
        <v>556.67425400000002</v>
      </c>
      <c r="B1309" s="1">
        <f>DATE(2011,11,8) + TIME(16,10,55)</f>
        <v>40855.674247685187</v>
      </c>
      <c r="C1309">
        <v>80</v>
      </c>
      <c r="D1309">
        <v>79.045547485</v>
      </c>
      <c r="E1309">
        <v>50</v>
      </c>
      <c r="F1309">
        <v>49.975048065000003</v>
      </c>
      <c r="G1309">
        <v>1329.0404053</v>
      </c>
      <c r="H1309">
        <v>1327.8068848</v>
      </c>
      <c r="I1309">
        <v>1338.5451660000001</v>
      </c>
      <c r="J1309">
        <v>1335.9935303</v>
      </c>
      <c r="K1309">
        <v>0</v>
      </c>
      <c r="L1309">
        <v>2400</v>
      </c>
      <c r="M1309">
        <v>2400</v>
      </c>
      <c r="N1309">
        <v>0</v>
      </c>
    </row>
    <row r="1310" spans="1:14" x14ac:dyDescent="0.25">
      <c r="A1310">
        <v>557.04234199999996</v>
      </c>
      <c r="B1310" s="1">
        <f>DATE(2011,11,9) + TIME(1,0,58)</f>
        <v>40856.042337962965</v>
      </c>
      <c r="C1310">
        <v>80</v>
      </c>
      <c r="D1310">
        <v>79.008460998999993</v>
      </c>
      <c r="E1310">
        <v>50</v>
      </c>
      <c r="F1310">
        <v>49.97492218</v>
      </c>
      <c r="G1310">
        <v>1329.0191649999999</v>
      </c>
      <c r="H1310">
        <v>1327.7767334</v>
      </c>
      <c r="I1310">
        <v>1338.5380858999999</v>
      </c>
      <c r="J1310">
        <v>1335.9899902</v>
      </c>
      <c r="K1310">
        <v>0</v>
      </c>
      <c r="L1310">
        <v>2400</v>
      </c>
      <c r="M1310">
        <v>2400</v>
      </c>
      <c r="N1310">
        <v>0</v>
      </c>
    </row>
    <row r="1311" spans="1:14" x14ac:dyDescent="0.25">
      <c r="A1311">
        <v>557.42026399999997</v>
      </c>
      <c r="B1311" s="1">
        <f>DATE(2011,11,9) + TIME(10,5,10)</f>
        <v>40856.420254629629</v>
      </c>
      <c r="C1311">
        <v>80</v>
      </c>
      <c r="D1311">
        <v>78.970726013000004</v>
      </c>
      <c r="E1311">
        <v>50</v>
      </c>
      <c r="F1311">
        <v>49.974822998</v>
      </c>
      <c r="G1311">
        <v>1328.9975586</v>
      </c>
      <c r="H1311">
        <v>1327.7460937999999</v>
      </c>
      <c r="I1311">
        <v>1338.5311279</v>
      </c>
      <c r="J1311">
        <v>1335.9864502</v>
      </c>
      <c r="K1311">
        <v>0</v>
      </c>
      <c r="L1311">
        <v>2400</v>
      </c>
      <c r="M1311">
        <v>2400</v>
      </c>
      <c r="N1311">
        <v>0</v>
      </c>
    </row>
    <row r="1312" spans="1:14" x14ac:dyDescent="0.25">
      <c r="A1312">
        <v>557.80889999999999</v>
      </c>
      <c r="B1312" s="1">
        <f>DATE(2011,11,9) + TIME(19,24,48)</f>
        <v>40856.808888888889</v>
      </c>
      <c r="C1312">
        <v>80</v>
      </c>
      <c r="D1312">
        <v>78.932289123999993</v>
      </c>
      <c r="E1312">
        <v>50</v>
      </c>
      <c r="F1312">
        <v>49.974742888999998</v>
      </c>
      <c r="G1312">
        <v>1328.9758300999999</v>
      </c>
      <c r="H1312">
        <v>1327.7152100000001</v>
      </c>
      <c r="I1312">
        <v>1338.5242920000001</v>
      </c>
      <c r="J1312">
        <v>1335.9829102000001</v>
      </c>
      <c r="K1312">
        <v>0</v>
      </c>
      <c r="L1312">
        <v>2400</v>
      </c>
      <c r="M1312">
        <v>2400</v>
      </c>
      <c r="N1312">
        <v>0</v>
      </c>
    </row>
    <row r="1313" spans="1:14" x14ac:dyDescent="0.25">
      <c r="A1313">
        <v>558.20918200000006</v>
      </c>
      <c r="B1313" s="1">
        <f>DATE(2011,11,10) + TIME(5,1,13)</f>
        <v>40857.209178240744</v>
      </c>
      <c r="C1313">
        <v>80</v>
      </c>
      <c r="D1313">
        <v>78.893096924000005</v>
      </c>
      <c r="E1313">
        <v>50</v>
      </c>
      <c r="F1313">
        <v>49.974678040000001</v>
      </c>
      <c r="G1313">
        <v>1328.9536132999999</v>
      </c>
      <c r="H1313">
        <v>1327.6838379000001</v>
      </c>
      <c r="I1313">
        <v>1338.5174560999999</v>
      </c>
      <c r="J1313">
        <v>1335.9794922000001</v>
      </c>
      <c r="K1313">
        <v>0</v>
      </c>
      <c r="L1313">
        <v>2400</v>
      </c>
      <c r="M1313">
        <v>2400</v>
      </c>
      <c r="N1313">
        <v>0</v>
      </c>
    </row>
    <row r="1314" spans="1:14" x14ac:dyDescent="0.25">
      <c r="A1314">
        <v>558.62211400000001</v>
      </c>
      <c r="B1314" s="1">
        <f>DATE(2011,11,10) + TIME(14,55,50)</f>
        <v>40857.622106481482</v>
      </c>
      <c r="C1314">
        <v>80</v>
      </c>
      <c r="D1314">
        <v>78.853096007999994</v>
      </c>
      <c r="E1314">
        <v>50</v>
      </c>
      <c r="F1314">
        <v>49.974624634000001</v>
      </c>
      <c r="G1314">
        <v>1328.9311522999999</v>
      </c>
      <c r="H1314">
        <v>1327.6519774999999</v>
      </c>
      <c r="I1314">
        <v>1338.5107422000001</v>
      </c>
      <c r="J1314">
        <v>1335.9760742000001</v>
      </c>
      <c r="K1314">
        <v>0</v>
      </c>
      <c r="L1314">
        <v>2400</v>
      </c>
      <c r="M1314">
        <v>2400</v>
      </c>
      <c r="N1314">
        <v>0</v>
      </c>
    </row>
    <row r="1315" spans="1:14" x14ac:dyDescent="0.25">
      <c r="A1315">
        <v>559.04860299999996</v>
      </c>
      <c r="B1315" s="1">
        <f>DATE(2011,11,11) + TIME(1,9,59)</f>
        <v>40858.04859953704</v>
      </c>
      <c r="C1315">
        <v>80</v>
      </c>
      <c r="D1315">
        <v>78.812225342000005</v>
      </c>
      <c r="E1315">
        <v>50</v>
      </c>
      <c r="F1315">
        <v>49.974575043000002</v>
      </c>
      <c r="G1315">
        <v>1328.9082031</v>
      </c>
      <c r="H1315">
        <v>1327.6196289</v>
      </c>
      <c r="I1315">
        <v>1338.5039062000001</v>
      </c>
      <c r="J1315">
        <v>1335.9726562000001</v>
      </c>
      <c r="K1315">
        <v>0</v>
      </c>
      <c r="L1315">
        <v>2400</v>
      </c>
      <c r="M1315">
        <v>2400</v>
      </c>
      <c r="N1315">
        <v>0</v>
      </c>
    </row>
    <row r="1316" spans="1:14" x14ac:dyDescent="0.25">
      <c r="A1316">
        <v>559.48994800000003</v>
      </c>
      <c r="B1316" s="1">
        <f>DATE(2011,11,11) + TIME(11,45,31)</f>
        <v>40858.489942129629</v>
      </c>
      <c r="C1316">
        <v>80</v>
      </c>
      <c r="D1316">
        <v>78.770385742000002</v>
      </c>
      <c r="E1316">
        <v>50</v>
      </c>
      <c r="F1316">
        <v>49.974533080999997</v>
      </c>
      <c r="G1316">
        <v>1328.8848877</v>
      </c>
      <c r="H1316">
        <v>1327.5866699000001</v>
      </c>
      <c r="I1316">
        <v>1338.4971923999999</v>
      </c>
      <c r="J1316">
        <v>1335.9692382999999</v>
      </c>
      <c r="K1316">
        <v>0</v>
      </c>
      <c r="L1316">
        <v>2400</v>
      </c>
      <c r="M1316">
        <v>2400</v>
      </c>
      <c r="N1316">
        <v>0</v>
      </c>
    </row>
    <row r="1317" spans="1:14" x14ac:dyDescent="0.25">
      <c r="A1317">
        <v>559.947451</v>
      </c>
      <c r="B1317" s="1">
        <f>DATE(2011,11,11) + TIME(22,44,19)</f>
        <v>40858.947442129633</v>
      </c>
      <c r="C1317">
        <v>80</v>
      </c>
      <c r="D1317">
        <v>78.727508545000006</v>
      </c>
      <c r="E1317">
        <v>50</v>
      </c>
      <c r="F1317">
        <v>49.974498748999999</v>
      </c>
      <c r="G1317">
        <v>1328.8609618999999</v>
      </c>
      <c r="H1317">
        <v>1327.5531006000001</v>
      </c>
      <c r="I1317">
        <v>1338.4904785000001</v>
      </c>
      <c r="J1317">
        <v>1335.9659423999999</v>
      </c>
      <c r="K1317">
        <v>0</v>
      </c>
      <c r="L1317">
        <v>2400</v>
      </c>
      <c r="M1317">
        <v>2400</v>
      </c>
      <c r="N1317">
        <v>0</v>
      </c>
    </row>
    <row r="1318" spans="1:14" x14ac:dyDescent="0.25">
      <c r="A1318">
        <v>560.42252399999995</v>
      </c>
      <c r="B1318" s="1">
        <f>DATE(2011,11,12) + TIME(10,8,26)</f>
        <v>40859.422523148147</v>
      </c>
      <c r="C1318">
        <v>80</v>
      </c>
      <c r="D1318">
        <v>78.683479309000006</v>
      </c>
      <c r="E1318">
        <v>50</v>
      </c>
      <c r="F1318">
        <v>49.974464417</v>
      </c>
      <c r="G1318">
        <v>1328.8366699000001</v>
      </c>
      <c r="H1318">
        <v>1327.5187988</v>
      </c>
      <c r="I1318">
        <v>1338.4837646000001</v>
      </c>
      <c r="J1318">
        <v>1335.9625243999999</v>
      </c>
      <c r="K1318">
        <v>0</v>
      </c>
      <c r="L1318">
        <v>2400</v>
      </c>
      <c r="M1318">
        <v>2400</v>
      </c>
      <c r="N1318">
        <v>0</v>
      </c>
    </row>
    <row r="1319" spans="1:14" x14ac:dyDescent="0.25">
      <c r="A1319">
        <v>560.91672500000004</v>
      </c>
      <c r="B1319" s="1">
        <f>DATE(2011,11,12) + TIME(22,0,5)</f>
        <v>40859.916724537034</v>
      </c>
      <c r="C1319">
        <v>80</v>
      </c>
      <c r="D1319">
        <v>78.638206482000001</v>
      </c>
      <c r="E1319">
        <v>50</v>
      </c>
      <c r="F1319">
        <v>49.974433898999997</v>
      </c>
      <c r="G1319">
        <v>1328.8116454999999</v>
      </c>
      <c r="H1319">
        <v>1327.4836425999999</v>
      </c>
      <c r="I1319">
        <v>1338.4770507999999</v>
      </c>
      <c r="J1319">
        <v>1335.9592285000001</v>
      </c>
      <c r="K1319">
        <v>0</v>
      </c>
      <c r="L1319">
        <v>2400</v>
      </c>
      <c r="M1319">
        <v>2400</v>
      </c>
      <c r="N1319">
        <v>0</v>
      </c>
    </row>
    <row r="1320" spans="1:14" x14ac:dyDescent="0.25">
      <c r="A1320">
        <v>561.43177600000001</v>
      </c>
      <c r="B1320" s="1">
        <f>DATE(2011,11,13) + TIME(10,21,45)</f>
        <v>40860.431770833333</v>
      </c>
      <c r="C1320">
        <v>80</v>
      </c>
      <c r="D1320">
        <v>78.591567992999998</v>
      </c>
      <c r="E1320">
        <v>50</v>
      </c>
      <c r="F1320">
        <v>49.974403381000002</v>
      </c>
      <c r="G1320">
        <v>1328.7860106999999</v>
      </c>
      <c r="H1320">
        <v>1327.4477539</v>
      </c>
      <c r="I1320">
        <v>1338.4703368999999</v>
      </c>
      <c r="J1320">
        <v>1335.9559326000001</v>
      </c>
      <c r="K1320">
        <v>0</v>
      </c>
      <c r="L1320">
        <v>2400</v>
      </c>
      <c r="M1320">
        <v>2400</v>
      </c>
      <c r="N1320">
        <v>0</v>
      </c>
    </row>
    <row r="1321" spans="1:14" x14ac:dyDescent="0.25">
      <c r="A1321">
        <v>561.96958800000004</v>
      </c>
      <c r="B1321" s="1">
        <f>DATE(2011,11,13) + TIME(23,16,12)</f>
        <v>40860.969583333332</v>
      </c>
      <c r="C1321">
        <v>80</v>
      </c>
      <c r="D1321">
        <v>78.543441771999994</v>
      </c>
      <c r="E1321">
        <v>50</v>
      </c>
      <c r="F1321">
        <v>49.974376677999999</v>
      </c>
      <c r="G1321">
        <v>1328.7596435999999</v>
      </c>
      <c r="H1321">
        <v>1327.4107666</v>
      </c>
      <c r="I1321">
        <v>1338.4636230000001</v>
      </c>
      <c r="J1321">
        <v>1335.9526367000001</v>
      </c>
      <c r="K1321">
        <v>0</v>
      </c>
      <c r="L1321">
        <v>2400</v>
      </c>
      <c r="M1321">
        <v>2400</v>
      </c>
      <c r="N1321">
        <v>0</v>
      </c>
    </row>
    <row r="1322" spans="1:14" x14ac:dyDescent="0.25">
      <c r="A1322">
        <v>562.53231100000005</v>
      </c>
      <c r="B1322" s="1">
        <f>DATE(2011,11,14) + TIME(12,46,31)</f>
        <v>40861.53230324074</v>
      </c>
      <c r="C1322">
        <v>80</v>
      </c>
      <c r="D1322">
        <v>78.493675232000001</v>
      </c>
      <c r="E1322">
        <v>50</v>
      </c>
      <c r="F1322">
        <v>49.974349975999999</v>
      </c>
      <c r="G1322">
        <v>1328.7325439000001</v>
      </c>
      <c r="H1322">
        <v>1327.3729248</v>
      </c>
      <c r="I1322">
        <v>1338.4569091999999</v>
      </c>
      <c r="J1322">
        <v>1335.9493408000001</v>
      </c>
      <c r="K1322">
        <v>0</v>
      </c>
      <c r="L1322">
        <v>2400</v>
      </c>
      <c r="M1322">
        <v>2400</v>
      </c>
      <c r="N1322">
        <v>0</v>
      </c>
    </row>
    <row r="1323" spans="1:14" x14ac:dyDescent="0.25">
      <c r="A1323">
        <v>563.12234999999998</v>
      </c>
      <c r="B1323" s="1">
        <f>DATE(2011,11,15) + TIME(2,56,11)</f>
        <v>40862.122349537036</v>
      </c>
      <c r="C1323">
        <v>80</v>
      </c>
      <c r="D1323">
        <v>78.442108153999996</v>
      </c>
      <c r="E1323">
        <v>50</v>
      </c>
      <c r="F1323">
        <v>49.974323273000003</v>
      </c>
      <c r="G1323">
        <v>1328.7045897999999</v>
      </c>
      <c r="H1323">
        <v>1327.3338623</v>
      </c>
      <c r="I1323">
        <v>1338.4500731999999</v>
      </c>
      <c r="J1323">
        <v>1335.9460449000001</v>
      </c>
      <c r="K1323">
        <v>0</v>
      </c>
      <c r="L1323">
        <v>2400</v>
      </c>
      <c r="M1323">
        <v>2400</v>
      </c>
      <c r="N1323">
        <v>0</v>
      </c>
    </row>
    <row r="1324" spans="1:14" x14ac:dyDescent="0.25">
      <c r="A1324">
        <v>563.73695799999996</v>
      </c>
      <c r="B1324" s="1">
        <f>DATE(2011,11,15) + TIME(17,41,13)</f>
        <v>40862.736956018518</v>
      </c>
      <c r="C1324">
        <v>80</v>
      </c>
      <c r="D1324">
        <v>78.388824463000006</v>
      </c>
      <c r="E1324">
        <v>50</v>
      </c>
      <c r="F1324">
        <v>49.974300384999999</v>
      </c>
      <c r="G1324">
        <v>1328.6757812000001</v>
      </c>
      <c r="H1324">
        <v>1327.2935791</v>
      </c>
      <c r="I1324">
        <v>1338.4432373</v>
      </c>
      <c r="J1324">
        <v>1335.942749</v>
      </c>
      <c r="K1324">
        <v>0</v>
      </c>
      <c r="L1324">
        <v>2400</v>
      </c>
      <c r="M1324">
        <v>2400</v>
      </c>
      <c r="N1324">
        <v>0</v>
      </c>
    </row>
    <row r="1325" spans="1:14" x14ac:dyDescent="0.25">
      <c r="A1325">
        <v>564.36834699999997</v>
      </c>
      <c r="B1325" s="1">
        <f>DATE(2011,11,16) + TIME(8,50,25)</f>
        <v>40863.368344907409</v>
      </c>
      <c r="C1325">
        <v>80</v>
      </c>
      <c r="D1325">
        <v>78.334197997999993</v>
      </c>
      <c r="E1325">
        <v>50</v>
      </c>
      <c r="F1325">
        <v>49.974277495999999</v>
      </c>
      <c r="G1325">
        <v>1328.6461182</v>
      </c>
      <c r="H1325">
        <v>1327.2523193</v>
      </c>
      <c r="I1325">
        <v>1338.4362793</v>
      </c>
      <c r="J1325">
        <v>1335.9394531</v>
      </c>
      <c r="K1325">
        <v>0</v>
      </c>
      <c r="L1325">
        <v>2400</v>
      </c>
      <c r="M1325">
        <v>2400</v>
      </c>
      <c r="N1325">
        <v>0</v>
      </c>
    </row>
    <row r="1326" spans="1:14" x14ac:dyDescent="0.25">
      <c r="A1326">
        <v>565.01980500000002</v>
      </c>
      <c r="B1326" s="1">
        <f>DATE(2011,11,17) + TIME(0,28,31)</f>
        <v>40864.019803240742</v>
      </c>
      <c r="C1326">
        <v>80</v>
      </c>
      <c r="D1326">
        <v>78.278244018999999</v>
      </c>
      <c r="E1326">
        <v>50</v>
      </c>
      <c r="F1326">
        <v>49.974254608000003</v>
      </c>
      <c r="G1326">
        <v>1328.6160889</v>
      </c>
      <c r="H1326">
        <v>1327.2103271000001</v>
      </c>
      <c r="I1326">
        <v>1338.4294434000001</v>
      </c>
      <c r="J1326">
        <v>1335.9361572</v>
      </c>
      <c r="K1326">
        <v>0</v>
      </c>
      <c r="L1326">
        <v>2400</v>
      </c>
      <c r="M1326">
        <v>2400</v>
      </c>
      <c r="N1326">
        <v>0</v>
      </c>
    </row>
    <row r="1327" spans="1:14" x14ac:dyDescent="0.25">
      <c r="A1327">
        <v>565.68464900000004</v>
      </c>
      <c r="B1327" s="1">
        <f>DATE(2011,11,17) + TIME(16,25,53)</f>
        <v>40864.684641203705</v>
      </c>
      <c r="C1327">
        <v>80</v>
      </c>
      <c r="D1327">
        <v>78.221282959000007</v>
      </c>
      <c r="E1327">
        <v>50</v>
      </c>
      <c r="F1327">
        <v>49.974231719999999</v>
      </c>
      <c r="G1327">
        <v>1328.5853271000001</v>
      </c>
      <c r="H1327">
        <v>1327.1677245999999</v>
      </c>
      <c r="I1327">
        <v>1338.4227295000001</v>
      </c>
      <c r="J1327">
        <v>1335.9329834</v>
      </c>
      <c r="K1327">
        <v>0</v>
      </c>
      <c r="L1327">
        <v>2400</v>
      </c>
      <c r="M1327">
        <v>2400</v>
      </c>
      <c r="N1327">
        <v>0</v>
      </c>
    </row>
    <row r="1328" spans="1:14" x14ac:dyDescent="0.25">
      <c r="A1328">
        <v>566.36716300000001</v>
      </c>
      <c r="B1328" s="1">
        <f>DATE(2011,11,18) + TIME(8,48,42)</f>
        <v>40865.367152777777</v>
      </c>
      <c r="C1328">
        <v>80</v>
      </c>
      <c r="D1328">
        <v>78.163291931000003</v>
      </c>
      <c r="E1328">
        <v>50</v>
      </c>
      <c r="F1328">
        <v>49.974208832000002</v>
      </c>
      <c r="G1328">
        <v>1328.5544434000001</v>
      </c>
      <c r="H1328">
        <v>1327.1247559000001</v>
      </c>
      <c r="I1328">
        <v>1338.4160156</v>
      </c>
      <c r="J1328">
        <v>1335.9299315999999</v>
      </c>
      <c r="K1328">
        <v>0</v>
      </c>
      <c r="L1328">
        <v>2400</v>
      </c>
      <c r="M1328">
        <v>2400</v>
      </c>
      <c r="N1328">
        <v>0</v>
      </c>
    </row>
    <row r="1329" spans="1:14" x14ac:dyDescent="0.25">
      <c r="A1329">
        <v>567.071776</v>
      </c>
      <c r="B1329" s="1">
        <f>DATE(2011,11,19) + TIME(1,43,21)</f>
        <v>40866.071770833332</v>
      </c>
      <c r="C1329">
        <v>80</v>
      </c>
      <c r="D1329">
        <v>78.104057311999995</v>
      </c>
      <c r="E1329">
        <v>50</v>
      </c>
      <c r="F1329">
        <v>49.974189758000001</v>
      </c>
      <c r="G1329">
        <v>1328.5230713000001</v>
      </c>
      <c r="H1329">
        <v>1327.0811768000001</v>
      </c>
      <c r="I1329">
        <v>1338.4095459</v>
      </c>
      <c r="J1329">
        <v>1335.9268798999999</v>
      </c>
      <c r="K1329">
        <v>0</v>
      </c>
      <c r="L1329">
        <v>2400</v>
      </c>
      <c r="M1329">
        <v>2400</v>
      </c>
      <c r="N1329">
        <v>0</v>
      </c>
    </row>
    <row r="1330" spans="1:14" x14ac:dyDescent="0.25">
      <c r="A1330">
        <v>567.80345599999998</v>
      </c>
      <c r="B1330" s="1">
        <f>DATE(2011,11,19) + TIME(19,16,58)</f>
        <v>40866.803449074076</v>
      </c>
      <c r="C1330">
        <v>80</v>
      </c>
      <c r="D1330">
        <v>78.043281554999993</v>
      </c>
      <c r="E1330">
        <v>50</v>
      </c>
      <c r="F1330">
        <v>49.974166869999998</v>
      </c>
      <c r="G1330">
        <v>1328.4912108999999</v>
      </c>
      <c r="H1330">
        <v>1327.0369873</v>
      </c>
      <c r="I1330">
        <v>1338.4029541</v>
      </c>
      <c r="J1330">
        <v>1335.9239502</v>
      </c>
      <c r="K1330">
        <v>0</v>
      </c>
      <c r="L1330">
        <v>2400</v>
      </c>
      <c r="M1330">
        <v>2400</v>
      </c>
      <c r="N1330">
        <v>0</v>
      </c>
    </row>
    <row r="1331" spans="1:14" x14ac:dyDescent="0.25">
      <c r="A1331">
        <v>568.56552599999998</v>
      </c>
      <c r="B1331" s="1">
        <f>DATE(2011,11,20) + TIME(13,34,21)</f>
        <v>40867.565520833334</v>
      </c>
      <c r="C1331">
        <v>80</v>
      </c>
      <c r="D1331">
        <v>77.980682372999993</v>
      </c>
      <c r="E1331">
        <v>50</v>
      </c>
      <c r="F1331">
        <v>49.974147797000001</v>
      </c>
      <c r="G1331">
        <v>1328.4587402</v>
      </c>
      <c r="H1331">
        <v>1326.9919434000001</v>
      </c>
      <c r="I1331">
        <v>1338.3964844</v>
      </c>
      <c r="J1331">
        <v>1335.9210204999999</v>
      </c>
      <c r="K1331">
        <v>0</v>
      </c>
      <c r="L1331">
        <v>2400</v>
      </c>
      <c r="M1331">
        <v>2400</v>
      </c>
      <c r="N1331">
        <v>0</v>
      </c>
    </row>
    <row r="1332" spans="1:14" x14ac:dyDescent="0.25">
      <c r="A1332">
        <v>569.35278500000004</v>
      </c>
      <c r="B1332" s="1">
        <f>DATE(2011,11,21) + TIME(8,28,0)</f>
        <v>40868.352777777778</v>
      </c>
      <c r="C1332">
        <v>80</v>
      </c>
      <c r="D1332">
        <v>77.916282654</v>
      </c>
      <c r="E1332">
        <v>50</v>
      </c>
      <c r="F1332">
        <v>49.974128723</v>
      </c>
      <c r="G1332">
        <v>1328.4254149999999</v>
      </c>
      <c r="H1332">
        <v>1326.9460449000001</v>
      </c>
      <c r="I1332">
        <v>1338.3898925999999</v>
      </c>
      <c r="J1332">
        <v>1335.9180908000001</v>
      </c>
      <c r="K1332">
        <v>0</v>
      </c>
      <c r="L1332">
        <v>2400</v>
      </c>
      <c r="M1332">
        <v>2400</v>
      </c>
      <c r="N1332">
        <v>0</v>
      </c>
    </row>
    <row r="1333" spans="1:14" x14ac:dyDescent="0.25">
      <c r="A1333">
        <v>570.14965700000005</v>
      </c>
      <c r="B1333" s="1">
        <f>DATE(2011,11,22) + TIME(3,35,30)</f>
        <v>40869.149652777778</v>
      </c>
      <c r="C1333">
        <v>80</v>
      </c>
      <c r="D1333">
        <v>77.850708007999998</v>
      </c>
      <c r="E1333">
        <v>50</v>
      </c>
      <c r="F1333">
        <v>49.974109650000003</v>
      </c>
      <c r="G1333">
        <v>1328.3914795000001</v>
      </c>
      <c r="H1333">
        <v>1326.8992920000001</v>
      </c>
      <c r="I1333">
        <v>1338.3833007999999</v>
      </c>
      <c r="J1333">
        <v>1335.9151611</v>
      </c>
      <c r="K1333">
        <v>0</v>
      </c>
      <c r="L1333">
        <v>2400</v>
      </c>
      <c r="M1333">
        <v>2400</v>
      </c>
      <c r="N1333">
        <v>0</v>
      </c>
    </row>
    <row r="1334" spans="1:14" x14ac:dyDescent="0.25">
      <c r="A1334">
        <v>570.96171200000003</v>
      </c>
      <c r="B1334" s="1">
        <f>DATE(2011,11,22) + TIME(23,4,51)</f>
        <v>40869.961701388886</v>
      </c>
      <c r="C1334">
        <v>80</v>
      </c>
      <c r="D1334">
        <v>77.784118652000004</v>
      </c>
      <c r="E1334">
        <v>50</v>
      </c>
      <c r="F1334">
        <v>49.974090576000002</v>
      </c>
      <c r="G1334">
        <v>1328.3575439000001</v>
      </c>
      <c r="H1334">
        <v>1326.8524170000001</v>
      </c>
      <c r="I1334">
        <v>1338.3769531</v>
      </c>
      <c r="J1334">
        <v>1335.9123535000001</v>
      </c>
      <c r="K1334">
        <v>0</v>
      </c>
      <c r="L1334">
        <v>2400</v>
      </c>
      <c r="M1334">
        <v>2400</v>
      </c>
      <c r="N1334">
        <v>0</v>
      </c>
    </row>
    <row r="1335" spans="1:14" x14ac:dyDescent="0.25">
      <c r="A1335">
        <v>571.79453899999999</v>
      </c>
      <c r="B1335" s="1">
        <f>DATE(2011,11,23) + TIME(19,4,8)</f>
        <v>40870.794537037036</v>
      </c>
      <c r="C1335">
        <v>80</v>
      </c>
      <c r="D1335">
        <v>77.716331482000001</v>
      </c>
      <c r="E1335">
        <v>50</v>
      </c>
      <c r="F1335">
        <v>49.974071502999998</v>
      </c>
      <c r="G1335">
        <v>1328.3233643000001</v>
      </c>
      <c r="H1335">
        <v>1326.8052978999999</v>
      </c>
      <c r="I1335">
        <v>1338.3707274999999</v>
      </c>
      <c r="J1335">
        <v>1335.909668</v>
      </c>
      <c r="K1335">
        <v>0</v>
      </c>
      <c r="L1335">
        <v>2400</v>
      </c>
      <c r="M1335">
        <v>2400</v>
      </c>
      <c r="N1335">
        <v>0</v>
      </c>
    </row>
    <row r="1336" spans="1:14" x14ac:dyDescent="0.25">
      <c r="A1336">
        <v>572.65411700000004</v>
      </c>
      <c r="B1336" s="1">
        <f>DATE(2011,11,24) + TIME(15,41,55)</f>
        <v>40871.654108796298</v>
      </c>
      <c r="C1336">
        <v>80</v>
      </c>
      <c r="D1336">
        <v>77.646995544000006</v>
      </c>
      <c r="E1336">
        <v>50</v>
      </c>
      <c r="F1336">
        <v>49.974052428999997</v>
      </c>
      <c r="G1336">
        <v>1328.2889404</v>
      </c>
      <c r="H1336">
        <v>1326.7578125</v>
      </c>
      <c r="I1336">
        <v>1338.3645019999999</v>
      </c>
      <c r="J1336">
        <v>1335.9071045000001</v>
      </c>
      <c r="K1336">
        <v>0</v>
      </c>
      <c r="L1336">
        <v>2400</v>
      </c>
      <c r="M1336">
        <v>2400</v>
      </c>
      <c r="N1336">
        <v>0</v>
      </c>
    </row>
    <row r="1337" spans="1:14" x14ac:dyDescent="0.25">
      <c r="A1337">
        <v>573.54502300000001</v>
      </c>
      <c r="B1337" s="1">
        <f>DATE(2011,11,25) + TIME(13,4,49)</f>
        <v>40872.545011574075</v>
      </c>
      <c r="C1337">
        <v>80</v>
      </c>
      <c r="D1337">
        <v>77.575706482000001</v>
      </c>
      <c r="E1337">
        <v>50</v>
      </c>
      <c r="F1337">
        <v>49.974037170000003</v>
      </c>
      <c r="G1337">
        <v>1328.2539062000001</v>
      </c>
      <c r="H1337">
        <v>1326.7098389</v>
      </c>
      <c r="I1337">
        <v>1338.3583983999999</v>
      </c>
      <c r="J1337">
        <v>1335.9045410000001</v>
      </c>
      <c r="K1337">
        <v>0</v>
      </c>
      <c r="L1337">
        <v>2400</v>
      </c>
      <c r="M1337">
        <v>2400</v>
      </c>
      <c r="N1337">
        <v>0</v>
      </c>
    </row>
    <row r="1338" spans="1:14" x14ac:dyDescent="0.25">
      <c r="A1338">
        <v>574.44947400000001</v>
      </c>
      <c r="B1338" s="1">
        <f>DATE(2011,11,26) + TIME(10,47,14)</f>
        <v>40873.449467592596</v>
      </c>
      <c r="C1338">
        <v>80</v>
      </c>
      <c r="D1338">
        <v>77.502807617000002</v>
      </c>
      <c r="E1338">
        <v>50</v>
      </c>
      <c r="F1338">
        <v>49.974018096999998</v>
      </c>
      <c r="G1338">
        <v>1328.2183838000001</v>
      </c>
      <c r="H1338">
        <v>1326.6610106999999</v>
      </c>
      <c r="I1338">
        <v>1338.3521728999999</v>
      </c>
      <c r="J1338">
        <v>1335.9018555</v>
      </c>
      <c r="K1338">
        <v>0</v>
      </c>
      <c r="L1338">
        <v>2400</v>
      </c>
      <c r="M1338">
        <v>2400</v>
      </c>
      <c r="N1338">
        <v>0</v>
      </c>
    </row>
    <row r="1339" spans="1:14" x14ac:dyDescent="0.25">
      <c r="A1339">
        <v>575.37336400000004</v>
      </c>
      <c r="B1339" s="1">
        <f>DATE(2011,11,27) + TIME(8,57,38)</f>
        <v>40874.373356481483</v>
      </c>
      <c r="C1339">
        <v>80</v>
      </c>
      <c r="D1339">
        <v>77.428451538000004</v>
      </c>
      <c r="E1339">
        <v>50</v>
      </c>
      <c r="F1339">
        <v>49.974002837999997</v>
      </c>
      <c r="G1339">
        <v>1328.1827393000001</v>
      </c>
      <c r="H1339">
        <v>1326.6120605000001</v>
      </c>
      <c r="I1339">
        <v>1338.3461914</v>
      </c>
      <c r="J1339">
        <v>1335.8994141000001</v>
      </c>
      <c r="K1339">
        <v>0</v>
      </c>
      <c r="L1339">
        <v>2400</v>
      </c>
      <c r="M1339">
        <v>2400</v>
      </c>
      <c r="N1339">
        <v>0</v>
      </c>
    </row>
    <row r="1340" spans="1:14" x14ac:dyDescent="0.25">
      <c r="A1340">
        <v>576.32267899999999</v>
      </c>
      <c r="B1340" s="1">
        <f>DATE(2011,11,28) + TIME(7,44,39)</f>
        <v>40875.32267361111</v>
      </c>
      <c r="C1340">
        <v>80</v>
      </c>
      <c r="D1340">
        <v>77.352401732999994</v>
      </c>
      <c r="E1340">
        <v>50</v>
      </c>
      <c r="F1340">
        <v>49.973987579000003</v>
      </c>
      <c r="G1340">
        <v>1328.1468506000001</v>
      </c>
      <c r="H1340">
        <v>1326.5628661999999</v>
      </c>
      <c r="I1340">
        <v>1338.3402100000001</v>
      </c>
      <c r="J1340">
        <v>1335.8969727000001</v>
      </c>
      <c r="K1340">
        <v>0</v>
      </c>
      <c r="L1340">
        <v>2400</v>
      </c>
      <c r="M1340">
        <v>2400</v>
      </c>
      <c r="N1340">
        <v>0</v>
      </c>
    </row>
    <row r="1341" spans="1:14" x14ac:dyDescent="0.25">
      <c r="A1341">
        <v>577.30401400000005</v>
      </c>
      <c r="B1341" s="1">
        <f>DATE(2011,11,29) + TIME(7,17,46)</f>
        <v>40876.30400462963</v>
      </c>
      <c r="C1341">
        <v>80</v>
      </c>
      <c r="D1341">
        <v>77.274230957</v>
      </c>
      <c r="E1341">
        <v>50</v>
      </c>
      <c r="F1341">
        <v>49.973972320999998</v>
      </c>
      <c r="G1341">
        <v>1328.1104736</v>
      </c>
      <c r="H1341">
        <v>1326.5133057</v>
      </c>
      <c r="I1341">
        <v>1338.3342285000001</v>
      </c>
      <c r="J1341">
        <v>1335.8946533000001</v>
      </c>
      <c r="K1341">
        <v>0</v>
      </c>
      <c r="L1341">
        <v>2400</v>
      </c>
      <c r="M1341">
        <v>2400</v>
      </c>
      <c r="N1341">
        <v>0</v>
      </c>
    </row>
    <row r="1342" spans="1:14" x14ac:dyDescent="0.25">
      <c r="A1342">
        <v>578.32479899999998</v>
      </c>
      <c r="B1342" s="1">
        <f>DATE(2011,11,30) + TIME(7,47,42)</f>
        <v>40877.324791666666</v>
      </c>
      <c r="C1342">
        <v>80</v>
      </c>
      <c r="D1342">
        <v>77.193389893000003</v>
      </c>
      <c r="E1342">
        <v>50</v>
      </c>
      <c r="F1342">
        <v>49.973957061999997</v>
      </c>
      <c r="G1342">
        <v>1328.0737305</v>
      </c>
      <c r="H1342">
        <v>1326.4630127</v>
      </c>
      <c r="I1342">
        <v>1338.3283690999999</v>
      </c>
      <c r="J1342">
        <v>1335.8923339999999</v>
      </c>
      <c r="K1342">
        <v>0</v>
      </c>
      <c r="L1342">
        <v>2400</v>
      </c>
      <c r="M1342">
        <v>2400</v>
      </c>
      <c r="N1342">
        <v>0</v>
      </c>
    </row>
    <row r="1343" spans="1:14" x14ac:dyDescent="0.25">
      <c r="A1343">
        <v>579</v>
      </c>
      <c r="B1343" s="1">
        <f>DATE(2011,12,1) + TIME(0,0,0)</f>
        <v>40878</v>
      </c>
      <c r="C1343">
        <v>80</v>
      </c>
      <c r="D1343">
        <v>77.124237061000002</v>
      </c>
      <c r="E1343">
        <v>50</v>
      </c>
      <c r="F1343">
        <v>49.973937988000003</v>
      </c>
      <c r="G1343">
        <v>1328.0369873</v>
      </c>
      <c r="H1343">
        <v>1326.4135742000001</v>
      </c>
      <c r="I1343">
        <v>1338.3222656</v>
      </c>
      <c r="J1343">
        <v>1335.8898925999999</v>
      </c>
      <c r="K1343">
        <v>0</v>
      </c>
      <c r="L1343">
        <v>2400</v>
      </c>
      <c r="M1343">
        <v>2400</v>
      </c>
      <c r="N1343">
        <v>0</v>
      </c>
    </row>
    <row r="1344" spans="1:14" x14ac:dyDescent="0.25">
      <c r="A1344">
        <v>580.04035099999999</v>
      </c>
      <c r="B1344" s="1">
        <f>DATE(2011,12,2) + TIME(0,58,6)</f>
        <v>40879.040347222224</v>
      </c>
      <c r="C1344">
        <v>80</v>
      </c>
      <c r="D1344">
        <v>77.049377441000004</v>
      </c>
      <c r="E1344">
        <v>50</v>
      </c>
      <c r="F1344">
        <v>49.973930359000001</v>
      </c>
      <c r="G1344">
        <v>1328.0085449000001</v>
      </c>
      <c r="H1344">
        <v>1326.3731689000001</v>
      </c>
      <c r="I1344">
        <v>1338.3184814000001</v>
      </c>
      <c r="J1344">
        <v>1335.8885498</v>
      </c>
      <c r="K1344">
        <v>0</v>
      </c>
      <c r="L1344">
        <v>2400</v>
      </c>
      <c r="M1344">
        <v>2400</v>
      </c>
      <c r="N1344">
        <v>0</v>
      </c>
    </row>
    <row r="1345" spans="1:14" x14ac:dyDescent="0.25">
      <c r="A1345">
        <v>581.12470900000005</v>
      </c>
      <c r="B1345" s="1">
        <f>DATE(2011,12,3) + TIME(2,59,34)</f>
        <v>40880.124699074076</v>
      </c>
      <c r="C1345">
        <v>80</v>
      </c>
      <c r="D1345">
        <v>76.966484070000007</v>
      </c>
      <c r="E1345">
        <v>50</v>
      </c>
      <c r="F1345">
        <v>49.973915099999999</v>
      </c>
      <c r="G1345">
        <v>1327.9727783000001</v>
      </c>
      <c r="H1345">
        <v>1326.3250731999999</v>
      </c>
      <c r="I1345">
        <v>1338.3127440999999</v>
      </c>
      <c r="J1345">
        <v>1335.8863524999999</v>
      </c>
      <c r="K1345">
        <v>0</v>
      </c>
      <c r="L1345">
        <v>2400</v>
      </c>
      <c r="M1345">
        <v>2400</v>
      </c>
      <c r="N1345">
        <v>0</v>
      </c>
    </row>
    <row r="1346" spans="1:14" x14ac:dyDescent="0.25">
      <c r="A1346">
        <v>582.24571700000001</v>
      </c>
      <c r="B1346" s="1">
        <f>DATE(2011,12,4) + TIME(5,53,49)</f>
        <v>40881.245706018519</v>
      </c>
      <c r="C1346">
        <v>80</v>
      </c>
      <c r="D1346">
        <v>76.878288268999995</v>
      </c>
      <c r="E1346">
        <v>50</v>
      </c>
      <c r="F1346">
        <v>49.973903655999997</v>
      </c>
      <c r="G1346">
        <v>1327.9351807</v>
      </c>
      <c r="H1346">
        <v>1326.2742920000001</v>
      </c>
      <c r="I1346">
        <v>1338.3068848</v>
      </c>
      <c r="J1346">
        <v>1335.8841553</v>
      </c>
      <c r="K1346">
        <v>0</v>
      </c>
      <c r="L1346">
        <v>2400</v>
      </c>
      <c r="M1346">
        <v>2400</v>
      </c>
      <c r="N1346">
        <v>0</v>
      </c>
    </row>
    <row r="1347" spans="1:14" x14ac:dyDescent="0.25">
      <c r="A1347">
        <v>583.40031399999998</v>
      </c>
      <c r="B1347" s="1">
        <f>DATE(2011,12,5) + TIME(9,36,27)</f>
        <v>40882.400312500002</v>
      </c>
      <c r="C1347">
        <v>80</v>
      </c>
      <c r="D1347">
        <v>76.786087035999998</v>
      </c>
      <c r="E1347">
        <v>50</v>
      </c>
      <c r="F1347">
        <v>49.973888397000003</v>
      </c>
      <c r="G1347">
        <v>1327.8966064000001</v>
      </c>
      <c r="H1347">
        <v>1326.2220459</v>
      </c>
      <c r="I1347">
        <v>1338.3011475000001</v>
      </c>
      <c r="J1347">
        <v>1335.8819579999999</v>
      </c>
      <c r="K1347">
        <v>0</v>
      </c>
      <c r="L1347">
        <v>2400</v>
      </c>
      <c r="M1347">
        <v>2400</v>
      </c>
      <c r="N1347">
        <v>0</v>
      </c>
    </row>
    <row r="1348" spans="1:14" x14ac:dyDescent="0.25">
      <c r="A1348">
        <v>584.57007999999996</v>
      </c>
      <c r="B1348" s="1">
        <f>DATE(2011,12,6) + TIME(13,40,54)</f>
        <v>40883.570069444446</v>
      </c>
      <c r="C1348">
        <v>80</v>
      </c>
      <c r="D1348">
        <v>76.690940857000001</v>
      </c>
      <c r="E1348">
        <v>50</v>
      </c>
      <c r="F1348">
        <v>49.973876953000001</v>
      </c>
      <c r="G1348">
        <v>1327.8574219</v>
      </c>
      <c r="H1348">
        <v>1326.1690673999999</v>
      </c>
      <c r="I1348">
        <v>1338.2952881000001</v>
      </c>
      <c r="J1348">
        <v>1335.8798827999999</v>
      </c>
      <c r="K1348">
        <v>0</v>
      </c>
      <c r="L1348">
        <v>2400</v>
      </c>
      <c r="M1348">
        <v>2400</v>
      </c>
      <c r="N1348">
        <v>0</v>
      </c>
    </row>
    <row r="1349" spans="1:14" x14ac:dyDescent="0.25">
      <c r="A1349">
        <v>585.76300400000002</v>
      </c>
      <c r="B1349" s="1">
        <f>DATE(2011,12,7) + TIME(18,18,43)</f>
        <v>40884.762997685182</v>
      </c>
      <c r="C1349">
        <v>80</v>
      </c>
      <c r="D1349">
        <v>76.593452454000001</v>
      </c>
      <c r="E1349">
        <v>50</v>
      </c>
      <c r="F1349">
        <v>49.973865508999999</v>
      </c>
      <c r="G1349">
        <v>1327.8181152</v>
      </c>
      <c r="H1349">
        <v>1326.1157227000001</v>
      </c>
      <c r="I1349">
        <v>1338.2895507999999</v>
      </c>
      <c r="J1349">
        <v>1335.8778076000001</v>
      </c>
      <c r="K1349">
        <v>0</v>
      </c>
      <c r="L1349">
        <v>2400</v>
      </c>
      <c r="M1349">
        <v>2400</v>
      </c>
      <c r="N1349">
        <v>0</v>
      </c>
    </row>
    <row r="1350" spans="1:14" x14ac:dyDescent="0.25">
      <c r="A1350">
        <v>586.98738200000003</v>
      </c>
      <c r="B1350" s="1">
        <f>DATE(2011,12,8) + TIME(23,41,49)</f>
        <v>40885.987372685187</v>
      </c>
      <c r="C1350">
        <v>80</v>
      </c>
      <c r="D1350">
        <v>76.493354796999995</v>
      </c>
      <c r="E1350">
        <v>50</v>
      </c>
      <c r="F1350">
        <v>49.973854064999998</v>
      </c>
      <c r="G1350">
        <v>1327.7786865</v>
      </c>
      <c r="H1350">
        <v>1326.0623779</v>
      </c>
      <c r="I1350">
        <v>1338.2839355000001</v>
      </c>
      <c r="J1350">
        <v>1335.8758545000001</v>
      </c>
      <c r="K1350">
        <v>0</v>
      </c>
      <c r="L1350">
        <v>2400</v>
      </c>
      <c r="M1350">
        <v>2400</v>
      </c>
      <c r="N1350">
        <v>0</v>
      </c>
    </row>
    <row r="1351" spans="1:14" x14ac:dyDescent="0.25">
      <c r="A1351">
        <v>588.25216799999998</v>
      </c>
      <c r="B1351" s="1">
        <f>DATE(2011,12,10) + TIME(6,3,7)</f>
        <v>40887.252164351848</v>
      </c>
      <c r="C1351">
        <v>80</v>
      </c>
      <c r="D1351">
        <v>76.390068053999997</v>
      </c>
      <c r="E1351">
        <v>50</v>
      </c>
      <c r="F1351">
        <v>49.973842621000003</v>
      </c>
      <c r="G1351">
        <v>1327.7390137</v>
      </c>
      <c r="H1351">
        <v>1326.0086670000001</v>
      </c>
      <c r="I1351">
        <v>1338.2783202999999</v>
      </c>
      <c r="J1351">
        <v>1335.8739014</v>
      </c>
      <c r="K1351">
        <v>0</v>
      </c>
      <c r="L1351">
        <v>2400</v>
      </c>
      <c r="M1351">
        <v>2400</v>
      </c>
      <c r="N1351">
        <v>0</v>
      </c>
    </row>
    <row r="1352" spans="1:14" x14ac:dyDescent="0.25">
      <c r="A1352">
        <v>589.56267200000002</v>
      </c>
      <c r="B1352" s="1">
        <f>DATE(2011,12,11) + TIME(13,30,14)</f>
        <v>40888.562662037039</v>
      </c>
      <c r="C1352">
        <v>80</v>
      </c>
      <c r="D1352">
        <v>76.282928467000005</v>
      </c>
      <c r="E1352">
        <v>50</v>
      </c>
      <c r="F1352">
        <v>49.973831177000001</v>
      </c>
      <c r="G1352">
        <v>1327.6987305</v>
      </c>
      <c r="H1352">
        <v>1325.9543457</v>
      </c>
      <c r="I1352">
        <v>1338.2727050999999</v>
      </c>
      <c r="J1352">
        <v>1335.8719481999999</v>
      </c>
      <c r="K1352">
        <v>0</v>
      </c>
      <c r="L1352">
        <v>2400</v>
      </c>
      <c r="M1352">
        <v>2400</v>
      </c>
      <c r="N1352">
        <v>0</v>
      </c>
    </row>
    <row r="1353" spans="1:14" x14ac:dyDescent="0.25">
      <c r="A1353">
        <v>590.893148</v>
      </c>
      <c r="B1353" s="1">
        <f>DATE(2011,12,12) + TIME(21,26,7)</f>
        <v>40889.893136574072</v>
      </c>
      <c r="C1353">
        <v>80</v>
      </c>
      <c r="D1353">
        <v>76.172157287999994</v>
      </c>
      <c r="E1353">
        <v>50</v>
      </c>
      <c r="F1353">
        <v>49.973819732999999</v>
      </c>
      <c r="G1353">
        <v>1327.6579589999999</v>
      </c>
      <c r="H1353">
        <v>1325.8994141000001</v>
      </c>
      <c r="I1353">
        <v>1338.2670897999999</v>
      </c>
      <c r="J1353">
        <v>1335.8699951000001</v>
      </c>
      <c r="K1353">
        <v>0</v>
      </c>
      <c r="L1353">
        <v>2400</v>
      </c>
      <c r="M1353">
        <v>2400</v>
      </c>
      <c r="N1353">
        <v>0</v>
      </c>
    </row>
    <row r="1354" spans="1:14" x14ac:dyDescent="0.25">
      <c r="A1354">
        <v>592.25375099999997</v>
      </c>
      <c r="B1354" s="1">
        <f>DATE(2011,12,14) + TIME(6,5,24)</f>
        <v>40891.253750000003</v>
      </c>
      <c r="C1354">
        <v>80</v>
      </c>
      <c r="D1354">
        <v>76.058349609000004</v>
      </c>
      <c r="E1354">
        <v>50</v>
      </c>
      <c r="F1354">
        <v>49.973812103</v>
      </c>
      <c r="G1354">
        <v>1327.6170654</v>
      </c>
      <c r="H1354">
        <v>1325.8443603999999</v>
      </c>
      <c r="I1354">
        <v>1338.2614745999999</v>
      </c>
      <c r="J1354">
        <v>1335.8681641000001</v>
      </c>
      <c r="K1354">
        <v>0</v>
      </c>
      <c r="L1354">
        <v>2400</v>
      </c>
      <c r="M1354">
        <v>2400</v>
      </c>
      <c r="N1354">
        <v>0</v>
      </c>
    </row>
    <row r="1355" spans="1:14" x14ac:dyDescent="0.25">
      <c r="A1355">
        <v>593.65494699999999</v>
      </c>
      <c r="B1355" s="1">
        <f>DATE(2011,12,15) + TIME(15,43,7)</f>
        <v>40892.654942129629</v>
      </c>
      <c r="C1355">
        <v>80</v>
      </c>
      <c r="D1355">
        <v>75.941093445000007</v>
      </c>
      <c r="E1355">
        <v>50</v>
      </c>
      <c r="F1355">
        <v>49.973800658999998</v>
      </c>
      <c r="G1355">
        <v>1327.5760498</v>
      </c>
      <c r="H1355">
        <v>1325.7890625</v>
      </c>
      <c r="I1355">
        <v>1338.2559814000001</v>
      </c>
      <c r="J1355">
        <v>1335.8663329999999</v>
      </c>
      <c r="K1355">
        <v>0</v>
      </c>
      <c r="L1355">
        <v>2400</v>
      </c>
      <c r="M1355">
        <v>2400</v>
      </c>
      <c r="N1355">
        <v>0</v>
      </c>
    </row>
    <row r="1356" spans="1:14" x14ac:dyDescent="0.25">
      <c r="A1356">
        <v>595.10821399999998</v>
      </c>
      <c r="B1356" s="1">
        <f>DATE(2011,12,17) + TIME(2,35,49)</f>
        <v>40894.108206018522</v>
      </c>
      <c r="C1356">
        <v>80</v>
      </c>
      <c r="D1356">
        <v>75.819549561000002</v>
      </c>
      <c r="E1356">
        <v>50</v>
      </c>
      <c r="F1356">
        <v>49.973793030000003</v>
      </c>
      <c r="G1356">
        <v>1327.534668</v>
      </c>
      <c r="H1356">
        <v>1325.7333983999999</v>
      </c>
      <c r="I1356">
        <v>1338.2504882999999</v>
      </c>
      <c r="J1356">
        <v>1335.8645019999999</v>
      </c>
      <c r="K1356">
        <v>0</v>
      </c>
      <c r="L1356">
        <v>2400</v>
      </c>
      <c r="M1356">
        <v>2400</v>
      </c>
      <c r="N1356">
        <v>0</v>
      </c>
    </row>
    <row r="1357" spans="1:14" x14ac:dyDescent="0.25">
      <c r="A1357">
        <v>596.60453199999995</v>
      </c>
      <c r="B1357" s="1">
        <f>DATE(2011,12,18) + TIME(14,30,31)</f>
        <v>40895.604525462964</v>
      </c>
      <c r="C1357">
        <v>80</v>
      </c>
      <c r="D1357">
        <v>75.693222046000002</v>
      </c>
      <c r="E1357">
        <v>50</v>
      </c>
      <c r="F1357">
        <v>49.973785399999997</v>
      </c>
      <c r="G1357">
        <v>1327.4925536999999</v>
      </c>
      <c r="H1357">
        <v>1325.677124</v>
      </c>
      <c r="I1357">
        <v>1338.2448730000001</v>
      </c>
      <c r="J1357">
        <v>1335.8626709</v>
      </c>
      <c r="K1357">
        <v>0</v>
      </c>
      <c r="L1357">
        <v>2400</v>
      </c>
      <c r="M1357">
        <v>2400</v>
      </c>
      <c r="N1357">
        <v>0</v>
      </c>
    </row>
    <row r="1358" spans="1:14" x14ac:dyDescent="0.25">
      <c r="A1358">
        <v>598.12787100000003</v>
      </c>
      <c r="B1358" s="1">
        <f>DATE(2011,12,20) + TIME(3,4,8)</f>
        <v>40897.127870370372</v>
      </c>
      <c r="C1358">
        <v>80</v>
      </c>
      <c r="D1358">
        <v>75.562614440999994</v>
      </c>
      <c r="E1358">
        <v>50</v>
      </c>
      <c r="F1358">
        <v>49.973777771000002</v>
      </c>
      <c r="G1358">
        <v>1327.4501952999999</v>
      </c>
      <c r="H1358">
        <v>1325.6202393000001</v>
      </c>
      <c r="I1358">
        <v>1338.2393798999999</v>
      </c>
      <c r="J1358">
        <v>1335.8609618999999</v>
      </c>
      <c r="K1358">
        <v>0</v>
      </c>
      <c r="L1358">
        <v>2400</v>
      </c>
      <c r="M1358">
        <v>2400</v>
      </c>
      <c r="N1358">
        <v>0</v>
      </c>
    </row>
    <row r="1359" spans="1:14" x14ac:dyDescent="0.25">
      <c r="A1359">
        <v>599.68970899999999</v>
      </c>
      <c r="B1359" s="1">
        <f>DATE(2011,12,21) + TIME(16,33,10)</f>
        <v>40898.689699074072</v>
      </c>
      <c r="C1359">
        <v>80</v>
      </c>
      <c r="D1359">
        <v>75.428222656000003</v>
      </c>
      <c r="E1359">
        <v>50</v>
      </c>
      <c r="F1359">
        <v>49.973770141999999</v>
      </c>
      <c r="G1359">
        <v>1327.4075928</v>
      </c>
      <c r="H1359">
        <v>1325.5632324000001</v>
      </c>
      <c r="I1359">
        <v>1338.2337646000001</v>
      </c>
      <c r="J1359">
        <v>1335.8592529</v>
      </c>
      <c r="K1359">
        <v>0</v>
      </c>
      <c r="L1359">
        <v>2400</v>
      </c>
      <c r="M1359">
        <v>2400</v>
      </c>
      <c r="N1359">
        <v>0</v>
      </c>
    </row>
    <row r="1360" spans="1:14" x14ac:dyDescent="0.25">
      <c r="A1360">
        <v>601.27500799999996</v>
      </c>
      <c r="B1360" s="1">
        <f>DATE(2011,12,23) + TIME(6,36,0)</f>
        <v>40900.275000000001</v>
      </c>
      <c r="C1360">
        <v>80</v>
      </c>
      <c r="D1360">
        <v>75.290039062000005</v>
      </c>
      <c r="E1360">
        <v>50</v>
      </c>
      <c r="F1360">
        <v>49.973762512</v>
      </c>
      <c r="G1360">
        <v>1327.3648682</v>
      </c>
      <c r="H1360">
        <v>1325.5059814000001</v>
      </c>
      <c r="I1360">
        <v>1338.2282714999999</v>
      </c>
      <c r="J1360">
        <v>1335.8575439000001</v>
      </c>
      <c r="K1360">
        <v>0</v>
      </c>
      <c r="L1360">
        <v>2400</v>
      </c>
      <c r="M1360">
        <v>2400</v>
      </c>
      <c r="N1360">
        <v>0</v>
      </c>
    </row>
    <row r="1361" spans="1:14" x14ac:dyDescent="0.25">
      <c r="A1361">
        <v>602.88845100000003</v>
      </c>
      <c r="B1361" s="1">
        <f>DATE(2011,12,24) + TIME(21,19,22)</f>
        <v>40901.888449074075</v>
      </c>
      <c r="C1361">
        <v>80</v>
      </c>
      <c r="D1361">
        <v>75.148597717000001</v>
      </c>
      <c r="E1361">
        <v>50</v>
      </c>
      <c r="F1361">
        <v>49.973758697999997</v>
      </c>
      <c r="G1361">
        <v>1327.3222656</v>
      </c>
      <c r="H1361">
        <v>1325.4489745999999</v>
      </c>
      <c r="I1361">
        <v>1338.2229004000001</v>
      </c>
      <c r="J1361">
        <v>1335.8558350000001</v>
      </c>
      <c r="K1361">
        <v>0</v>
      </c>
      <c r="L1361">
        <v>2400</v>
      </c>
      <c r="M1361">
        <v>2400</v>
      </c>
      <c r="N1361">
        <v>0</v>
      </c>
    </row>
    <row r="1362" spans="1:14" x14ac:dyDescent="0.25">
      <c r="A1362">
        <v>604.54291899999998</v>
      </c>
      <c r="B1362" s="1">
        <f>DATE(2011,12,26) + TIME(13,1,48)</f>
        <v>40903.542916666665</v>
      </c>
      <c r="C1362">
        <v>80</v>
      </c>
      <c r="D1362">
        <v>75.003547667999996</v>
      </c>
      <c r="E1362">
        <v>50</v>
      </c>
      <c r="F1362">
        <v>49.973751067999999</v>
      </c>
      <c r="G1362">
        <v>1327.2796631000001</v>
      </c>
      <c r="H1362">
        <v>1325.3920897999999</v>
      </c>
      <c r="I1362">
        <v>1338.2175293</v>
      </c>
      <c r="J1362">
        <v>1335.8542480000001</v>
      </c>
      <c r="K1362">
        <v>0</v>
      </c>
      <c r="L1362">
        <v>2400</v>
      </c>
      <c r="M1362">
        <v>2400</v>
      </c>
      <c r="N1362">
        <v>0</v>
      </c>
    </row>
    <row r="1363" spans="1:14" x14ac:dyDescent="0.25">
      <c r="A1363">
        <v>606.25214800000003</v>
      </c>
      <c r="B1363" s="1">
        <f>DATE(2011,12,28) + TIME(6,3,5)</f>
        <v>40905.252141203702</v>
      </c>
      <c r="C1363">
        <v>80</v>
      </c>
      <c r="D1363">
        <v>74.853713988999999</v>
      </c>
      <c r="E1363">
        <v>50</v>
      </c>
      <c r="F1363">
        <v>49.973747252999999</v>
      </c>
      <c r="G1363">
        <v>1327.2370605000001</v>
      </c>
      <c r="H1363">
        <v>1325.3350829999999</v>
      </c>
      <c r="I1363">
        <v>1338.2121582</v>
      </c>
      <c r="J1363">
        <v>1335.8525391000001</v>
      </c>
      <c r="K1363">
        <v>0</v>
      </c>
      <c r="L1363">
        <v>2400</v>
      </c>
      <c r="M1363">
        <v>2400</v>
      </c>
      <c r="N1363">
        <v>0</v>
      </c>
    </row>
    <row r="1364" spans="1:14" x14ac:dyDescent="0.25">
      <c r="A1364">
        <v>608.03144799999995</v>
      </c>
      <c r="B1364" s="1">
        <f>DATE(2011,12,30) + TIME(0,45,17)</f>
        <v>40907.031446759262</v>
      </c>
      <c r="C1364">
        <v>80</v>
      </c>
      <c r="D1364">
        <v>74.697982788000004</v>
      </c>
      <c r="E1364">
        <v>50</v>
      </c>
      <c r="F1364">
        <v>49.973747252999999</v>
      </c>
      <c r="G1364">
        <v>1327.1939697</v>
      </c>
      <c r="H1364">
        <v>1325.2775879000001</v>
      </c>
      <c r="I1364">
        <v>1338.2067870999999</v>
      </c>
      <c r="J1364">
        <v>1335.8509521000001</v>
      </c>
      <c r="K1364">
        <v>0</v>
      </c>
      <c r="L1364">
        <v>2400</v>
      </c>
      <c r="M1364">
        <v>2400</v>
      </c>
      <c r="N1364">
        <v>0</v>
      </c>
    </row>
    <row r="1365" spans="1:14" x14ac:dyDescent="0.25">
      <c r="A1365">
        <v>609.88203199999998</v>
      </c>
      <c r="B1365" s="1">
        <f>DATE(2011,12,31) + TIME(21,10,7)</f>
        <v>40908.882025462961</v>
      </c>
      <c r="C1365">
        <v>80</v>
      </c>
      <c r="D1365">
        <v>74.535293578999998</v>
      </c>
      <c r="E1365">
        <v>50</v>
      </c>
      <c r="F1365">
        <v>49.973743439000003</v>
      </c>
      <c r="G1365">
        <v>1327.1501464999999</v>
      </c>
      <c r="H1365">
        <v>1325.2193603999999</v>
      </c>
      <c r="I1365">
        <v>1338.2012939000001</v>
      </c>
      <c r="J1365">
        <v>1335.8493652</v>
      </c>
      <c r="K1365">
        <v>0</v>
      </c>
      <c r="L1365">
        <v>2400</v>
      </c>
      <c r="M1365">
        <v>2400</v>
      </c>
      <c r="N1365">
        <v>0</v>
      </c>
    </row>
    <row r="1366" spans="1:14" x14ac:dyDescent="0.25">
      <c r="A1366">
        <v>610</v>
      </c>
      <c r="B1366" s="1">
        <f>DATE(2012,1,1) + TIME(0,0,0)</f>
        <v>40909</v>
      </c>
      <c r="C1366">
        <v>80</v>
      </c>
      <c r="D1366">
        <v>74.496467589999995</v>
      </c>
      <c r="E1366">
        <v>50</v>
      </c>
      <c r="F1366">
        <v>49.973735808999997</v>
      </c>
      <c r="G1366">
        <v>1327.1092529</v>
      </c>
      <c r="H1366">
        <v>1325.1685791</v>
      </c>
      <c r="I1366">
        <v>1338.1962891000001</v>
      </c>
      <c r="J1366">
        <v>1335.8479004000001</v>
      </c>
      <c r="K1366">
        <v>0</v>
      </c>
      <c r="L1366">
        <v>2400</v>
      </c>
      <c r="M1366">
        <v>2400</v>
      </c>
      <c r="N1366">
        <v>0</v>
      </c>
    </row>
    <row r="1367" spans="1:14" x14ac:dyDescent="0.25">
      <c r="A1367">
        <v>611.88460599999996</v>
      </c>
      <c r="B1367" s="1">
        <f>DATE(2012,1,2) + TIME(21,13,49)</f>
        <v>40910.884594907409</v>
      </c>
      <c r="C1367">
        <v>80</v>
      </c>
      <c r="D1367">
        <v>74.348762511999993</v>
      </c>
      <c r="E1367">
        <v>50</v>
      </c>
      <c r="F1367">
        <v>49.973739623999997</v>
      </c>
      <c r="G1367">
        <v>1327.0999756000001</v>
      </c>
      <c r="H1367">
        <v>1325.1514893000001</v>
      </c>
      <c r="I1367">
        <v>1338.1953125</v>
      </c>
      <c r="J1367">
        <v>1335.8475341999999</v>
      </c>
      <c r="K1367">
        <v>0</v>
      </c>
      <c r="L1367">
        <v>2400</v>
      </c>
      <c r="M1367">
        <v>2400</v>
      </c>
      <c r="N1367">
        <v>0</v>
      </c>
    </row>
    <row r="1368" spans="1:14" x14ac:dyDescent="0.25">
      <c r="A1368">
        <v>613.78410799999995</v>
      </c>
      <c r="B1368" s="1">
        <f>DATE(2012,1,4) + TIME(18,49,6)</f>
        <v>40912.784097222226</v>
      </c>
      <c r="C1368">
        <v>80</v>
      </c>
      <c r="D1368">
        <v>74.180038452000005</v>
      </c>
      <c r="E1368">
        <v>50</v>
      </c>
      <c r="F1368">
        <v>49.973739623999997</v>
      </c>
      <c r="G1368">
        <v>1327.0573730000001</v>
      </c>
      <c r="H1368">
        <v>1325.0957031</v>
      </c>
      <c r="I1368">
        <v>1338.1899414</v>
      </c>
      <c r="J1368">
        <v>1335.8459473</v>
      </c>
      <c r="K1368">
        <v>0</v>
      </c>
      <c r="L1368">
        <v>2400</v>
      </c>
      <c r="M1368">
        <v>2400</v>
      </c>
      <c r="N1368">
        <v>0</v>
      </c>
    </row>
    <row r="1369" spans="1:14" x14ac:dyDescent="0.25">
      <c r="A1369">
        <v>615.71344399999998</v>
      </c>
      <c r="B1369" s="1">
        <f>DATE(2012,1,6) + TIME(17,7,21)</f>
        <v>40914.713437500002</v>
      </c>
      <c r="C1369">
        <v>80</v>
      </c>
      <c r="D1369">
        <v>74.004417419000006</v>
      </c>
      <c r="E1369">
        <v>50</v>
      </c>
      <c r="F1369">
        <v>49.973739623999997</v>
      </c>
      <c r="G1369">
        <v>1327.0135498</v>
      </c>
      <c r="H1369">
        <v>1325.0375977000001</v>
      </c>
      <c r="I1369">
        <v>1338.1845702999999</v>
      </c>
      <c r="J1369">
        <v>1335.8444824000001</v>
      </c>
      <c r="K1369">
        <v>0</v>
      </c>
      <c r="L1369">
        <v>2400</v>
      </c>
      <c r="M1369">
        <v>2400</v>
      </c>
      <c r="N1369">
        <v>0</v>
      </c>
    </row>
    <row r="1370" spans="1:14" x14ac:dyDescent="0.25">
      <c r="A1370">
        <v>617.68890799999997</v>
      </c>
      <c r="B1370" s="1">
        <f>DATE(2012,1,8) + TIME(16,32,1)</f>
        <v>40916.688900462963</v>
      </c>
      <c r="C1370">
        <v>80</v>
      </c>
      <c r="D1370">
        <v>73.824096679999997</v>
      </c>
      <c r="E1370">
        <v>50</v>
      </c>
      <c r="F1370">
        <v>49.973739623999997</v>
      </c>
      <c r="G1370">
        <v>1326.9696045000001</v>
      </c>
      <c r="H1370">
        <v>1324.9792480000001</v>
      </c>
      <c r="I1370">
        <v>1338.1791992000001</v>
      </c>
      <c r="J1370">
        <v>1335.8428954999999</v>
      </c>
      <c r="K1370">
        <v>0</v>
      </c>
      <c r="L1370">
        <v>2400</v>
      </c>
      <c r="M1370">
        <v>2400</v>
      </c>
      <c r="N1370">
        <v>0</v>
      </c>
    </row>
    <row r="1371" spans="1:14" x14ac:dyDescent="0.25">
      <c r="A1371">
        <v>619.72199000000001</v>
      </c>
      <c r="B1371" s="1">
        <f>DATE(2012,1,10) + TIME(17,19,39)</f>
        <v>40918.721979166665</v>
      </c>
      <c r="C1371">
        <v>80</v>
      </c>
      <c r="D1371">
        <v>73.638488769999995</v>
      </c>
      <c r="E1371">
        <v>50</v>
      </c>
      <c r="F1371">
        <v>49.973739623999997</v>
      </c>
      <c r="G1371">
        <v>1326.9256591999999</v>
      </c>
      <c r="H1371">
        <v>1324.9208983999999</v>
      </c>
      <c r="I1371">
        <v>1338.1738281</v>
      </c>
      <c r="J1371">
        <v>1335.8413086</v>
      </c>
      <c r="K1371">
        <v>0</v>
      </c>
      <c r="L1371">
        <v>2400</v>
      </c>
      <c r="M1371">
        <v>2400</v>
      </c>
      <c r="N1371">
        <v>0</v>
      </c>
    </row>
    <row r="1372" spans="1:14" x14ac:dyDescent="0.25">
      <c r="A1372">
        <v>621.81172600000002</v>
      </c>
      <c r="B1372" s="1">
        <f>DATE(2012,1,12) + TIME(19,28,53)</f>
        <v>40920.811724537038</v>
      </c>
      <c r="C1372">
        <v>80</v>
      </c>
      <c r="D1372">
        <v>73.446838378999999</v>
      </c>
      <c r="E1372">
        <v>50</v>
      </c>
      <c r="F1372">
        <v>49.973743439000003</v>
      </c>
      <c r="G1372">
        <v>1326.8814697</v>
      </c>
      <c r="H1372">
        <v>1324.8623047000001</v>
      </c>
      <c r="I1372">
        <v>1338.168457</v>
      </c>
      <c r="J1372">
        <v>1335.8397216999999</v>
      </c>
      <c r="K1372">
        <v>0</v>
      </c>
      <c r="L1372">
        <v>2400</v>
      </c>
      <c r="M1372">
        <v>2400</v>
      </c>
      <c r="N1372">
        <v>0</v>
      </c>
    </row>
    <row r="1373" spans="1:14" x14ac:dyDescent="0.25">
      <c r="A1373">
        <v>623.97713499999998</v>
      </c>
      <c r="B1373" s="1">
        <f>DATE(2012,1,14) + TIME(23,27,4)</f>
        <v>40922.977129629631</v>
      </c>
      <c r="C1373">
        <v>80</v>
      </c>
      <c r="D1373">
        <v>73.248687743999994</v>
      </c>
      <c r="E1373">
        <v>50</v>
      </c>
      <c r="F1373">
        <v>49.973743439000003</v>
      </c>
      <c r="G1373">
        <v>1326.8370361</v>
      </c>
      <c r="H1373">
        <v>1324.8033447</v>
      </c>
      <c r="I1373">
        <v>1338.1630858999999</v>
      </c>
      <c r="J1373">
        <v>1335.8382568</v>
      </c>
      <c r="K1373">
        <v>0</v>
      </c>
      <c r="L1373">
        <v>2400</v>
      </c>
      <c r="M1373">
        <v>2400</v>
      </c>
      <c r="N1373">
        <v>0</v>
      </c>
    </row>
    <row r="1374" spans="1:14" x14ac:dyDescent="0.25">
      <c r="A1374">
        <v>626.22081400000002</v>
      </c>
      <c r="B1374" s="1">
        <f>DATE(2012,1,17) + TIME(5,17,58)</f>
        <v>40925.220810185187</v>
      </c>
      <c r="C1374">
        <v>80</v>
      </c>
      <c r="D1374">
        <v>73.042800903</v>
      </c>
      <c r="E1374">
        <v>50</v>
      </c>
      <c r="F1374">
        <v>49.973751067999999</v>
      </c>
      <c r="G1374">
        <v>1326.7919922000001</v>
      </c>
      <c r="H1374">
        <v>1324.7438964999999</v>
      </c>
      <c r="I1374">
        <v>1338.1575928</v>
      </c>
      <c r="J1374">
        <v>1335.8366699000001</v>
      </c>
      <c r="K1374">
        <v>0</v>
      </c>
      <c r="L1374">
        <v>2400</v>
      </c>
      <c r="M1374">
        <v>2400</v>
      </c>
      <c r="N1374">
        <v>0</v>
      </c>
    </row>
    <row r="1375" spans="1:14" x14ac:dyDescent="0.25">
      <c r="A1375">
        <v>628.49513999999999</v>
      </c>
      <c r="B1375" s="1">
        <f>DATE(2012,1,19) + TIME(11,53,0)</f>
        <v>40927.495138888888</v>
      </c>
      <c r="C1375">
        <v>80</v>
      </c>
      <c r="D1375">
        <v>72.829574585000003</v>
      </c>
      <c r="E1375">
        <v>50</v>
      </c>
      <c r="F1375">
        <v>49.973754882999998</v>
      </c>
      <c r="G1375">
        <v>1326.7464600000001</v>
      </c>
      <c r="H1375">
        <v>1324.6837158000001</v>
      </c>
      <c r="I1375">
        <v>1338.1520995999999</v>
      </c>
      <c r="J1375">
        <v>1335.8349608999999</v>
      </c>
      <c r="K1375">
        <v>0</v>
      </c>
      <c r="L1375">
        <v>2400</v>
      </c>
      <c r="M1375">
        <v>2400</v>
      </c>
      <c r="N1375">
        <v>0</v>
      </c>
    </row>
    <row r="1376" spans="1:14" x14ac:dyDescent="0.25">
      <c r="A1376">
        <v>630.79120699999999</v>
      </c>
      <c r="B1376" s="1">
        <f>DATE(2012,1,21) + TIME(18,59,20)</f>
        <v>40929.791203703702</v>
      </c>
      <c r="C1376">
        <v>80</v>
      </c>
      <c r="D1376">
        <v>72.612075806000007</v>
      </c>
      <c r="E1376">
        <v>50</v>
      </c>
      <c r="F1376">
        <v>49.973758697999997</v>
      </c>
      <c r="G1376">
        <v>1326.7010498</v>
      </c>
      <c r="H1376">
        <v>1324.6235352000001</v>
      </c>
      <c r="I1376">
        <v>1338.1466064000001</v>
      </c>
      <c r="J1376">
        <v>1335.833374</v>
      </c>
      <c r="K1376">
        <v>0</v>
      </c>
      <c r="L1376">
        <v>2400</v>
      </c>
      <c r="M1376">
        <v>2400</v>
      </c>
      <c r="N1376">
        <v>0</v>
      </c>
    </row>
    <row r="1377" spans="1:14" x14ac:dyDescent="0.25">
      <c r="A1377">
        <v>633.12254700000005</v>
      </c>
      <c r="B1377" s="1">
        <f>DATE(2012,1,24) + TIME(2,56,28)</f>
        <v>40932.122546296298</v>
      </c>
      <c r="C1377">
        <v>80</v>
      </c>
      <c r="D1377">
        <v>72.391227721999996</v>
      </c>
      <c r="E1377">
        <v>50</v>
      </c>
      <c r="F1377">
        <v>49.973766327</v>
      </c>
      <c r="G1377">
        <v>1326.6561279</v>
      </c>
      <c r="H1377">
        <v>1324.5639647999999</v>
      </c>
      <c r="I1377">
        <v>1338.1411132999999</v>
      </c>
      <c r="J1377">
        <v>1335.8317870999999</v>
      </c>
      <c r="K1377">
        <v>0</v>
      </c>
      <c r="L1377">
        <v>2400</v>
      </c>
      <c r="M1377">
        <v>2400</v>
      </c>
      <c r="N1377">
        <v>0</v>
      </c>
    </row>
    <row r="1378" spans="1:14" x14ac:dyDescent="0.25">
      <c r="A1378">
        <v>635.50960599999996</v>
      </c>
      <c r="B1378" s="1">
        <f>DATE(2012,1,26) + TIME(12,13,49)</f>
        <v>40934.509594907409</v>
      </c>
      <c r="C1378">
        <v>80</v>
      </c>
      <c r="D1378">
        <v>72.166053771999998</v>
      </c>
      <c r="E1378">
        <v>50</v>
      </c>
      <c r="F1378">
        <v>49.973773956000002</v>
      </c>
      <c r="G1378">
        <v>1326.6114502</v>
      </c>
      <c r="H1378">
        <v>1324.5048827999999</v>
      </c>
      <c r="I1378">
        <v>1338.1357422000001</v>
      </c>
      <c r="J1378">
        <v>1335.8302002</v>
      </c>
      <c r="K1378">
        <v>0</v>
      </c>
      <c r="L1378">
        <v>2400</v>
      </c>
      <c r="M1378">
        <v>2400</v>
      </c>
      <c r="N1378">
        <v>0</v>
      </c>
    </row>
    <row r="1379" spans="1:14" x14ac:dyDescent="0.25">
      <c r="A1379">
        <v>637.97428100000002</v>
      </c>
      <c r="B1379" s="1">
        <f>DATE(2012,1,28) + TIME(23,22,57)</f>
        <v>40936.974270833336</v>
      </c>
      <c r="C1379">
        <v>80</v>
      </c>
      <c r="D1379">
        <v>71.934776306000003</v>
      </c>
      <c r="E1379">
        <v>50</v>
      </c>
      <c r="F1379">
        <v>49.973781586000001</v>
      </c>
      <c r="G1379">
        <v>1326.5670166</v>
      </c>
      <c r="H1379">
        <v>1324.4460449000001</v>
      </c>
      <c r="I1379">
        <v>1338.1303711</v>
      </c>
      <c r="J1379">
        <v>1335.8286132999999</v>
      </c>
      <c r="K1379">
        <v>0</v>
      </c>
      <c r="L1379">
        <v>2400</v>
      </c>
      <c r="M1379">
        <v>2400</v>
      </c>
      <c r="N1379">
        <v>0</v>
      </c>
    </row>
    <row r="1380" spans="1:14" x14ac:dyDescent="0.25">
      <c r="A1380">
        <v>640.54110000000003</v>
      </c>
      <c r="B1380" s="1">
        <f>DATE(2012,1,31) + TIME(12,59,11)</f>
        <v>40939.54109953704</v>
      </c>
      <c r="C1380">
        <v>80</v>
      </c>
      <c r="D1380">
        <v>71.6953125</v>
      </c>
      <c r="E1380">
        <v>50</v>
      </c>
      <c r="F1380">
        <v>49.973793030000003</v>
      </c>
      <c r="G1380">
        <v>1326.5222168</v>
      </c>
      <c r="H1380">
        <v>1324.3868408000001</v>
      </c>
      <c r="I1380">
        <v>1338.1248779</v>
      </c>
      <c r="J1380">
        <v>1335.8269043</v>
      </c>
      <c r="K1380">
        <v>0</v>
      </c>
      <c r="L1380">
        <v>2400</v>
      </c>
      <c r="M1380">
        <v>2400</v>
      </c>
      <c r="N1380">
        <v>0</v>
      </c>
    </row>
    <row r="1381" spans="1:14" x14ac:dyDescent="0.25">
      <c r="A1381">
        <v>641</v>
      </c>
      <c r="B1381" s="1">
        <f>DATE(2012,2,1) + TIME(0,0,0)</f>
        <v>40940</v>
      </c>
      <c r="C1381">
        <v>80</v>
      </c>
      <c r="D1381">
        <v>71.554771423000005</v>
      </c>
      <c r="E1381">
        <v>50</v>
      </c>
      <c r="F1381">
        <v>49.973777771000002</v>
      </c>
      <c r="G1381">
        <v>1326.4782714999999</v>
      </c>
      <c r="H1381">
        <v>1324.3323975000001</v>
      </c>
      <c r="I1381">
        <v>1338.1196289</v>
      </c>
      <c r="J1381">
        <v>1335.8253173999999</v>
      </c>
      <c r="K1381">
        <v>0</v>
      </c>
      <c r="L1381">
        <v>2400</v>
      </c>
      <c r="M1381">
        <v>2400</v>
      </c>
      <c r="N1381">
        <v>0</v>
      </c>
    </row>
    <row r="1382" spans="1:14" x14ac:dyDescent="0.25">
      <c r="A1382">
        <v>643.64133000000004</v>
      </c>
      <c r="B1382" s="1">
        <f>DATE(2012,2,3) + TIME(15,23,30)</f>
        <v>40942.641319444447</v>
      </c>
      <c r="C1382">
        <v>80</v>
      </c>
      <c r="D1382">
        <v>71.385597228999998</v>
      </c>
      <c r="E1382">
        <v>50</v>
      </c>
      <c r="F1382">
        <v>49.973800658999998</v>
      </c>
      <c r="G1382">
        <v>1326.4626464999999</v>
      </c>
      <c r="H1382">
        <v>1324.3050536999999</v>
      </c>
      <c r="I1382">
        <v>1338.1182861</v>
      </c>
      <c r="J1382">
        <v>1335.8248291</v>
      </c>
      <c r="K1382">
        <v>0</v>
      </c>
      <c r="L1382">
        <v>2400</v>
      </c>
      <c r="M1382">
        <v>2400</v>
      </c>
      <c r="N1382">
        <v>0</v>
      </c>
    </row>
    <row r="1383" spans="1:14" x14ac:dyDescent="0.25">
      <c r="A1383">
        <v>646.32316600000001</v>
      </c>
      <c r="B1383" s="1">
        <f>DATE(2012,2,6) + TIME(7,45,21)</f>
        <v>40945.323159722226</v>
      </c>
      <c r="C1383">
        <v>80</v>
      </c>
      <c r="D1383">
        <v>71.141342163000004</v>
      </c>
      <c r="E1383">
        <v>50</v>
      </c>
      <c r="F1383">
        <v>49.973815918</v>
      </c>
      <c r="G1383">
        <v>1326.4217529</v>
      </c>
      <c r="H1383">
        <v>1324.2537841999999</v>
      </c>
      <c r="I1383">
        <v>1338.112793</v>
      </c>
      <c r="J1383">
        <v>1335.8232422000001</v>
      </c>
      <c r="K1383">
        <v>0</v>
      </c>
      <c r="L1383">
        <v>2400</v>
      </c>
      <c r="M1383">
        <v>2400</v>
      </c>
      <c r="N1383">
        <v>0</v>
      </c>
    </row>
    <row r="1384" spans="1:14" x14ac:dyDescent="0.25">
      <c r="A1384">
        <v>649.02922599999999</v>
      </c>
      <c r="B1384" s="1">
        <f>DATE(2012,2,9) + TIME(0,42,5)</f>
        <v>40948.029224537036</v>
      </c>
      <c r="C1384">
        <v>80</v>
      </c>
      <c r="D1384">
        <v>70.881568908999995</v>
      </c>
      <c r="E1384">
        <v>50</v>
      </c>
      <c r="F1384">
        <v>49.973831177000001</v>
      </c>
      <c r="G1384">
        <v>1326.3771973</v>
      </c>
      <c r="H1384">
        <v>1324.1953125</v>
      </c>
      <c r="I1384">
        <v>1338.1071777</v>
      </c>
      <c r="J1384">
        <v>1335.8214111</v>
      </c>
      <c r="K1384">
        <v>0</v>
      </c>
      <c r="L1384">
        <v>2400</v>
      </c>
      <c r="M1384">
        <v>2400</v>
      </c>
      <c r="N1384">
        <v>0</v>
      </c>
    </row>
    <row r="1385" spans="1:14" x14ac:dyDescent="0.25">
      <c r="A1385">
        <v>651.79512399999999</v>
      </c>
      <c r="B1385" s="1">
        <f>DATE(2012,2,11) + TIME(19,4,58)</f>
        <v>40950.795115740744</v>
      </c>
      <c r="C1385">
        <v>80</v>
      </c>
      <c r="D1385">
        <v>70.616195679</v>
      </c>
      <c r="E1385">
        <v>50</v>
      </c>
      <c r="F1385">
        <v>49.973842621000003</v>
      </c>
      <c r="G1385">
        <v>1326.3325195</v>
      </c>
      <c r="H1385">
        <v>1324.1363524999999</v>
      </c>
      <c r="I1385">
        <v>1338.1016846</v>
      </c>
      <c r="J1385">
        <v>1335.8197021000001</v>
      </c>
      <c r="K1385">
        <v>0</v>
      </c>
      <c r="L1385">
        <v>2400</v>
      </c>
      <c r="M1385">
        <v>2400</v>
      </c>
      <c r="N1385">
        <v>0</v>
      </c>
    </row>
    <row r="1386" spans="1:14" x14ac:dyDescent="0.25">
      <c r="A1386">
        <v>654.64745700000003</v>
      </c>
      <c r="B1386" s="1">
        <f>DATE(2012,2,14) + TIME(15,32,20)</f>
        <v>40953.647453703707</v>
      </c>
      <c r="C1386">
        <v>80</v>
      </c>
      <c r="D1386">
        <v>70.344291686999995</v>
      </c>
      <c r="E1386">
        <v>50</v>
      </c>
      <c r="F1386">
        <v>49.973857879999997</v>
      </c>
      <c r="G1386">
        <v>1326.2878418</v>
      </c>
      <c r="H1386">
        <v>1324.0773925999999</v>
      </c>
      <c r="I1386">
        <v>1338.0961914</v>
      </c>
      <c r="J1386">
        <v>1335.8178711</v>
      </c>
      <c r="K1386">
        <v>0</v>
      </c>
      <c r="L1386">
        <v>2400</v>
      </c>
      <c r="M1386">
        <v>2400</v>
      </c>
      <c r="N1386">
        <v>0</v>
      </c>
    </row>
    <row r="1387" spans="1:14" x14ac:dyDescent="0.25">
      <c r="A1387">
        <v>657.60258199999998</v>
      </c>
      <c r="B1387" s="1">
        <f>DATE(2012,2,17) + TIME(14,27,43)</f>
        <v>40956.602581018517</v>
      </c>
      <c r="C1387">
        <v>80</v>
      </c>
      <c r="D1387">
        <v>70.063354492000002</v>
      </c>
      <c r="E1387">
        <v>50</v>
      </c>
      <c r="F1387">
        <v>49.973876953000001</v>
      </c>
      <c r="G1387">
        <v>1326.2430420000001</v>
      </c>
      <c r="H1387">
        <v>1324.0183105000001</v>
      </c>
      <c r="I1387">
        <v>1338.0905762</v>
      </c>
      <c r="J1387">
        <v>1335.8160399999999</v>
      </c>
      <c r="K1387">
        <v>0</v>
      </c>
      <c r="L1387">
        <v>2400</v>
      </c>
      <c r="M1387">
        <v>2400</v>
      </c>
      <c r="N1387">
        <v>0</v>
      </c>
    </row>
    <row r="1388" spans="1:14" x14ac:dyDescent="0.25">
      <c r="A1388">
        <v>660.64763100000005</v>
      </c>
      <c r="B1388" s="1">
        <f>DATE(2012,2,20) + TIME(15,32,35)</f>
        <v>40959.647627314815</v>
      </c>
      <c r="C1388">
        <v>80</v>
      </c>
      <c r="D1388">
        <v>69.771911621000001</v>
      </c>
      <c r="E1388">
        <v>50</v>
      </c>
      <c r="F1388">
        <v>49.973896027000002</v>
      </c>
      <c r="G1388">
        <v>1326.1977539</v>
      </c>
      <c r="H1388">
        <v>1323.9587402</v>
      </c>
      <c r="I1388">
        <v>1338.0848389</v>
      </c>
      <c r="J1388">
        <v>1335.8140868999999</v>
      </c>
      <c r="K1388">
        <v>0</v>
      </c>
      <c r="L1388">
        <v>2400</v>
      </c>
      <c r="M1388">
        <v>2400</v>
      </c>
      <c r="N1388">
        <v>0</v>
      </c>
    </row>
    <row r="1389" spans="1:14" x14ac:dyDescent="0.25">
      <c r="A1389">
        <v>663.78861099999995</v>
      </c>
      <c r="B1389" s="1">
        <f>DATE(2012,2,23) + TIME(18,55,35)</f>
        <v>40962.788599537038</v>
      </c>
      <c r="C1389">
        <v>80</v>
      </c>
      <c r="D1389">
        <v>69.470657349000007</v>
      </c>
      <c r="E1389">
        <v>50</v>
      </c>
      <c r="F1389">
        <v>49.973915099999999</v>
      </c>
      <c r="G1389">
        <v>1326.1522216999999</v>
      </c>
      <c r="H1389">
        <v>1323.8986815999999</v>
      </c>
      <c r="I1389">
        <v>1338.0791016000001</v>
      </c>
      <c r="J1389">
        <v>1335.8121338000001</v>
      </c>
      <c r="K1389">
        <v>0</v>
      </c>
      <c r="L1389">
        <v>2400</v>
      </c>
      <c r="M1389">
        <v>2400</v>
      </c>
      <c r="N1389">
        <v>0</v>
      </c>
    </row>
    <row r="1390" spans="1:14" x14ac:dyDescent="0.25">
      <c r="A1390">
        <v>666.953125</v>
      </c>
      <c r="B1390" s="1">
        <f>DATE(2012,2,26) + TIME(22,52,30)</f>
        <v>40965.953125</v>
      </c>
      <c r="C1390">
        <v>80</v>
      </c>
      <c r="D1390">
        <v>69.160217285000002</v>
      </c>
      <c r="E1390">
        <v>50</v>
      </c>
      <c r="F1390">
        <v>49.973937988000003</v>
      </c>
      <c r="G1390">
        <v>1326.1064452999999</v>
      </c>
      <c r="H1390">
        <v>1323.8383789</v>
      </c>
      <c r="I1390">
        <v>1338.0732422000001</v>
      </c>
      <c r="J1390">
        <v>1335.8101807</v>
      </c>
      <c r="K1390">
        <v>0</v>
      </c>
      <c r="L1390">
        <v>2400</v>
      </c>
      <c r="M1390">
        <v>2400</v>
      </c>
      <c r="N1390">
        <v>0</v>
      </c>
    </row>
    <row r="1391" spans="1:14" x14ac:dyDescent="0.25">
      <c r="A1391">
        <v>670</v>
      </c>
      <c r="B1391" s="1">
        <f>DATE(2012,3,1) + TIME(0,0,0)</f>
        <v>40969</v>
      </c>
      <c r="C1391">
        <v>80</v>
      </c>
      <c r="D1391">
        <v>68.847946167000003</v>
      </c>
      <c r="E1391">
        <v>50</v>
      </c>
      <c r="F1391">
        <v>49.973953246999997</v>
      </c>
      <c r="G1391">
        <v>1326.0612793</v>
      </c>
      <c r="H1391">
        <v>1323.7785644999999</v>
      </c>
      <c r="I1391">
        <v>1338.0675048999999</v>
      </c>
      <c r="J1391">
        <v>1335.8081055</v>
      </c>
      <c r="K1391">
        <v>0</v>
      </c>
      <c r="L1391">
        <v>2400</v>
      </c>
      <c r="M1391">
        <v>2400</v>
      </c>
      <c r="N1391">
        <v>0</v>
      </c>
    </row>
    <row r="1392" spans="1:14" x14ac:dyDescent="0.25">
      <c r="A1392">
        <v>673.21091799999999</v>
      </c>
      <c r="B1392" s="1">
        <f>DATE(2012,3,4) + TIME(5,3,43)</f>
        <v>40972.210914351854</v>
      </c>
      <c r="C1392">
        <v>80</v>
      </c>
      <c r="D1392">
        <v>68.540809631000002</v>
      </c>
      <c r="E1392">
        <v>50</v>
      </c>
      <c r="F1392">
        <v>49.97397995</v>
      </c>
      <c r="G1392">
        <v>1326.0180664</v>
      </c>
      <c r="H1392">
        <v>1323.7209473</v>
      </c>
      <c r="I1392">
        <v>1338.0620117000001</v>
      </c>
      <c r="J1392">
        <v>1335.8060303</v>
      </c>
      <c r="K1392">
        <v>0</v>
      </c>
      <c r="L1392">
        <v>2400</v>
      </c>
      <c r="M1392">
        <v>2400</v>
      </c>
      <c r="N1392">
        <v>0</v>
      </c>
    </row>
    <row r="1393" spans="1:14" x14ac:dyDescent="0.25">
      <c r="A1393">
        <v>676.54733199999998</v>
      </c>
      <c r="B1393" s="1">
        <f>DATE(2012,3,7) + TIME(13,8,9)</f>
        <v>40975.547326388885</v>
      </c>
      <c r="C1393">
        <v>80</v>
      </c>
      <c r="D1393">
        <v>68.220336914000001</v>
      </c>
      <c r="E1393">
        <v>50</v>
      </c>
      <c r="F1393">
        <v>49.974002837999997</v>
      </c>
      <c r="G1393">
        <v>1325.9747314000001</v>
      </c>
      <c r="H1393">
        <v>1323.6639404</v>
      </c>
      <c r="I1393">
        <v>1338.0562743999999</v>
      </c>
      <c r="J1393">
        <v>1335.8039550999999</v>
      </c>
      <c r="K1393">
        <v>0</v>
      </c>
      <c r="L1393">
        <v>2400</v>
      </c>
      <c r="M1393">
        <v>2400</v>
      </c>
      <c r="N1393">
        <v>0</v>
      </c>
    </row>
    <row r="1394" spans="1:14" x14ac:dyDescent="0.25">
      <c r="A1394">
        <v>680.00139899999999</v>
      </c>
      <c r="B1394" s="1">
        <f>DATE(2012,3,11) + TIME(0,2,0)</f>
        <v>40979.001388888886</v>
      </c>
      <c r="C1394">
        <v>80</v>
      </c>
      <c r="D1394">
        <v>67.886566161999994</v>
      </c>
      <c r="E1394">
        <v>50</v>
      </c>
      <c r="F1394">
        <v>49.974029541</v>
      </c>
      <c r="G1394">
        <v>1325.9309082</v>
      </c>
      <c r="H1394">
        <v>1323.6060791</v>
      </c>
      <c r="I1394">
        <v>1338.0505370999999</v>
      </c>
      <c r="J1394">
        <v>1335.8017577999999</v>
      </c>
      <c r="K1394">
        <v>0</v>
      </c>
      <c r="L1394">
        <v>2400</v>
      </c>
      <c r="M1394">
        <v>2400</v>
      </c>
      <c r="N1394">
        <v>0</v>
      </c>
    </row>
    <row r="1395" spans="1:14" x14ac:dyDescent="0.25">
      <c r="A1395">
        <v>683.56473200000005</v>
      </c>
      <c r="B1395" s="1">
        <f>DATE(2012,3,14) + TIME(13,33,12)</f>
        <v>40982.564722222225</v>
      </c>
      <c r="C1395">
        <v>80</v>
      </c>
      <c r="D1395">
        <v>67.540435790999993</v>
      </c>
      <c r="E1395">
        <v>50</v>
      </c>
      <c r="F1395">
        <v>49.974060059000003</v>
      </c>
      <c r="G1395">
        <v>1325.8867187999999</v>
      </c>
      <c r="H1395">
        <v>1323.5476074000001</v>
      </c>
      <c r="I1395">
        <v>1338.0445557</v>
      </c>
      <c r="J1395">
        <v>1335.7995605000001</v>
      </c>
      <c r="K1395">
        <v>0</v>
      </c>
      <c r="L1395">
        <v>2400</v>
      </c>
      <c r="M1395">
        <v>2400</v>
      </c>
      <c r="N1395">
        <v>0</v>
      </c>
    </row>
    <row r="1396" spans="1:14" x14ac:dyDescent="0.25">
      <c r="A1396">
        <v>687.19105400000001</v>
      </c>
      <c r="B1396" s="1">
        <f>DATE(2012,3,18) + TIME(4,35,7)</f>
        <v>40986.191053240742</v>
      </c>
      <c r="C1396">
        <v>80</v>
      </c>
      <c r="D1396">
        <v>67.182594299000002</v>
      </c>
      <c r="E1396">
        <v>50</v>
      </c>
      <c r="F1396">
        <v>49.974086761000002</v>
      </c>
      <c r="G1396">
        <v>1325.8421631000001</v>
      </c>
      <c r="H1396">
        <v>1323.4887695</v>
      </c>
      <c r="I1396">
        <v>1338.0385742000001</v>
      </c>
      <c r="J1396">
        <v>1335.7971190999999</v>
      </c>
      <c r="K1396">
        <v>0</v>
      </c>
      <c r="L1396">
        <v>2400</v>
      </c>
      <c r="M1396">
        <v>2400</v>
      </c>
      <c r="N1396">
        <v>0</v>
      </c>
    </row>
    <row r="1397" spans="1:14" x14ac:dyDescent="0.25">
      <c r="A1397">
        <v>690.93455100000006</v>
      </c>
      <c r="B1397" s="1">
        <f>DATE(2012,3,21) + TIME(22,25,45)</f>
        <v>40989.934548611112</v>
      </c>
      <c r="C1397">
        <v>80</v>
      </c>
      <c r="D1397">
        <v>66.816780089999995</v>
      </c>
      <c r="E1397">
        <v>50</v>
      </c>
      <c r="F1397">
        <v>49.974117278999998</v>
      </c>
      <c r="G1397">
        <v>1325.7979736</v>
      </c>
      <c r="H1397">
        <v>1323.4301757999999</v>
      </c>
      <c r="I1397">
        <v>1338.0324707</v>
      </c>
      <c r="J1397">
        <v>1335.7946777</v>
      </c>
      <c r="K1397">
        <v>0</v>
      </c>
      <c r="L1397">
        <v>2400</v>
      </c>
      <c r="M1397">
        <v>2400</v>
      </c>
      <c r="N1397">
        <v>0</v>
      </c>
    </row>
    <row r="1398" spans="1:14" x14ac:dyDescent="0.25">
      <c r="A1398">
        <v>694.71168699999998</v>
      </c>
      <c r="B1398" s="1">
        <f>DATE(2012,3,25) + TIME(17,4,49)</f>
        <v>40993.711678240739</v>
      </c>
      <c r="C1398">
        <v>80</v>
      </c>
      <c r="D1398">
        <v>66.438858031999999</v>
      </c>
      <c r="E1398">
        <v>50</v>
      </c>
      <c r="F1398">
        <v>49.974151611000003</v>
      </c>
      <c r="G1398">
        <v>1325.7537841999999</v>
      </c>
      <c r="H1398">
        <v>1323.371582</v>
      </c>
      <c r="I1398">
        <v>1338.0263672000001</v>
      </c>
      <c r="J1398">
        <v>1335.7922363</v>
      </c>
      <c r="K1398">
        <v>0</v>
      </c>
      <c r="L1398">
        <v>2400</v>
      </c>
      <c r="M1398">
        <v>2400</v>
      </c>
      <c r="N1398">
        <v>0</v>
      </c>
    </row>
    <row r="1399" spans="1:14" x14ac:dyDescent="0.25">
      <c r="A1399">
        <v>698.57399299999997</v>
      </c>
      <c r="B1399" s="1">
        <f>DATE(2012,3,29) + TIME(13,46,33)</f>
        <v>40997.573993055557</v>
      </c>
      <c r="C1399">
        <v>80</v>
      </c>
      <c r="D1399">
        <v>66.056037903000004</v>
      </c>
      <c r="E1399">
        <v>50</v>
      </c>
      <c r="F1399">
        <v>49.974182128999999</v>
      </c>
      <c r="G1399">
        <v>1325.7102050999999</v>
      </c>
      <c r="H1399">
        <v>1323.3137207</v>
      </c>
      <c r="I1399">
        <v>1338.0202637</v>
      </c>
      <c r="J1399">
        <v>1335.7896728999999</v>
      </c>
      <c r="K1399">
        <v>0</v>
      </c>
      <c r="L1399">
        <v>2400</v>
      </c>
      <c r="M1399">
        <v>2400</v>
      </c>
      <c r="N1399">
        <v>0</v>
      </c>
    </row>
    <row r="1400" spans="1:14" x14ac:dyDescent="0.25">
      <c r="A1400">
        <v>701</v>
      </c>
      <c r="B1400" s="1">
        <f>DATE(2012,4,1) + TIME(0,0,0)</f>
        <v>41000</v>
      </c>
      <c r="C1400">
        <v>80</v>
      </c>
      <c r="D1400">
        <v>65.687629700000002</v>
      </c>
      <c r="E1400">
        <v>50</v>
      </c>
      <c r="F1400">
        <v>49.974193573000001</v>
      </c>
      <c r="G1400">
        <v>1325.6672363</v>
      </c>
      <c r="H1400">
        <v>1323.2573242000001</v>
      </c>
      <c r="I1400">
        <v>1338.0141602000001</v>
      </c>
      <c r="J1400">
        <v>1335.7871094</v>
      </c>
      <c r="K1400">
        <v>0</v>
      </c>
      <c r="L1400">
        <v>2400</v>
      </c>
      <c r="M1400">
        <v>2400</v>
      </c>
      <c r="N1400">
        <v>0</v>
      </c>
    </row>
    <row r="1401" spans="1:14" x14ac:dyDescent="0.25">
      <c r="A1401">
        <v>704.91370500000005</v>
      </c>
      <c r="B1401" s="1">
        <f>DATE(2012,4,4) + TIME(21,55,44)</f>
        <v>41003.913703703707</v>
      </c>
      <c r="C1401">
        <v>80</v>
      </c>
      <c r="D1401">
        <v>65.401344299000002</v>
      </c>
      <c r="E1401">
        <v>50</v>
      </c>
      <c r="F1401">
        <v>49.974239349000001</v>
      </c>
      <c r="G1401">
        <v>1325.6363524999999</v>
      </c>
      <c r="H1401">
        <v>1323.2126464999999</v>
      </c>
      <c r="I1401">
        <v>1338.0102539</v>
      </c>
      <c r="J1401">
        <v>1335.7852783000001</v>
      </c>
      <c r="K1401">
        <v>0</v>
      </c>
      <c r="L1401">
        <v>2400</v>
      </c>
      <c r="M1401">
        <v>2400</v>
      </c>
      <c r="N1401">
        <v>0</v>
      </c>
    </row>
    <row r="1402" spans="1:14" x14ac:dyDescent="0.25">
      <c r="A1402">
        <v>709.00470600000006</v>
      </c>
      <c r="B1402" s="1">
        <f>DATE(2012,4,9) + TIME(0,6,46)</f>
        <v>41008.004699074074</v>
      </c>
      <c r="C1402">
        <v>80</v>
      </c>
      <c r="D1402">
        <v>65.010337829999997</v>
      </c>
      <c r="E1402">
        <v>50</v>
      </c>
      <c r="F1402">
        <v>49.974277495999999</v>
      </c>
      <c r="G1402">
        <v>1325.5985106999999</v>
      </c>
      <c r="H1402">
        <v>1323.1643065999999</v>
      </c>
      <c r="I1402">
        <v>1338.0042725000001</v>
      </c>
      <c r="J1402">
        <v>1335.7827147999999</v>
      </c>
      <c r="K1402">
        <v>0</v>
      </c>
      <c r="L1402">
        <v>2400</v>
      </c>
      <c r="M1402">
        <v>2400</v>
      </c>
      <c r="N1402">
        <v>0</v>
      </c>
    </row>
    <row r="1403" spans="1:14" x14ac:dyDescent="0.25">
      <c r="A1403">
        <v>713.225324</v>
      </c>
      <c r="B1403" s="1">
        <f>DATE(2012,4,13) + TIME(5,24,27)</f>
        <v>41012.225312499999</v>
      </c>
      <c r="C1403">
        <v>80</v>
      </c>
      <c r="D1403">
        <v>64.594314574999999</v>
      </c>
      <c r="E1403">
        <v>50</v>
      </c>
      <c r="F1403">
        <v>49.974315642999997</v>
      </c>
      <c r="G1403">
        <v>1325.5573730000001</v>
      </c>
      <c r="H1403">
        <v>1323.1098632999999</v>
      </c>
      <c r="I1403">
        <v>1337.9979248</v>
      </c>
      <c r="J1403">
        <v>1335.7797852000001</v>
      </c>
      <c r="K1403">
        <v>0</v>
      </c>
      <c r="L1403">
        <v>2400</v>
      </c>
      <c r="M1403">
        <v>2400</v>
      </c>
      <c r="N1403">
        <v>0</v>
      </c>
    </row>
    <row r="1404" spans="1:14" x14ac:dyDescent="0.25">
      <c r="A1404">
        <v>717.51418200000001</v>
      </c>
      <c r="B1404" s="1">
        <f>DATE(2012,4,17) + TIME(12,20,25)</f>
        <v>41016.514178240737</v>
      </c>
      <c r="C1404">
        <v>80</v>
      </c>
      <c r="D1404">
        <v>64.159904479999994</v>
      </c>
      <c r="E1404">
        <v>50</v>
      </c>
      <c r="F1404">
        <v>49.974357605000002</v>
      </c>
      <c r="G1404">
        <v>1325.5157471</v>
      </c>
      <c r="H1404">
        <v>1323.0544434000001</v>
      </c>
      <c r="I1404">
        <v>1337.9915771000001</v>
      </c>
      <c r="J1404">
        <v>1335.7768555</v>
      </c>
      <c r="K1404">
        <v>0</v>
      </c>
      <c r="L1404">
        <v>2400</v>
      </c>
      <c r="M1404">
        <v>2400</v>
      </c>
      <c r="N1404">
        <v>0</v>
      </c>
    </row>
    <row r="1405" spans="1:14" x14ac:dyDescent="0.25">
      <c r="A1405">
        <v>721.96567600000003</v>
      </c>
      <c r="B1405" s="1">
        <f>DATE(2012,4,21) + TIME(23,10,34)</f>
        <v>41020.965671296297</v>
      </c>
      <c r="C1405">
        <v>80</v>
      </c>
      <c r="D1405">
        <v>63.720252991000002</v>
      </c>
      <c r="E1405">
        <v>50</v>
      </c>
      <c r="F1405">
        <v>49.974399566999999</v>
      </c>
      <c r="G1405">
        <v>1325.4748535000001</v>
      </c>
      <c r="H1405">
        <v>1322.9996338000001</v>
      </c>
      <c r="I1405">
        <v>1337.9852295000001</v>
      </c>
      <c r="J1405">
        <v>1335.7738036999999</v>
      </c>
      <c r="K1405">
        <v>0</v>
      </c>
      <c r="L1405">
        <v>2400</v>
      </c>
      <c r="M1405">
        <v>2400</v>
      </c>
      <c r="N1405">
        <v>0</v>
      </c>
    </row>
    <row r="1406" spans="1:14" x14ac:dyDescent="0.25">
      <c r="A1406">
        <v>724.23460999999998</v>
      </c>
      <c r="B1406" s="1">
        <f>DATE(2012,4,24) + TIME(5,37,50)</f>
        <v>41023.234606481485</v>
      </c>
      <c r="C1406">
        <v>80</v>
      </c>
      <c r="D1406">
        <v>63.298915862999998</v>
      </c>
      <c r="E1406">
        <v>50</v>
      </c>
      <c r="F1406">
        <v>49.974407196000001</v>
      </c>
      <c r="G1406">
        <v>1325.4334716999999</v>
      </c>
      <c r="H1406">
        <v>1322.9451904</v>
      </c>
      <c r="I1406">
        <v>1337.9787598</v>
      </c>
      <c r="J1406">
        <v>1335.7707519999999</v>
      </c>
      <c r="K1406">
        <v>0</v>
      </c>
      <c r="L1406">
        <v>2400</v>
      </c>
      <c r="M1406">
        <v>2400</v>
      </c>
      <c r="N1406">
        <v>0</v>
      </c>
    </row>
    <row r="1407" spans="1:14" x14ac:dyDescent="0.25">
      <c r="A1407">
        <v>726.50354500000003</v>
      </c>
      <c r="B1407" s="1">
        <f>DATE(2012,4,26) + TIME(12,5,6)</f>
        <v>41025.503541666665</v>
      </c>
      <c r="C1407">
        <v>80</v>
      </c>
      <c r="D1407">
        <v>63.035045623999999</v>
      </c>
      <c r="E1407">
        <v>50</v>
      </c>
      <c r="F1407">
        <v>49.974426270000002</v>
      </c>
      <c r="G1407">
        <v>1325.4088135</v>
      </c>
      <c r="H1407">
        <v>1322.9086914</v>
      </c>
      <c r="I1407">
        <v>1337.9753418</v>
      </c>
      <c r="J1407">
        <v>1335.769043</v>
      </c>
      <c r="K1407">
        <v>0</v>
      </c>
      <c r="L1407">
        <v>2400</v>
      </c>
      <c r="M1407">
        <v>2400</v>
      </c>
      <c r="N1407">
        <v>0</v>
      </c>
    </row>
    <row r="1408" spans="1:14" x14ac:dyDescent="0.25">
      <c r="A1408">
        <v>728.75177199999996</v>
      </c>
      <c r="B1408" s="1">
        <f>DATE(2012,4,28) + TIME(18,2,33)</f>
        <v>41027.751770833333</v>
      </c>
      <c r="C1408">
        <v>80</v>
      </c>
      <c r="D1408">
        <v>62.789070129000002</v>
      </c>
      <c r="E1408">
        <v>50</v>
      </c>
      <c r="F1408">
        <v>49.974449157999999</v>
      </c>
      <c r="G1408">
        <v>1325.3880615</v>
      </c>
      <c r="H1408">
        <v>1322.8800048999999</v>
      </c>
      <c r="I1408">
        <v>1337.9720459</v>
      </c>
      <c r="J1408">
        <v>1335.7673339999999</v>
      </c>
      <c r="K1408">
        <v>0</v>
      </c>
      <c r="L1408">
        <v>2400</v>
      </c>
      <c r="M1408">
        <v>2400</v>
      </c>
      <c r="N1408">
        <v>0</v>
      </c>
    </row>
    <row r="1409" spans="1:14" x14ac:dyDescent="0.25">
      <c r="A1409">
        <v>731</v>
      </c>
      <c r="B1409" s="1">
        <f>DATE(2012,5,1) + TIME(0,0,0)</f>
        <v>41030</v>
      </c>
      <c r="C1409">
        <v>80</v>
      </c>
      <c r="D1409">
        <v>62.557289124</v>
      </c>
      <c r="E1409">
        <v>50</v>
      </c>
      <c r="F1409">
        <v>49.974472046000002</v>
      </c>
      <c r="G1409">
        <v>1325.3690185999999</v>
      </c>
      <c r="H1409">
        <v>1322.8542480000001</v>
      </c>
      <c r="I1409">
        <v>1337.96875</v>
      </c>
      <c r="J1409">
        <v>1335.7657471</v>
      </c>
      <c r="K1409">
        <v>0</v>
      </c>
      <c r="L1409">
        <v>2400</v>
      </c>
      <c r="M1409">
        <v>2400</v>
      </c>
      <c r="N1409">
        <v>0</v>
      </c>
    </row>
    <row r="1410" spans="1:14" x14ac:dyDescent="0.25">
      <c r="A1410">
        <v>731.000001</v>
      </c>
      <c r="B1410" s="1">
        <f>DATE(2012,5,1) + TIME(0,0,0)</f>
        <v>41030</v>
      </c>
      <c r="C1410">
        <v>80</v>
      </c>
      <c r="D1410">
        <v>62.557361602999997</v>
      </c>
      <c r="E1410">
        <v>50</v>
      </c>
      <c r="F1410">
        <v>49.974456787000001</v>
      </c>
      <c r="G1410">
        <v>1328.0239257999999</v>
      </c>
      <c r="H1410">
        <v>1325.3850098</v>
      </c>
      <c r="I1410">
        <v>1335.7559814000001</v>
      </c>
      <c r="J1410">
        <v>1334.1239014</v>
      </c>
      <c r="K1410">
        <v>2400</v>
      </c>
      <c r="L1410">
        <v>0</v>
      </c>
      <c r="M1410">
        <v>0</v>
      </c>
      <c r="N1410">
        <v>2400</v>
      </c>
    </row>
    <row r="1411" spans="1:14" x14ac:dyDescent="0.25">
      <c r="A1411">
        <v>731.00000399999999</v>
      </c>
      <c r="B1411" s="1">
        <f>DATE(2012,5,1) + TIME(0,0,0)</f>
        <v>41030</v>
      </c>
      <c r="C1411">
        <v>80</v>
      </c>
      <c r="D1411">
        <v>62.557575225999997</v>
      </c>
      <c r="E1411">
        <v>50</v>
      </c>
      <c r="F1411">
        <v>49.974411011000001</v>
      </c>
      <c r="G1411">
        <v>1328.0565185999999</v>
      </c>
      <c r="H1411">
        <v>1325.4321289</v>
      </c>
      <c r="I1411">
        <v>1335.7270507999999</v>
      </c>
      <c r="J1411">
        <v>1334.0949707</v>
      </c>
      <c r="K1411">
        <v>2400</v>
      </c>
      <c r="L1411">
        <v>0</v>
      </c>
      <c r="M1411">
        <v>0</v>
      </c>
      <c r="N1411">
        <v>2400</v>
      </c>
    </row>
    <row r="1412" spans="1:14" x14ac:dyDescent="0.25">
      <c r="A1412">
        <v>731.00001299999997</v>
      </c>
      <c r="B1412" s="1">
        <f>DATE(2012,5,1) + TIME(0,0,1)</f>
        <v>41030.000011574077</v>
      </c>
      <c r="C1412">
        <v>80</v>
      </c>
      <c r="D1412">
        <v>62.558193207000002</v>
      </c>
      <c r="E1412">
        <v>50</v>
      </c>
      <c r="F1412">
        <v>49.974277495999999</v>
      </c>
      <c r="G1412">
        <v>1328.1506348</v>
      </c>
      <c r="H1412">
        <v>1325.5655518000001</v>
      </c>
      <c r="I1412">
        <v>1335.6436768000001</v>
      </c>
      <c r="J1412">
        <v>1334.0115966999999</v>
      </c>
      <c r="K1412">
        <v>2400</v>
      </c>
      <c r="L1412">
        <v>0</v>
      </c>
      <c r="M1412">
        <v>0</v>
      </c>
      <c r="N1412">
        <v>2400</v>
      </c>
    </row>
    <row r="1413" spans="1:14" x14ac:dyDescent="0.25">
      <c r="A1413">
        <v>731.00004000000001</v>
      </c>
      <c r="B1413" s="1">
        <f>DATE(2012,5,1) + TIME(0,0,3)</f>
        <v>41030.000034722223</v>
      </c>
      <c r="C1413">
        <v>80</v>
      </c>
      <c r="D1413">
        <v>62.559890746999997</v>
      </c>
      <c r="E1413">
        <v>50</v>
      </c>
      <c r="F1413">
        <v>49.973918914999999</v>
      </c>
      <c r="G1413">
        <v>1328.4035644999999</v>
      </c>
      <c r="H1413">
        <v>1325.9084473</v>
      </c>
      <c r="I1413">
        <v>1335.4204102000001</v>
      </c>
      <c r="J1413">
        <v>1333.7883300999999</v>
      </c>
      <c r="K1413">
        <v>2400</v>
      </c>
      <c r="L1413">
        <v>0</v>
      </c>
      <c r="M1413">
        <v>0</v>
      </c>
      <c r="N1413">
        <v>2400</v>
      </c>
    </row>
    <row r="1414" spans="1:14" x14ac:dyDescent="0.25">
      <c r="A1414">
        <v>731.00012100000004</v>
      </c>
      <c r="B1414" s="1">
        <f>DATE(2012,5,1) + TIME(0,0,10)</f>
        <v>41030.000115740739</v>
      </c>
      <c r="C1414">
        <v>80</v>
      </c>
      <c r="D1414">
        <v>62.564147949000002</v>
      </c>
      <c r="E1414">
        <v>50</v>
      </c>
      <c r="F1414">
        <v>49.973114013999997</v>
      </c>
      <c r="G1414">
        <v>1328.9869385</v>
      </c>
      <c r="H1414">
        <v>1326.6267089999999</v>
      </c>
      <c r="I1414">
        <v>1334.9154053</v>
      </c>
      <c r="J1414">
        <v>1333.2833252</v>
      </c>
      <c r="K1414">
        <v>2400</v>
      </c>
      <c r="L1414">
        <v>0</v>
      </c>
      <c r="M1414">
        <v>0</v>
      </c>
      <c r="N1414">
        <v>2400</v>
      </c>
    </row>
    <row r="1415" spans="1:14" x14ac:dyDescent="0.25">
      <c r="A1415">
        <v>731.00036399999999</v>
      </c>
      <c r="B1415" s="1">
        <f>DATE(2012,5,1) + TIME(0,0,31)</f>
        <v>41030.000358796293</v>
      </c>
      <c r="C1415">
        <v>80</v>
      </c>
      <c r="D1415">
        <v>62.574363708</v>
      </c>
      <c r="E1415">
        <v>50</v>
      </c>
      <c r="F1415">
        <v>49.971744536999999</v>
      </c>
      <c r="G1415">
        <v>1330.0246582</v>
      </c>
      <c r="H1415">
        <v>1327.7437743999999</v>
      </c>
      <c r="I1415">
        <v>1334.0606689000001</v>
      </c>
      <c r="J1415">
        <v>1332.4287108999999</v>
      </c>
      <c r="K1415">
        <v>2400</v>
      </c>
      <c r="L1415">
        <v>0</v>
      </c>
      <c r="M1415">
        <v>0</v>
      </c>
      <c r="N1415">
        <v>2400</v>
      </c>
    </row>
    <row r="1416" spans="1:14" x14ac:dyDescent="0.25">
      <c r="A1416">
        <v>731.00109299999997</v>
      </c>
      <c r="B1416" s="1">
        <f>DATE(2012,5,1) + TIME(0,1,34)</f>
        <v>41030.001087962963</v>
      </c>
      <c r="C1416">
        <v>80</v>
      </c>
      <c r="D1416">
        <v>62.600788115999997</v>
      </c>
      <c r="E1416">
        <v>50</v>
      </c>
      <c r="F1416">
        <v>49.970001220999997</v>
      </c>
      <c r="G1416">
        <v>1331.3959961</v>
      </c>
      <c r="H1416">
        <v>1329.0845947</v>
      </c>
      <c r="I1416">
        <v>1333.0042725000001</v>
      </c>
      <c r="J1416">
        <v>1331.3725586</v>
      </c>
      <c r="K1416">
        <v>2400</v>
      </c>
      <c r="L1416">
        <v>0</v>
      </c>
      <c r="M1416">
        <v>0</v>
      </c>
      <c r="N1416">
        <v>2400</v>
      </c>
    </row>
    <row r="1417" spans="1:14" x14ac:dyDescent="0.25">
      <c r="A1417">
        <v>731.00328000000002</v>
      </c>
      <c r="B1417" s="1">
        <f>DATE(2012,5,1) + TIME(0,4,43)</f>
        <v>41030.003275462965</v>
      </c>
      <c r="C1417">
        <v>80</v>
      </c>
      <c r="D1417">
        <v>62.675823211999997</v>
      </c>
      <c r="E1417">
        <v>50</v>
      </c>
      <c r="F1417">
        <v>49.968032837000003</v>
      </c>
      <c r="G1417">
        <v>1332.8662108999999</v>
      </c>
      <c r="H1417">
        <v>1330.4936522999999</v>
      </c>
      <c r="I1417">
        <v>1331.9084473</v>
      </c>
      <c r="J1417">
        <v>1330.2764893000001</v>
      </c>
      <c r="K1417">
        <v>2400</v>
      </c>
      <c r="L1417">
        <v>0</v>
      </c>
      <c r="M1417">
        <v>0</v>
      </c>
      <c r="N1417">
        <v>2400</v>
      </c>
    </row>
    <row r="1418" spans="1:14" x14ac:dyDescent="0.25">
      <c r="A1418">
        <v>731.00984100000005</v>
      </c>
      <c r="B1418" s="1">
        <f>DATE(2012,5,1) + TIME(0,14,10)</f>
        <v>41030.009837962964</v>
      </c>
      <c r="C1418">
        <v>80</v>
      </c>
      <c r="D1418">
        <v>62.897087096999996</v>
      </c>
      <c r="E1418">
        <v>50</v>
      </c>
      <c r="F1418">
        <v>49.965564727999997</v>
      </c>
      <c r="G1418">
        <v>1334.3304443</v>
      </c>
      <c r="H1418">
        <v>1331.9071045000001</v>
      </c>
      <c r="I1418">
        <v>1330.8038329999999</v>
      </c>
      <c r="J1418">
        <v>1329.1649170000001</v>
      </c>
      <c r="K1418">
        <v>2400</v>
      </c>
      <c r="L1418">
        <v>0</v>
      </c>
      <c r="M1418">
        <v>0</v>
      </c>
      <c r="N1418">
        <v>2400</v>
      </c>
    </row>
    <row r="1419" spans="1:14" x14ac:dyDescent="0.25">
      <c r="A1419">
        <v>731.02810399999998</v>
      </c>
      <c r="B1419" s="1">
        <f>DATE(2012,5,1) + TIME(0,40,28)</f>
        <v>41030.028101851851</v>
      </c>
      <c r="C1419">
        <v>80</v>
      </c>
      <c r="D1419">
        <v>63.498611449999999</v>
      </c>
      <c r="E1419">
        <v>50</v>
      </c>
      <c r="F1419">
        <v>49.961818694999998</v>
      </c>
      <c r="G1419">
        <v>1335.7001952999999</v>
      </c>
      <c r="H1419">
        <v>1333.2438964999999</v>
      </c>
      <c r="I1419">
        <v>1329.7100829999999</v>
      </c>
      <c r="J1419">
        <v>1328.0474853999999</v>
      </c>
      <c r="K1419">
        <v>2400</v>
      </c>
      <c r="L1419">
        <v>0</v>
      </c>
      <c r="M1419">
        <v>0</v>
      </c>
      <c r="N1419">
        <v>2400</v>
      </c>
    </row>
    <row r="1420" spans="1:14" x14ac:dyDescent="0.25">
      <c r="A1420">
        <v>731.04691800000001</v>
      </c>
      <c r="B1420" s="1">
        <f>DATE(2012,5,1) + TIME(1,7,33)</f>
        <v>41030.046909722223</v>
      </c>
      <c r="C1420">
        <v>80</v>
      </c>
      <c r="D1420">
        <v>64.104804993000002</v>
      </c>
      <c r="E1420">
        <v>50</v>
      </c>
      <c r="F1420">
        <v>49.958763122999997</v>
      </c>
      <c r="G1420">
        <v>1336.4433594</v>
      </c>
      <c r="H1420">
        <v>1333.9638672000001</v>
      </c>
      <c r="I1420">
        <v>1329.1015625</v>
      </c>
      <c r="J1420">
        <v>1327.4189452999999</v>
      </c>
      <c r="K1420">
        <v>2400</v>
      </c>
      <c r="L1420">
        <v>0</v>
      </c>
      <c r="M1420">
        <v>0</v>
      </c>
      <c r="N1420">
        <v>2400</v>
      </c>
    </row>
    <row r="1421" spans="1:14" x14ac:dyDescent="0.25">
      <c r="A1421">
        <v>731.06618200000003</v>
      </c>
      <c r="B1421" s="1">
        <f>DATE(2012,5,1) + TIME(1,35,18)</f>
        <v>41030.066180555557</v>
      </c>
      <c r="C1421">
        <v>80</v>
      </c>
      <c r="D1421">
        <v>64.709365844999994</v>
      </c>
      <c r="E1421">
        <v>50</v>
      </c>
      <c r="F1421">
        <v>49.955970764</v>
      </c>
      <c r="G1421">
        <v>1336.9191894999999</v>
      </c>
      <c r="H1421">
        <v>1334.4274902</v>
      </c>
      <c r="I1421">
        <v>1328.6945800999999</v>
      </c>
      <c r="J1421">
        <v>1326.9970702999999</v>
      </c>
      <c r="K1421">
        <v>2400</v>
      </c>
      <c r="L1421">
        <v>0</v>
      </c>
      <c r="M1421">
        <v>0</v>
      </c>
      <c r="N1421">
        <v>2400</v>
      </c>
    </row>
    <row r="1422" spans="1:14" x14ac:dyDescent="0.25">
      <c r="A1422">
        <v>731.08586400000002</v>
      </c>
      <c r="B1422" s="1">
        <f>DATE(2012,5,1) + TIME(2,3,38)</f>
        <v>41030.085856481484</v>
      </c>
      <c r="C1422">
        <v>80</v>
      </c>
      <c r="D1422">
        <v>65.309211731000005</v>
      </c>
      <c r="E1422">
        <v>50</v>
      </c>
      <c r="F1422">
        <v>49.953300476000003</v>
      </c>
      <c r="G1422">
        <v>1337.2562256000001</v>
      </c>
      <c r="H1422">
        <v>1334.7575684000001</v>
      </c>
      <c r="I1422">
        <v>1328.3964844</v>
      </c>
      <c r="J1422">
        <v>1326.6881103999999</v>
      </c>
      <c r="K1422">
        <v>2400</v>
      </c>
      <c r="L1422">
        <v>0</v>
      </c>
      <c r="M1422">
        <v>0</v>
      </c>
      <c r="N1422">
        <v>2400</v>
      </c>
    </row>
    <row r="1423" spans="1:14" x14ac:dyDescent="0.25">
      <c r="A1423">
        <v>731.10595699999999</v>
      </c>
      <c r="B1423" s="1">
        <f>DATE(2012,5,1) + TIME(2,32,34)</f>
        <v>41030.105949074074</v>
      </c>
      <c r="C1423">
        <v>80</v>
      </c>
      <c r="D1423">
        <v>65.902587890999996</v>
      </c>
      <c r="E1423">
        <v>50</v>
      </c>
      <c r="F1423">
        <v>49.950702667000002</v>
      </c>
      <c r="G1423">
        <v>1337.510376</v>
      </c>
      <c r="H1423">
        <v>1335.0078125</v>
      </c>
      <c r="I1423">
        <v>1328.1661377</v>
      </c>
      <c r="J1423">
        <v>1326.4500731999999</v>
      </c>
      <c r="K1423">
        <v>2400</v>
      </c>
      <c r="L1423">
        <v>0</v>
      </c>
      <c r="M1423">
        <v>0</v>
      </c>
      <c r="N1423">
        <v>2400</v>
      </c>
    </row>
    <row r="1424" spans="1:14" x14ac:dyDescent="0.25">
      <c r="A1424">
        <v>731.12647100000004</v>
      </c>
      <c r="B1424" s="1">
        <f>DATE(2012,5,1) + TIME(3,2,7)</f>
        <v>41030.126469907409</v>
      </c>
      <c r="C1424">
        <v>80</v>
      </c>
      <c r="D1424">
        <v>66.488319396999998</v>
      </c>
      <c r="E1424">
        <v>50</v>
      </c>
      <c r="F1424">
        <v>49.948135376000003</v>
      </c>
      <c r="G1424">
        <v>1337.7108154</v>
      </c>
      <c r="H1424">
        <v>1335.2060547000001</v>
      </c>
      <c r="I1424">
        <v>1327.9819336</v>
      </c>
      <c r="J1424">
        <v>1326.2602539</v>
      </c>
      <c r="K1424">
        <v>2400</v>
      </c>
      <c r="L1424">
        <v>0</v>
      </c>
      <c r="M1424">
        <v>0</v>
      </c>
      <c r="N1424">
        <v>2400</v>
      </c>
    </row>
    <row r="1425" spans="1:14" x14ac:dyDescent="0.25">
      <c r="A1425">
        <v>731.14741800000002</v>
      </c>
      <c r="B1425" s="1">
        <f>DATE(2012,5,1) + TIME(3,32,16)</f>
        <v>41030.147407407407</v>
      </c>
      <c r="C1425">
        <v>80</v>
      </c>
      <c r="D1425">
        <v>67.065643311000002</v>
      </c>
      <c r="E1425">
        <v>50</v>
      </c>
      <c r="F1425">
        <v>49.945587158000002</v>
      </c>
      <c r="G1425">
        <v>1337.8742675999999</v>
      </c>
      <c r="H1425">
        <v>1335.3684082</v>
      </c>
      <c r="I1425">
        <v>1327.8309326000001</v>
      </c>
      <c r="J1425">
        <v>1326.1051024999999</v>
      </c>
      <c r="K1425">
        <v>2400</v>
      </c>
      <c r="L1425">
        <v>0</v>
      </c>
      <c r="M1425">
        <v>0</v>
      </c>
      <c r="N1425">
        <v>2400</v>
      </c>
    </row>
    <row r="1426" spans="1:14" x14ac:dyDescent="0.25">
      <c r="A1426">
        <v>731.168815</v>
      </c>
      <c r="B1426" s="1">
        <f>DATE(2012,5,1) + TIME(4,3,5)</f>
        <v>41030.168807870374</v>
      </c>
      <c r="C1426">
        <v>80</v>
      </c>
      <c r="D1426">
        <v>67.633956909000005</v>
      </c>
      <c r="E1426">
        <v>50</v>
      </c>
      <c r="F1426">
        <v>49.943042755</v>
      </c>
      <c r="G1426">
        <v>1338.0115966999999</v>
      </c>
      <c r="H1426">
        <v>1335.5051269999999</v>
      </c>
      <c r="I1426">
        <v>1327.7048339999999</v>
      </c>
      <c r="J1426">
        <v>1325.9758300999999</v>
      </c>
      <c r="K1426">
        <v>2400</v>
      </c>
      <c r="L1426">
        <v>0</v>
      </c>
      <c r="M1426">
        <v>0</v>
      </c>
      <c r="N1426">
        <v>2400</v>
      </c>
    </row>
    <row r="1427" spans="1:14" x14ac:dyDescent="0.25">
      <c r="A1427">
        <v>731.19068200000004</v>
      </c>
      <c r="B1427" s="1">
        <f>DATE(2012,5,1) + TIME(4,34,34)</f>
        <v>41030.190671296295</v>
      </c>
      <c r="C1427">
        <v>80</v>
      </c>
      <c r="D1427">
        <v>68.192787170000003</v>
      </c>
      <c r="E1427">
        <v>50</v>
      </c>
      <c r="F1427">
        <v>49.940486907999997</v>
      </c>
      <c r="G1427">
        <v>1338.1296387</v>
      </c>
      <c r="H1427">
        <v>1335.6226807</v>
      </c>
      <c r="I1427">
        <v>1327.5979004000001</v>
      </c>
      <c r="J1427">
        <v>1325.8664550999999</v>
      </c>
      <c r="K1427">
        <v>2400</v>
      </c>
      <c r="L1427">
        <v>0</v>
      </c>
      <c r="M1427">
        <v>0</v>
      </c>
      <c r="N1427">
        <v>2400</v>
      </c>
    </row>
    <row r="1428" spans="1:14" x14ac:dyDescent="0.25">
      <c r="A1428">
        <v>731.21303899999998</v>
      </c>
      <c r="B1428" s="1">
        <f>DATE(2012,5,1) + TIME(5,6,46)</f>
        <v>41030.21303240741</v>
      </c>
      <c r="C1428">
        <v>80</v>
      </c>
      <c r="D1428">
        <v>68.741737365999995</v>
      </c>
      <c r="E1428">
        <v>50</v>
      </c>
      <c r="F1428">
        <v>49.937919616999999</v>
      </c>
      <c r="G1428">
        <v>1338.2332764</v>
      </c>
      <c r="H1428">
        <v>1335.7257079999999</v>
      </c>
      <c r="I1428">
        <v>1327.5061035000001</v>
      </c>
      <c r="J1428">
        <v>1325.7728271000001</v>
      </c>
      <c r="K1428">
        <v>2400</v>
      </c>
      <c r="L1428">
        <v>0</v>
      </c>
      <c r="M1428">
        <v>0</v>
      </c>
      <c r="N1428">
        <v>2400</v>
      </c>
    </row>
    <row r="1429" spans="1:14" x14ac:dyDescent="0.25">
      <c r="A1429">
        <v>731.23590999999999</v>
      </c>
      <c r="B1429" s="1">
        <f>DATE(2012,5,1) + TIME(5,39,42)</f>
        <v>41030.235902777778</v>
      </c>
      <c r="C1429">
        <v>80</v>
      </c>
      <c r="D1429">
        <v>69.280441284000005</v>
      </c>
      <c r="E1429">
        <v>50</v>
      </c>
      <c r="F1429">
        <v>49.935333252</v>
      </c>
      <c r="G1429">
        <v>1338.3259277</v>
      </c>
      <c r="H1429">
        <v>1335.8176269999999</v>
      </c>
      <c r="I1429">
        <v>1327.4266356999999</v>
      </c>
      <c r="J1429">
        <v>1325.6917725000001</v>
      </c>
      <c r="K1429">
        <v>2400</v>
      </c>
      <c r="L1429">
        <v>0</v>
      </c>
      <c r="M1429">
        <v>0</v>
      </c>
      <c r="N1429">
        <v>2400</v>
      </c>
    </row>
    <row r="1430" spans="1:14" x14ac:dyDescent="0.25">
      <c r="A1430">
        <v>731.25931800000001</v>
      </c>
      <c r="B1430" s="1">
        <f>DATE(2012,5,1) + TIME(6,13,25)</f>
        <v>41030.259317129632</v>
      </c>
      <c r="C1430">
        <v>80</v>
      </c>
      <c r="D1430">
        <v>69.808555603000002</v>
      </c>
      <c r="E1430">
        <v>50</v>
      </c>
      <c r="F1430">
        <v>49.932720183999997</v>
      </c>
      <c r="G1430">
        <v>1338.4100341999999</v>
      </c>
      <c r="H1430">
        <v>1335.9006348</v>
      </c>
      <c r="I1430">
        <v>1327.3572998</v>
      </c>
      <c r="J1430">
        <v>1325.6212158000001</v>
      </c>
      <c r="K1430">
        <v>2400</v>
      </c>
      <c r="L1430">
        <v>0</v>
      </c>
      <c r="M1430">
        <v>0</v>
      </c>
      <c r="N1430">
        <v>2400</v>
      </c>
    </row>
    <row r="1431" spans="1:14" x14ac:dyDescent="0.25">
      <c r="A1431">
        <v>731.28328599999998</v>
      </c>
      <c r="B1431" s="1">
        <f>DATE(2012,5,1) + TIME(6,47,55)</f>
        <v>41030.283275462964</v>
      </c>
      <c r="C1431">
        <v>80</v>
      </c>
      <c r="D1431">
        <v>70.325469971000004</v>
      </c>
      <c r="E1431">
        <v>50</v>
      </c>
      <c r="F1431">
        <v>49.930076599000003</v>
      </c>
      <c r="G1431">
        <v>1338.4875488</v>
      </c>
      <c r="H1431">
        <v>1335.9765625</v>
      </c>
      <c r="I1431">
        <v>1327.2965088000001</v>
      </c>
      <c r="J1431">
        <v>1325.5594481999999</v>
      </c>
      <c r="K1431">
        <v>2400</v>
      </c>
      <c r="L1431">
        <v>0</v>
      </c>
      <c r="M1431">
        <v>0</v>
      </c>
      <c r="N1431">
        <v>2400</v>
      </c>
    </row>
    <row r="1432" spans="1:14" x14ac:dyDescent="0.25">
      <c r="A1432">
        <v>731.30784800000004</v>
      </c>
      <c r="B1432" s="1">
        <f>DATE(2012,5,1) + TIME(7,23,18)</f>
        <v>41030.307847222219</v>
      </c>
      <c r="C1432">
        <v>80</v>
      </c>
      <c r="D1432">
        <v>70.831062317000004</v>
      </c>
      <c r="E1432">
        <v>50</v>
      </c>
      <c r="F1432">
        <v>49.927402495999999</v>
      </c>
      <c r="G1432">
        <v>1338.5598144999999</v>
      </c>
      <c r="H1432">
        <v>1336.0467529</v>
      </c>
      <c r="I1432">
        <v>1327.2430420000001</v>
      </c>
      <c r="J1432">
        <v>1325.5051269999999</v>
      </c>
      <c r="K1432">
        <v>2400</v>
      </c>
      <c r="L1432">
        <v>0</v>
      </c>
      <c r="M1432">
        <v>0</v>
      </c>
      <c r="N1432">
        <v>2400</v>
      </c>
    </row>
    <row r="1433" spans="1:14" x14ac:dyDescent="0.25">
      <c r="A1433">
        <v>731.333032</v>
      </c>
      <c r="B1433" s="1">
        <f>DATE(2012,5,1) + TIME(7,59,33)</f>
        <v>41030.333020833335</v>
      </c>
      <c r="C1433">
        <v>80</v>
      </c>
      <c r="D1433">
        <v>71.325149535999998</v>
      </c>
      <c r="E1433">
        <v>50</v>
      </c>
      <c r="F1433">
        <v>49.924690247000001</v>
      </c>
      <c r="G1433">
        <v>1338.6279297000001</v>
      </c>
      <c r="H1433">
        <v>1336.1123047000001</v>
      </c>
      <c r="I1433">
        <v>1327.1958007999999</v>
      </c>
      <c r="J1433">
        <v>1325.4571533000001</v>
      </c>
      <c r="K1433">
        <v>2400</v>
      </c>
      <c r="L1433">
        <v>0</v>
      </c>
      <c r="M1433">
        <v>0</v>
      </c>
      <c r="N1433">
        <v>2400</v>
      </c>
    </row>
    <row r="1434" spans="1:14" x14ac:dyDescent="0.25">
      <c r="A1434">
        <v>731.35887400000001</v>
      </c>
      <c r="B1434" s="1">
        <f>DATE(2012,5,1) + TIME(8,36,46)</f>
        <v>41030.358865740738</v>
      </c>
      <c r="C1434">
        <v>80</v>
      </c>
      <c r="D1434">
        <v>71.807441710999996</v>
      </c>
      <c r="E1434">
        <v>50</v>
      </c>
      <c r="F1434">
        <v>49.921939850000001</v>
      </c>
      <c r="G1434">
        <v>1338.6925048999999</v>
      </c>
      <c r="H1434">
        <v>1336.1739502</v>
      </c>
      <c r="I1434">
        <v>1327.1540527</v>
      </c>
      <c r="J1434">
        <v>1325.4146728999999</v>
      </c>
      <c r="K1434">
        <v>2400</v>
      </c>
      <c r="L1434">
        <v>0</v>
      </c>
      <c r="M1434">
        <v>0</v>
      </c>
      <c r="N1434">
        <v>2400</v>
      </c>
    </row>
    <row r="1435" spans="1:14" x14ac:dyDescent="0.25">
      <c r="A1435">
        <v>731.38540699999999</v>
      </c>
      <c r="B1435" s="1">
        <f>DATE(2012,5,1) + TIME(9,14,59)</f>
        <v>41030.385405092595</v>
      </c>
      <c r="C1435">
        <v>80</v>
      </c>
      <c r="D1435">
        <v>72.277656554999993</v>
      </c>
      <c r="E1435">
        <v>50</v>
      </c>
      <c r="F1435">
        <v>49.919143677000001</v>
      </c>
      <c r="G1435">
        <v>1338.7543945</v>
      </c>
      <c r="H1435">
        <v>1336.2321777</v>
      </c>
      <c r="I1435">
        <v>1327.1171875</v>
      </c>
      <c r="J1435">
        <v>1325.3771973</v>
      </c>
      <c r="K1435">
        <v>2400</v>
      </c>
      <c r="L1435">
        <v>0</v>
      </c>
      <c r="M1435">
        <v>0</v>
      </c>
      <c r="N1435">
        <v>2400</v>
      </c>
    </row>
    <row r="1436" spans="1:14" x14ac:dyDescent="0.25">
      <c r="A1436">
        <v>731.41267100000005</v>
      </c>
      <c r="B1436" s="1">
        <f>DATE(2012,5,1) + TIME(9,54,14)</f>
        <v>41030.412662037037</v>
      </c>
      <c r="C1436">
        <v>80</v>
      </c>
      <c r="D1436">
        <v>72.735481261999993</v>
      </c>
      <c r="E1436">
        <v>50</v>
      </c>
      <c r="F1436">
        <v>49.916297913000001</v>
      </c>
      <c r="G1436">
        <v>1338.8140868999999</v>
      </c>
      <c r="H1436">
        <v>1336.2878418</v>
      </c>
      <c r="I1436">
        <v>1327.0845947</v>
      </c>
      <c r="J1436">
        <v>1325.3441161999999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731.44070699999997</v>
      </c>
      <c r="B1437" s="1">
        <f>DATE(2012,5,1) + TIME(10,34,37)</f>
        <v>41030.440706018519</v>
      </c>
      <c r="C1437">
        <v>80</v>
      </c>
      <c r="D1437">
        <v>73.180641174000002</v>
      </c>
      <c r="E1437">
        <v>50</v>
      </c>
      <c r="F1437">
        <v>49.913402556999998</v>
      </c>
      <c r="G1437">
        <v>1338.8718262</v>
      </c>
      <c r="H1437">
        <v>1336.3409423999999</v>
      </c>
      <c r="I1437">
        <v>1327.0557861</v>
      </c>
      <c r="J1437">
        <v>1325.3148193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731.46956</v>
      </c>
      <c r="B1438" s="1">
        <f>DATE(2012,5,1) + TIME(11,16,9)</f>
        <v>41030.469548611109</v>
      </c>
      <c r="C1438">
        <v>80</v>
      </c>
      <c r="D1438">
        <v>73.612838745000005</v>
      </c>
      <c r="E1438">
        <v>50</v>
      </c>
      <c r="F1438">
        <v>49.910453795999999</v>
      </c>
      <c r="G1438">
        <v>1338.9279785000001</v>
      </c>
      <c r="H1438">
        <v>1336.3920897999999</v>
      </c>
      <c r="I1438">
        <v>1327.0305175999999</v>
      </c>
      <c r="J1438">
        <v>1325.2890625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731.499279</v>
      </c>
      <c r="B1439" s="1">
        <f>DATE(2012,5,1) + TIME(11,58,57)</f>
        <v>41030.49927083333</v>
      </c>
      <c r="C1439">
        <v>80</v>
      </c>
      <c r="D1439">
        <v>74.031799316000004</v>
      </c>
      <c r="E1439">
        <v>50</v>
      </c>
      <c r="F1439">
        <v>49.907443999999998</v>
      </c>
      <c r="G1439">
        <v>1338.9829102000001</v>
      </c>
      <c r="H1439">
        <v>1336.4414062000001</v>
      </c>
      <c r="I1439">
        <v>1327.0083007999999</v>
      </c>
      <c r="J1439">
        <v>1325.2664795000001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731.52991599999996</v>
      </c>
      <c r="B1440" s="1">
        <f>DATE(2012,5,1) + TIME(12,43,4)</f>
        <v>41030.529907407406</v>
      </c>
      <c r="C1440">
        <v>80</v>
      </c>
      <c r="D1440">
        <v>74.437232971</v>
      </c>
      <c r="E1440">
        <v>50</v>
      </c>
      <c r="F1440">
        <v>49.904369354000004</v>
      </c>
      <c r="G1440">
        <v>1339.0366211</v>
      </c>
      <c r="H1440">
        <v>1336.4891356999999</v>
      </c>
      <c r="I1440">
        <v>1326.9888916</v>
      </c>
      <c r="J1440">
        <v>1325.2468262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731.56154500000002</v>
      </c>
      <c r="B1441" s="1">
        <f>DATE(2012,5,1) + TIME(13,28,37)</f>
        <v>41030.561539351853</v>
      </c>
      <c r="C1441">
        <v>80</v>
      </c>
      <c r="D1441">
        <v>74.829048157000003</v>
      </c>
      <c r="E1441">
        <v>50</v>
      </c>
      <c r="F1441">
        <v>49.901229858000001</v>
      </c>
      <c r="G1441">
        <v>1339.0893555</v>
      </c>
      <c r="H1441">
        <v>1336.5355225000001</v>
      </c>
      <c r="I1441">
        <v>1326.972168</v>
      </c>
      <c r="J1441">
        <v>1325.2296143000001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731.59421699999996</v>
      </c>
      <c r="B1442" s="1">
        <f>DATE(2012,5,1) + TIME(14,15,40)</f>
        <v>41030.594212962962</v>
      </c>
      <c r="C1442">
        <v>80</v>
      </c>
      <c r="D1442">
        <v>75.206672667999996</v>
      </c>
      <c r="E1442">
        <v>50</v>
      </c>
      <c r="F1442">
        <v>49.898014068999998</v>
      </c>
      <c r="G1442">
        <v>1339.1412353999999</v>
      </c>
      <c r="H1442">
        <v>1336.5805664</v>
      </c>
      <c r="I1442">
        <v>1326.9576416</v>
      </c>
      <c r="J1442">
        <v>1325.2148437999999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731.62800200000004</v>
      </c>
      <c r="B1443" s="1">
        <f>DATE(2012,5,1) + TIME(15,4,19)</f>
        <v>41030.627997685187</v>
      </c>
      <c r="C1443">
        <v>80</v>
      </c>
      <c r="D1443">
        <v>75.569885253999999</v>
      </c>
      <c r="E1443">
        <v>50</v>
      </c>
      <c r="F1443">
        <v>49.894721984999997</v>
      </c>
      <c r="G1443">
        <v>1339.1923827999999</v>
      </c>
      <c r="H1443">
        <v>1336.6243896000001</v>
      </c>
      <c r="I1443">
        <v>1326.9453125</v>
      </c>
      <c r="J1443">
        <v>1325.2022704999999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731.66297599999996</v>
      </c>
      <c r="B1444" s="1">
        <f>DATE(2012,5,1) + TIME(15,54,41)</f>
        <v>41030.662974537037</v>
      </c>
      <c r="C1444">
        <v>80</v>
      </c>
      <c r="D1444">
        <v>75.918563843000001</v>
      </c>
      <c r="E1444">
        <v>50</v>
      </c>
      <c r="F1444">
        <v>49.891342162999997</v>
      </c>
      <c r="G1444">
        <v>1339.2427978999999</v>
      </c>
      <c r="H1444">
        <v>1336.6672363</v>
      </c>
      <c r="I1444">
        <v>1326.9349365</v>
      </c>
      <c r="J1444">
        <v>1325.1915283000001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731.69918800000005</v>
      </c>
      <c r="B1445" s="1">
        <f>DATE(2012,5,1) + TIME(16,46,49)</f>
        <v>41030.699178240742</v>
      </c>
      <c r="C1445">
        <v>80</v>
      </c>
      <c r="D1445">
        <v>76.252182007000002</v>
      </c>
      <c r="E1445">
        <v>50</v>
      </c>
      <c r="F1445">
        <v>49.887878418</v>
      </c>
      <c r="G1445">
        <v>1339.2926024999999</v>
      </c>
      <c r="H1445">
        <v>1336.7089844</v>
      </c>
      <c r="I1445">
        <v>1326.9261475000001</v>
      </c>
      <c r="J1445">
        <v>1325.1826172000001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731.73664099999996</v>
      </c>
      <c r="B1446" s="1">
        <f>DATE(2012,5,1) + TIME(17,40,45)</f>
        <v>41030.736631944441</v>
      </c>
      <c r="C1446">
        <v>80</v>
      </c>
      <c r="D1446">
        <v>76.569938660000005</v>
      </c>
      <c r="E1446">
        <v>50</v>
      </c>
      <c r="F1446">
        <v>49.884330749999997</v>
      </c>
      <c r="G1446">
        <v>1339.3417969</v>
      </c>
      <c r="H1446">
        <v>1336.7497559000001</v>
      </c>
      <c r="I1446">
        <v>1326.9190673999999</v>
      </c>
      <c r="J1446">
        <v>1325.175293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731.77541599999995</v>
      </c>
      <c r="B1447" s="1">
        <f>DATE(2012,5,1) + TIME(18,36,35)</f>
        <v>41030.775405092594</v>
      </c>
      <c r="C1447">
        <v>80</v>
      </c>
      <c r="D1447">
        <v>76.871749878000003</v>
      </c>
      <c r="E1447">
        <v>50</v>
      </c>
      <c r="F1447">
        <v>49.880687713999997</v>
      </c>
      <c r="G1447">
        <v>1339.3901367000001</v>
      </c>
      <c r="H1447">
        <v>1336.7895507999999</v>
      </c>
      <c r="I1447">
        <v>1326.9134521000001</v>
      </c>
      <c r="J1447">
        <v>1325.1694336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731.81561399999998</v>
      </c>
      <c r="B1448" s="1">
        <f>DATE(2012,5,1) + TIME(19,34,29)</f>
        <v>41030.815613425926</v>
      </c>
      <c r="C1448">
        <v>80</v>
      </c>
      <c r="D1448">
        <v>77.157638550000001</v>
      </c>
      <c r="E1448">
        <v>50</v>
      </c>
      <c r="F1448">
        <v>49.876949310000001</v>
      </c>
      <c r="G1448">
        <v>1339.4377440999999</v>
      </c>
      <c r="H1448">
        <v>1336.8282471</v>
      </c>
      <c r="I1448">
        <v>1326.9090576000001</v>
      </c>
      <c r="J1448">
        <v>1325.1647949000001</v>
      </c>
      <c r="K1448">
        <v>2400</v>
      </c>
      <c r="L1448">
        <v>0</v>
      </c>
      <c r="M1448">
        <v>0</v>
      </c>
      <c r="N1448">
        <v>2400</v>
      </c>
    </row>
    <row r="1449" spans="1:14" x14ac:dyDescent="0.25">
      <c r="A1449">
        <v>731.85732099999996</v>
      </c>
      <c r="B1449" s="1">
        <f>DATE(2012,5,1) + TIME(20,34,32)</f>
        <v>41030.857314814813</v>
      </c>
      <c r="C1449">
        <v>80</v>
      </c>
      <c r="D1449">
        <v>77.427543639999996</v>
      </c>
      <c r="E1449">
        <v>50</v>
      </c>
      <c r="F1449">
        <v>49.873107910000002</v>
      </c>
      <c r="G1449">
        <v>1339.4846190999999</v>
      </c>
      <c r="H1449">
        <v>1336.8660889</v>
      </c>
      <c r="I1449">
        <v>1326.9057617000001</v>
      </c>
      <c r="J1449">
        <v>1325.1613769999999</v>
      </c>
      <c r="K1449">
        <v>2400</v>
      </c>
      <c r="L1449">
        <v>0</v>
      </c>
      <c r="M1449">
        <v>0</v>
      </c>
      <c r="N1449">
        <v>2400</v>
      </c>
    </row>
    <row r="1450" spans="1:14" x14ac:dyDescent="0.25">
      <c r="A1450">
        <v>731.90063599999996</v>
      </c>
      <c r="B1450" s="1">
        <f>DATE(2012,5,1) + TIME(21,36,54)</f>
        <v>41030.900625000002</v>
      </c>
      <c r="C1450">
        <v>80</v>
      </c>
      <c r="D1450">
        <v>77.681449889999996</v>
      </c>
      <c r="E1450">
        <v>50</v>
      </c>
      <c r="F1450">
        <v>49.869152069000002</v>
      </c>
      <c r="G1450">
        <v>1339.5306396000001</v>
      </c>
      <c r="H1450">
        <v>1336.9029541</v>
      </c>
      <c r="I1450">
        <v>1326.9034423999999</v>
      </c>
      <c r="J1450">
        <v>1325.1588135</v>
      </c>
      <c r="K1450">
        <v>2400</v>
      </c>
      <c r="L1450">
        <v>0</v>
      </c>
      <c r="M1450">
        <v>0</v>
      </c>
      <c r="N1450">
        <v>2400</v>
      </c>
    </row>
    <row r="1451" spans="1:14" x14ac:dyDescent="0.25">
      <c r="A1451">
        <v>731.94567300000006</v>
      </c>
      <c r="B1451" s="1">
        <f>DATE(2012,5,1) + TIME(22,41,46)</f>
        <v>41030.945671296293</v>
      </c>
      <c r="C1451">
        <v>80</v>
      </c>
      <c r="D1451">
        <v>77.919448853000006</v>
      </c>
      <c r="E1451">
        <v>50</v>
      </c>
      <c r="F1451">
        <v>49.865077972000002</v>
      </c>
      <c r="G1451">
        <v>1339.5759277</v>
      </c>
      <c r="H1451">
        <v>1336.9388428</v>
      </c>
      <c r="I1451">
        <v>1326.9020995999999</v>
      </c>
      <c r="J1451">
        <v>1325.1572266000001</v>
      </c>
      <c r="K1451">
        <v>2400</v>
      </c>
      <c r="L1451">
        <v>0</v>
      </c>
      <c r="M1451">
        <v>0</v>
      </c>
      <c r="N1451">
        <v>2400</v>
      </c>
    </row>
    <row r="1452" spans="1:14" x14ac:dyDescent="0.25">
      <c r="A1452">
        <v>731.99255800000003</v>
      </c>
      <c r="B1452" s="1">
        <f>DATE(2012,5,1) + TIME(23,49,16)</f>
        <v>41030.992546296293</v>
      </c>
      <c r="C1452">
        <v>80</v>
      </c>
      <c r="D1452">
        <v>78.141670227000006</v>
      </c>
      <c r="E1452">
        <v>50</v>
      </c>
      <c r="F1452">
        <v>49.860877991000002</v>
      </c>
      <c r="G1452">
        <v>1339.6203613</v>
      </c>
      <c r="H1452">
        <v>1336.9738769999999</v>
      </c>
      <c r="I1452">
        <v>1326.9013672000001</v>
      </c>
      <c r="J1452">
        <v>1325.1564940999999</v>
      </c>
      <c r="K1452">
        <v>2400</v>
      </c>
      <c r="L1452">
        <v>0</v>
      </c>
      <c r="M1452">
        <v>0</v>
      </c>
      <c r="N1452">
        <v>2400</v>
      </c>
    </row>
    <row r="1453" spans="1:14" x14ac:dyDescent="0.25">
      <c r="A1453">
        <v>732.04142999999999</v>
      </c>
      <c r="B1453" s="1">
        <f>DATE(2012,5,2) + TIME(0,59,39)</f>
        <v>41031.04142361111</v>
      </c>
      <c r="C1453">
        <v>80</v>
      </c>
      <c r="D1453">
        <v>78.348312378000003</v>
      </c>
      <c r="E1453">
        <v>50</v>
      </c>
      <c r="F1453">
        <v>49.856540680000002</v>
      </c>
      <c r="G1453">
        <v>1339.6639404</v>
      </c>
      <c r="H1453">
        <v>1337.0078125</v>
      </c>
      <c r="I1453">
        <v>1326.9013672000001</v>
      </c>
      <c r="J1453">
        <v>1325.15625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732.092443</v>
      </c>
      <c r="B1454" s="1">
        <f>DATE(2012,5,2) + TIME(2,13,7)</f>
        <v>41031.092442129629</v>
      </c>
      <c r="C1454">
        <v>80</v>
      </c>
      <c r="D1454">
        <v>78.539611816000004</v>
      </c>
      <c r="E1454">
        <v>50</v>
      </c>
      <c r="F1454">
        <v>49.852058411000002</v>
      </c>
      <c r="G1454">
        <v>1339.706543</v>
      </c>
      <c r="H1454">
        <v>1337.0408935999999</v>
      </c>
      <c r="I1454">
        <v>1326.9018555</v>
      </c>
      <c r="J1454">
        <v>1325.1566161999999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732.14577199999997</v>
      </c>
      <c r="B1455" s="1">
        <f>DATE(2012,5,2) + TIME(3,29,54)</f>
        <v>41031.14576388889</v>
      </c>
      <c r="C1455">
        <v>80</v>
      </c>
      <c r="D1455">
        <v>78.715881347999996</v>
      </c>
      <c r="E1455">
        <v>50</v>
      </c>
      <c r="F1455">
        <v>49.847415924000003</v>
      </c>
      <c r="G1455">
        <v>1339.7482910000001</v>
      </c>
      <c r="H1455">
        <v>1337.0731201000001</v>
      </c>
      <c r="I1455">
        <v>1326.902832</v>
      </c>
      <c r="J1455">
        <v>1325.1573486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732.20160799999996</v>
      </c>
      <c r="B1456" s="1">
        <f>DATE(2012,5,2) + TIME(4,50,18)</f>
        <v>41031.201597222222</v>
      </c>
      <c r="C1456">
        <v>80</v>
      </c>
      <c r="D1456">
        <v>78.877479553000001</v>
      </c>
      <c r="E1456">
        <v>50</v>
      </c>
      <c r="F1456">
        <v>49.842601776000002</v>
      </c>
      <c r="G1456">
        <v>1339.7889404</v>
      </c>
      <c r="H1456">
        <v>1337.1042480000001</v>
      </c>
      <c r="I1456">
        <v>1326.9041748</v>
      </c>
      <c r="J1456">
        <v>1325.1585693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732.26017300000001</v>
      </c>
      <c r="B1457" s="1">
        <f>DATE(2012,5,2) + TIME(6,14,38)</f>
        <v>41031.260162037041</v>
      </c>
      <c r="C1457">
        <v>80</v>
      </c>
      <c r="D1457">
        <v>79.024826050000001</v>
      </c>
      <c r="E1457">
        <v>50</v>
      </c>
      <c r="F1457">
        <v>49.837604523000003</v>
      </c>
      <c r="G1457">
        <v>1339.8286132999999</v>
      </c>
      <c r="H1457">
        <v>1337.1343993999999</v>
      </c>
      <c r="I1457">
        <v>1326.9057617000001</v>
      </c>
      <c r="J1457">
        <v>1325.1600341999999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732.32172600000001</v>
      </c>
      <c r="B1458" s="1">
        <f>DATE(2012,5,2) + TIME(7,43,17)</f>
        <v>41031.32172453704</v>
      </c>
      <c r="C1458">
        <v>80</v>
      </c>
      <c r="D1458">
        <v>79.158432007000002</v>
      </c>
      <c r="E1458">
        <v>50</v>
      </c>
      <c r="F1458">
        <v>49.832405090000002</v>
      </c>
      <c r="G1458">
        <v>1339.8671875</v>
      </c>
      <c r="H1458">
        <v>1337.1635742000001</v>
      </c>
      <c r="I1458">
        <v>1326.9074707</v>
      </c>
      <c r="J1458">
        <v>1325.1616211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732.38657499999999</v>
      </c>
      <c r="B1459" s="1">
        <f>DATE(2012,5,2) + TIME(9,16,40)</f>
        <v>41031.386574074073</v>
      </c>
      <c r="C1459">
        <v>80</v>
      </c>
      <c r="D1459">
        <v>79.278839110999996</v>
      </c>
      <c r="E1459">
        <v>50</v>
      </c>
      <c r="F1459">
        <v>49.826980591000002</v>
      </c>
      <c r="G1459">
        <v>1339.9045410000001</v>
      </c>
      <c r="H1459">
        <v>1337.1917725000001</v>
      </c>
      <c r="I1459">
        <v>1326.9094238</v>
      </c>
      <c r="J1459">
        <v>1325.1633300999999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732.455017</v>
      </c>
      <c r="B1460" s="1">
        <f>DATE(2012,5,2) + TIME(10,55,13)</f>
        <v>41031.455011574071</v>
      </c>
      <c r="C1460">
        <v>80</v>
      </c>
      <c r="D1460">
        <v>79.386573791999993</v>
      </c>
      <c r="E1460">
        <v>50</v>
      </c>
      <c r="F1460">
        <v>49.821319580000001</v>
      </c>
      <c r="G1460">
        <v>1339.9407959</v>
      </c>
      <c r="H1460">
        <v>1337.2189940999999</v>
      </c>
      <c r="I1460">
        <v>1326.9113769999999</v>
      </c>
      <c r="J1460">
        <v>1325.1651611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732.52742999999998</v>
      </c>
      <c r="B1461" s="1">
        <f>DATE(2012,5,2) + TIME(12,39,29)</f>
        <v>41031.527418981481</v>
      </c>
      <c r="C1461">
        <v>80</v>
      </c>
      <c r="D1461">
        <v>79.482269286999994</v>
      </c>
      <c r="E1461">
        <v>50</v>
      </c>
      <c r="F1461">
        <v>49.815387725999997</v>
      </c>
      <c r="G1461">
        <v>1339.9757079999999</v>
      </c>
      <c r="H1461">
        <v>1337.2451172000001</v>
      </c>
      <c r="I1461">
        <v>1326.9134521000001</v>
      </c>
      <c r="J1461">
        <v>1325.1669922000001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732.60180200000002</v>
      </c>
      <c r="B1462" s="1">
        <f>DATE(2012,5,2) + TIME(14,26,35)</f>
        <v>41031.601793981485</v>
      </c>
      <c r="C1462">
        <v>80</v>
      </c>
      <c r="D1462">
        <v>79.564361571999996</v>
      </c>
      <c r="E1462">
        <v>50</v>
      </c>
      <c r="F1462">
        <v>49.809349060000002</v>
      </c>
      <c r="G1462">
        <v>1340.0096435999999</v>
      </c>
      <c r="H1462">
        <v>1337.2702637</v>
      </c>
      <c r="I1462">
        <v>1326.9152832</v>
      </c>
      <c r="J1462">
        <v>1325.1688231999999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732.677052</v>
      </c>
      <c r="B1463" s="1">
        <f>DATE(2012,5,2) + TIME(16,14,57)</f>
        <v>41031.677048611113</v>
      </c>
      <c r="C1463">
        <v>80</v>
      </c>
      <c r="D1463">
        <v>79.633544921999999</v>
      </c>
      <c r="E1463">
        <v>50</v>
      </c>
      <c r="F1463">
        <v>49.803283690999997</v>
      </c>
      <c r="G1463">
        <v>1340.0413818</v>
      </c>
      <c r="H1463">
        <v>1337.2937012</v>
      </c>
      <c r="I1463">
        <v>1326.9171143000001</v>
      </c>
      <c r="J1463">
        <v>1325.1704102000001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732.75350900000001</v>
      </c>
      <c r="B1464" s="1">
        <f>DATE(2012,5,2) + TIME(18,5,3)</f>
        <v>41031.753506944442</v>
      </c>
      <c r="C1464">
        <v>80</v>
      </c>
      <c r="D1464">
        <v>79.691879271999994</v>
      </c>
      <c r="E1464">
        <v>50</v>
      </c>
      <c r="F1464">
        <v>49.797161101999997</v>
      </c>
      <c r="G1464">
        <v>1340.0704346</v>
      </c>
      <c r="H1464">
        <v>1337.3151855000001</v>
      </c>
      <c r="I1464">
        <v>1326.9187012</v>
      </c>
      <c r="J1464">
        <v>1325.171875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732.83143600000005</v>
      </c>
      <c r="B1465" s="1">
        <f>DATE(2012,5,2) + TIME(19,57,16)</f>
        <v>41031.831435185188</v>
      </c>
      <c r="C1465">
        <v>80</v>
      </c>
      <c r="D1465">
        <v>79.741035460999996</v>
      </c>
      <c r="E1465">
        <v>50</v>
      </c>
      <c r="F1465">
        <v>49.790966034</v>
      </c>
      <c r="G1465">
        <v>1340.0970459</v>
      </c>
      <c r="H1465">
        <v>1337.3349608999999</v>
      </c>
      <c r="I1465">
        <v>1326.9201660000001</v>
      </c>
      <c r="J1465">
        <v>1325.1732178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732.91108999999994</v>
      </c>
      <c r="B1466" s="1">
        <f>DATE(2012,5,2) + TIME(21,51,58)</f>
        <v>41031.911087962966</v>
      </c>
      <c r="C1466">
        <v>80</v>
      </c>
      <c r="D1466">
        <v>79.782386779999996</v>
      </c>
      <c r="E1466">
        <v>50</v>
      </c>
      <c r="F1466">
        <v>49.784679412999999</v>
      </c>
      <c r="G1466">
        <v>1340.1214600000001</v>
      </c>
      <c r="H1466">
        <v>1337.3530272999999</v>
      </c>
      <c r="I1466">
        <v>1326.9213867000001</v>
      </c>
      <c r="J1466">
        <v>1325.1743164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732.99232400000005</v>
      </c>
      <c r="B1467" s="1">
        <f>DATE(2012,5,2) + TIME(23,48,56)</f>
        <v>41031.992314814815</v>
      </c>
      <c r="C1467">
        <v>80</v>
      </c>
      <c r="D1467">
        <v>79.816955566000004</v>
      </c>
      <c r="E1467">
        <v>50</v>
      </c>
      <c r="F1467">
        <v>49.778312683000003</v>
      </c>
      <c r="G1467">
        <v>1340.1439209</v>
      </c>
      <c r="H1467">
        <v>1337.369751</v>
      </c>
      <c r="I1467">
        <v>1326.9224853999999</v>
      </c>
      <c r="J1467">
        <v>1325.175293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733.07421999999997</v>
      </c>
      <c r="B1468" s="1">
        <f>DATE(2012,5,3) + TIME(1,46,52)</f>
        <v>41032.074212962965</v>
      </c>
      <c r="C1468">
        <v>80</v>
      </c>
      <c r="D1468">
        <v>79.845481872999997</v>
      </c>
      <c r="E1468">
        <v>50</v>
      </c>
      <c r="F1468">
        <v>49.771930695000002</v>
      </c>
      <c r="G1468">
        <v>1340.1644286999999</v>
      </c>
      <c r="H1468">
        <v>1337.3851318</v>
      </c>
      <c r="I1468">
        <v>1326.9234618999999</v>
      </c>
      <c r="J1468">
        <v>1325.1760254000001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733.15697499999999</v>
      </c>
      <c r="B1469" s="1">
        <f>DATE(2012,5,3) + TIME(3,46,2)</f>
        <v>41032.156967592593</v>
      </c>
      <c r="C1469">
        <v>80</v>
      </c>
      <c r="D1469">
        <v>79.869010924999998</v>
      </c>
      <c r="E1469">
        <v>50</v>
      </c>
      <c r="F1469">
        <v>49.765518188000001</v>
      </c>
      <c r="G1469">
        <v>1340.1828613</v>
      </c>
      <c r="H1469">
        <v>1337.3989257999999</v>
      </c>
      <c r="I1469">
        <v>1326.9243164</v>
      </c>
      <c r="J1469">
        <v>1325.1767577999999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733.24075800000003</v>
      </c>
      <c r="B1470" s="1">
        <f>DATE(2012,5,3) + TIME(5,46,41)</f>
        <v>41032.240752314814</v>
      </c>
      <c r="C1470">
        <v>80</v>
      </c>
      <c r="D1470">
        <v>79.888412475999999</v>
      </c>
      <c r="E1470">
        <v>50</v>
      </c>
      <c r="F1470">
        <v>49.759063720999997</v>
      </c>
      <c r="G1470">
        <v>1340.1993408000001</v>
      </c>
      <c r="H1470">
        <v>1337.4113769999999</v>
      </c>
      <c r="I1470">
        <v>1326.9249268000001</v>
      </c>
      <c r="J1470">
        <v>1325.1772461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733.32576100000006</v>
      </c>
      <c r="B1471" s="1">
        <f>DATE(2012,5,3) + TIME(7,49,5)</f>
        <v>41032.325752314813</v>
      </c>
      <c r="C1471">
        <v>80</v>
      </c>
      <c r="D1471">
        <v>79.904403686999999</v>
      </c>
      <c r="E1471">
        <v>50</v>
      </c>
      <c r="F1471">
        <v>49.752555846999996</v>
      </c>
      <c r="G1471">
        <v>1340.2142334</v>
      </c>
      <c r="H1471">
        <v>1337.4227295000001</v>
      </c>
      <c r="I1471">
        <v>1326.9254149999999</v>
      </c>
      <c r="J1471">
        <v>1325.1776123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733.41215299999999</v>
      </c>
      <c r="B1472" s="1">
        <f>DATE(2012,5,3) + TIME(9,53,30)</f>
        <v>41032.412152777775</v>
      </c>
      <c r="C1472">
        <v>80</v>
      </c>
      <c r="D1472">
        <v>79.917572020999998</v>
      </c>
      <c r="E1472">
        <v>50</v>
      </c>
      <c r="F1472">
        <v>49.745979308999999</v>
      </c>
      <c r="G1472">
        <v>1340.2275391000001</v>
      </c>
      <c r="H1472">
        <v>1337.4331055</v>
      </c>
      <c r="I1472">
        <v>1326.9257812000001</v>
      </c>
      <c r="J1472">
        <v>1325.1777344</v>
      </c>
      <c r="K1472">
        <v>2400</v>
      </c>
      <c r="L1472">
        <v>0</v>
      </c>
      <c r="M1472">
        <v>0</v>
      </c>
      <c r="N1472">
        <v>2400</v>
      </c>
    </row>
    <row r="1473" spans="1:14" x14ac:dyDescent="0.25">
      <c r="A1473">
        <v>733.50010499999996</v>
      </c>
      <c r="B1473" s="1">
        <f>DATE(2012,5,3) + TIME(12,0,9)</f>
        <v>41032.500104166669</v>
      </c>
      <c r="C1473">
        <v>80</v>
      </c>
      <c r="D1473">
        <v>79.928390503000003</v>
      </c>
      <c r="E1473">
        <v>50</v>
      </c>
      <c r="F1473">
        <v>49.739322661999999</v>
      </c>
      <c r="G1473">
        <v>1340.2393798999999</v>
      </c>
      <c r="H1473">
        <v>1337.4423827999999</v>
      </c>
      <c r="I1473">
        <v>1326.9260254000001</v>
      </c>
      <c r="J1473">
        <v>1325.1778564000001</v>
      </c>
      <c r="K1473">
        <v>2400</v>
      </c>
      <c r="L1473">
        <v>0</v>
      </c>
      <c r="M1473">
        <v>0</v>
      </c>
      <c r="N1473">
        <v>2400</v>
      </c>
    </row>
    <row r="1474" spans="1:14" x14ac:dyDescent="0.25">
      <c r="A1474">
        <v>733.58981700000004</v>
      </c>
      <c r="B1474" s="1">
        <f>DATE(2012,5,3) + TIME(14,9,20)</f>
        <v>41032.589814814812</v>
      </c>
      <c r="C1474">
        <v>80</v>
      </c>
      <c r="D1474">
        <v>79.937263489000003</v>
      </c>
      <c r="E1474">
        <v>50</v>
      </c>
      <c r="F1474">
        <v>49.732574462999999</v>
      </c>
      <c r="G1474">
        <v>1340.25</v>
      </c>
      <c r="H1474">
        <v>1337.4508057</v>
      </c>
      <c r="I1474">
        <v>1326.9261475000001</v>
      </c>
      <c r="J1474">
        <v>1325.1779785000001</v>
      </c>
      <c r="K1474">
        <v>2400</v>
      </c>
      <c r="L1474">
        <v>0</v>
      </c>
      <c r="M1474">
        <v>0</v>
      </c>
      <c r="N1474">
        <v>2400</v>
      </c>
    </row>
    <row r="1475" spans="1:14" x14ac:dyDescent="0.25">
      <c r="A1475">
        <v>733.68150000000003</v>
      </c>
      <c r="B1475" s="1">
        <f>DATE(2012,5,3) + TIME(16,21,21)</f>
        <v>41032.681493055556</v>
      </c>
      <c r="C1475">
        <v>80</v>
      </c>
      <c r="D1475">
        <v>79.944534301999994</v>
      </c>
      <c r="E1475">
        <v>50</v>
      </c>
      <c r="F1475">
        <v>49.725719452</v>
      </c>
      <c r="G1475">
        <v>1340.2592772999999</v>
      </c>
      <c r="H1475">
        <v>1337.458374</v>
      </c>
      <c r="I1475">
        <v>1326.9262695</v>
      </c>
      <c r="J1475">
        <v>1325.1778564000001</v>
      </c>
      <c r="K1475">
        <v>2400</v>
      </c>
      <c r="L1475">
        <v>0</v>
      </c>
      <c r="M1475">
        <v>0</v>
      </c>
      <c r="N1475">
        <v>2400</v>
      </c>
    </row>
    <row r="1476" spans="1:14" x14ac:dyDescent="0.25">
      <c r="A1476">
        <v>733.77538400000003</v>
      </c>
      <c r="B1476" s="1">
        <f>DATE(2012,5,3) + TIME(18,36,33)</f>
        <v>41032.775381944448</v>
      </c>
      <c r="C1476">
        <v>80</v>
      </c>
      <c r="D1476">
        <v>79.950469971000004</v>
      </c>
      <c r="E1476">
        <v>50</v>
      </c>
      <c r="F1476">
        <v>49.718742370999998</v>
      </c>
      <c r="G1476">
        <v>1340.2667236</v>
      </c>
      <c r="H1476">
        <v>1337.4647216999999</v>
      </c>
      <c r="I1476">
        <v>1326.9262695</v>
      </c>
      <c r="J1476">
        <v>1325.1776123</v>
      </c>
      <c r="K1476">
        <v>2400</v>
      </c>
      <c r="L1476">
        <v>0</v>
      </c>
      <c r="M1476">
        <v>0</v>
      </c>
      <c r="N1476">
        <v>2400</v>
      </c>
    </row>
    <row r="1477" spans="1:14" x14ac:dyDescent="0.25">
      <c r="A1477">
        <v>733.87173199999995</v>
      </c>
      <c r="B1477" s="1">
        <f>DATE(2012,5,3) + TIME(20,55,17)</f>
        <v>41032.871724537035</v>
      </c>
      <c r="C1477">
        <v>80</v>
      </c>
      <c r="D1477">
        <v>79.955314635999997</v>
      </c>
      <c r="E1477">
        <v>50</v>
      </c>
      <c r="F1477">
        <v>49.711627960000001</v>
      </c>
      <c r="G1477">
        <v>1340.2718506000001</v>
      </c>
      <c r="H1477">
        <v>1337.4694824000001</v>
      </c>
      <c r="I1477">
        <v>1326.9261475000001</v>
      </c>
      <c r="J1477">
        <v>1325.1773682</v>
      </c>
      <c r="K1477">
        <v>2400</v>
      </c>
      <c r="L1477">
        <v>0</v>
      </c>
      <c r="M1477">
        <v>0</v>
      </c>
      <c r="N1477">
        <v>2400</v>
      </c>
    </row>
    <row r="1478" spans="1:14" x14ac:dyDescent="0.25">
      <c r="A1478">
        <v>733.97094500000003</v>
      </c>
      <c r="B1478" s="1">
        <f>DATE(2012,5,3) + TIME(23,18,9)</f>
        <v>41032.970937500002</v>
      </c>
      <c r="C1478">
        <v>80</v>
      </c>
      <c r="D1478">
        <v>79.959251404</v>
      </c>
      <c r="E1478">
        <v>50</v>
      </c>
      <c r="F1478">
        <v>49.704345703000001</v>
      </c>
      <c r="G1478">
        <v>1340.276001</v>
      </c>
      <c r="H1478">
        <v>1337.4737548999999</v>
      </c>
      <c r="I1478">
        <v>1326.9259033000001</v>
      </c>
      <c r="J1478">
        <v>1325.1770019999999</v>
      </c>
      <c r="K1478">
        <v>2400</v>
      </c>
      <c r="L1478">
        <v>0</v>
      </c>
      <c r="M1478">
        <v>0</v>
      </c>
      <c r="N1478">
        <v>2400</v>
      </c>
    </row>
    <row r="1479" spans="1:14" x14ac:dyDescent="0.25">
      <c r="A1479">
        <v>734.07341699999995</v>
      </c>
      <c r="B1479" s="1">
        <f>DATE(2012,5,4) + TIME(1,45,43)</f>
        <v>41033.073414351849</v>
      </c>
      <c r="C1479">
        <v>80</v>
      </c>
      <c r="D1479">
        <v>79.962448120000005</v>
      </c>
      <c r="E1479">
        <v>50</v>
      </c>
      <c r="F1479">
        <v>49.696876525999997</v>
      </c>
      <c r="G1479">
        <v>1340.2795410000001</v>
      </c>
      <c r="H1479">
        <v>1337.4774170000001</v>
      </c>
      <c r="I1479">
        <v>1326.9256591999999</v>
      </c>
      <c r="J1479">
        <v>1325.1766356999999</v>
      </c>
      <c r="K1479">
        <v>2400</v>
      </c>
      <c r="L1479">
        <v>0</v>
      </c>
      <c r="M1479">
        <v>0</v>
      </c>
      <c r="N1479">
        <v>2400</v>
      </c>
    </row>
    <row r="1480" spans="1:14" x14ac:dyDescent="0.25">
      <c r="A1480">
        <v>734.17951900000003</v>
      </c>
      <c r="B1480" s="1">
        <f>DATE(2012,5,4) + TIME(4,18,30)</f>
        <v>41033.179513888892</v>
      </c>
      <c r="C1480">
        <v>80</v>
      </c>
      <c r="D1480">
        <v>79.965034485000004</v>
      </c>
      <c r="E1480">
        <v>50</v>
      </c>
      <c r="F1480">
        <v>49.689197540000002</v>
      </c>
      <c r="G1480">
        <v>1340.2822266000001</v>
      </c>
      <c r="H1480">
        <v>1337.4807129000001</v>
      </c>
      <c r="I1480">
        <v>1326.925293</v>
      </c>
      <c r="J1480">
        <v>1325.1761475000001</v>
      </c>
      <c r="K1480">
        <v>2400</v>
      </c>
      <c r="L1480">
        <v>0</v>
      </c>
      <c r="M1480">
        <v>0</v>
      </c>
      <c r="N1480">
        <v>2400</v>
      </c>
    </row>
    <row r="1481" spans="1:14" x14ac:dyDescent="0.25">
      <c r="A1481">
        <v>734.28971200000001</v>
      </c>
      <c r="B1481" s="1">
        <f>DATE(2012,5,4) + TIME(6,57,11)</f>
        <v>41033.289710648147</v>
      </c>
      <c r="C1481">
        <v>80</v>
      </c>
      <c r="D1481">
        <v>79.967117310000006</v>
      </c>
      <c r="E1481">
        <v>50</v>
      </c>
      <c r="F1481">
        <v>49.681278229</v>
      </c>
      <c r="G1481">
        <v>1340.2840576000001</v>
      </c>
      <c r="H1481">
        <v>1337.4833983999999</v>
      </c>
      <c r="I1481">
        <v>1326.9249268000001</v>
      </c>
      <c r="J1481">
        <v>1325.1756591999999</v>
      </c>
      <c r="K1481">
        <v>2400</v>
      </c>
      <c r="L1481">
        <v>0</v>
      </c>
      <c r="M1481">
        <v>0</v>
      </c>
      <c r="N1481">
        <v>2400</v>
      </c>
    </row>
    <row r="1482" spans="1:14" x14ac:dyDescent="0.25">
      <c r="A1482">
        <v>734.40322200000003</v>
      </c>
      <c r="B1482" s="1">
        <f>DATE(2012,5,4) + TIME(9,40,38)</f>
        <v>41033.403217592589</v>
      </c>
      <c r="C1482">
        <v>80</v>
      </c>
      <c r="D1482">
        <v>79.968772888000004</v>
      </c>
      <c r="E1482">
        <v>50</v>
      </c>
      <c r="F1482">
        <v>49.673168181999998</v>
      </c>
      <c r="G1482">
        <v>1340.2852783000001</v>
      </c>
      <c r="H1482">
        <v>1337.4857178</v>
      </c>
      <c r="I1482">
        <v>1326.9245605000001</v>
      </c>
      <c r="J1482">
        <v>1325.1750488</v>
      </c>
      <c r="K1482">
        <v>2400</v>
      </c>
      <c r="L1482">
        <v>0</v>
      </c>
      <c r="M1482">
        <v>0</v>
      </c>
      <c r="N1482">
        <v>2400</v>
      </c>
    </row>
    <row r="1483" spans="1:14" x14ac:dyDescent="0.25">
      <c r="A1483">
        <v>734.51977999999997</v>
      </c>
      <c r="B1483" s="1">
        <f>DATE(2012,5,4) + TIME(12,28,28)</f>
        <v>41033.519768518519</v>
      </c>
      <c r="C1483">
        <v>80</v>
      </c>
      <c r="D1483">
        <v>79.970085143999995</v>
      </c>
      <c r="E1483">
        <v>50</v>
      </c>
      <c r="F1483">
        <v>49.664886475000003</v>
      </c>
      <c r="G1483">
        <v>1340.2857666</v>
      </c>
      <c r="H1483">
        <v>1337.4876709</v>
      </c>
      <c r="I1483">
        <v>1326.9239502</v>
      </c>
      <c r="J1483">
        <v>1325.1743164</v>
      </c>
      <c r="K1483">
        <v>2400</v>
      </c>
      <c r="L1483">
        <v>0</v>
      </c>
      <c r="M1483">
        <v>0</v>
      </c>
      <c r="N1483">
        <v>2400</v>
      </c>
    </row>
    <row r="1484" spans="1:14" x14ac:dyDescent="0.25">
      <c r="A1484">
        <v>734.63876200000004</v>
      </c>
      <c r="B1484" s="1">
        <f>DATE(2012,5,4) + TIME(15,19,48)</f>
        <v>41033.638749999998</v>
      </c>
      <c r="C1484">
        <v>80</v>
      </c>
      <c r="D1484">
        <v>79.971115112000007</v>
      </c>
      <c r="E1484">
        <v>50</v>
      </c>
      <c r="F1484">
        <v>49.656475067000002</v>
      </c>
      <c r="G1484">
        <v>1340.2856445</v>
      </c>
      <c r="H1484">
        <v>1337.4891356999999</v>
      </c>
      <c r="I1484">
        <v>1326.9234618999999</v>
      </c>
      <c r="J1484">
        <v>1325.1735839999999</v>
      </c>
      <c r="K1484">
        <v>2400</v>
      </c>
      <c r="L1484">
        <v>0</v>
      </c>
      <c r="M1484">
        <v>0</v>
      </c>
      <c r="N1484">
        <v>2400</v>
      </c>
    </row>
    <row r="1485" spans="1:14" x14ac:dyDescent="0.25">
      <c r="A1485">
        <v>734.76038800000003</v>
      </c>
      <c r="B1485" s="1">
        <f>DATE(2012,5,4) + TIME(18,14,57)</f>
        <v>41033.760381944441</v>
      </c>
      <c r="C1485">
        <v>80</v>
      </c>
      <c r="D1485">
        <v>79.971923828000001</v>
      </c>
      <c r="E1485">
        <v>50</v>
      </c>
      <c r="F1485">
        <v>49.647918701000002</v>
      </c>
      <c r="G1485">
        <v>1340.2849120999999</v>
      </c>
      <c r="H1485">
        <v>1337.4903564000001</v>
      </c>
      <c r="I1485">
        <v>1326.9228516000001</v>
      </c>
      <c r="J1485">
        <v>1325.1728516000001</v>
      </c>
      <c r="K1485">
        <v>2400</v>
      </c>
      <c r="L1485">
        <v>0</v>
      </c>
      <c r="M1485">
        <v>0</v>
      </c>
      <c r="N1485">
        <v>2400</v>
      </c>
    </row>
    <row r="1486" spans="1:14" x14ac:dyDescent="0.25">
      <c r="A1486">
        <v>734.88490000000002</v>
      </c>
      <c r="B1486" s="1">
        <f>DATE(2012,5,4) + TIME(21,14,15)</f>
        <v>41033.884895833333</v>
      </c>
      <c r="C1486">
        <v>80</v>
      </c>
      <c r="D1486">
        <v>79.972549438000001</v>
      </c>
      <c r="E1486">
        <v>50</v>
      </c>
      <c r="F1486">
        <v>49.639205933</v>
      </c>
      <c r="G1486">
        <v>1340.2835693</v>
      </c>
      <c r="H1486">
        <v>1337.4910889</v>
      </c>
      <c r="I1486">
        <v>1326.9222411999999</v>
      </c>
      <c r="J1486">
        <v>1325.1719971</v>
      </c>
      <c r="K1486">
        <v>2400</v>
      </c>
      <c r="L1486">
        <v>0</v>
      </c>
      <c r="M1486">
        <v>0</v>
      </c>
      <c r="N1486">
        <v>2400</v>
      </c>
    </row>
    <row r="1487" spans="1:14" x14ac:dyDescent="0.25">
      <c r="A1487">
        <v>735.012564</v>
      </c>
      <c r="B1487" s="1">
        <f>DATE(2012,5,5) + TIME(0,18,5)</f>
        <v>41034.012557870374</v>
      </c>
      <c r="C1487">
        <v>80</v>
      </c>
      <c r="D1487">
        <v>79.973045349000003</v>
      </c>
      <c r="E1487">
        <v>50</v>
      </c>
      <c r="F1487">
        <v>49.630317687999998</v>
      </c>
      <c r="G1487">
        <v>1340.2817382999999</v>
      </c>
      <c r="H1487">
        <v>1337.4915771000001</v>
      </c>
      <c r="I1487">
        <v>1326.9215088000001</v>
      </c>
      <c r="J1487">
        <v>1325.1711425999999</v>
      </c>
      <c r="K1487">
        <v>2400</v>
      </c>
      <c r="L1487">
        <v>0</v>
      </c>
      <c r="M1487">
        <v>0</v>
      </c>
      <c r="N1487">
        <v>2400</v>
      </c>
    </row>
    <row r="1488" spans="1:14" x14ac:dyDescent="0.25">
      <c r="A1488">
        <v>735.14367300000004</v>
      </c>
      <c r="B1488" s="1">
        <f>DATE(2012,5,5) + TIME(3,26,53)</f>
        <v>41034.14366898148</v>
      </c>
      <c r="C1488">
        <v>80</v>
      </c>
      <c r="D1488">
        <v>79.973426818999997</v>
      </c>
      <c r="E1488">
        <v>50</v>
      </c>
      <c r="F1488">
        <v>49.621242522999999</v>
      </c>
      <c r="G1488">
        <v>1340.2794189000001</v>
      </c>
      <c r="H1488">
        <v>1337.4918213000001</v>
      </c>
      <c r="I1488">
        <v>1326.9207764</v>
      </c>
      <c r="J1488">
        <v>1325.1701660000001</v>
      </c>
      <c r="K1488">
        <v>2400</v>
      </c>
      <c r="L1488">
        <v>0</v>
      </c>
      <c r="M1488">
        <v>0</v>
      </c>
      <c r="N1488">
        <v>2400</v>
      </c>
    </row>
    <row r="1489" spans="1:14" x14ac:dyDescent="0.25">
      <c r="A1489">
        <v>735.27855599999998</v>
      </c>
      <c r="B1489" s="1">
        <f>DATE(2012,5,5) + TIME(6,41,7)</f>
        <v>41034.278553240743</v>
      </c>
      <c r="C1489">
        <v>80</v>
      </c>
      <c r="D1489">
        <v>79.973731994999994</v>
      </c>
      <c r="E1489">
        <v>50</v>
      </c>
      <c r="F1489">
        <v>49.611961364999999</v>
      </c>
      <c r="G1489">
        <v>1340.2766113</v>
      </c>
      <c r="H1489">
        <v>1337.4916992000001</v>
      </c>
      <c r="I1489">
        <v>1326.9200439000001</v>
      </c>
      <c r="J1489">
        <v>1325.1691894999999</v>
      </c>
      <c r="K1489">
        <v>2400</v>
      </c>
      <c r="L1489">
        <v>0</v>
      </c>
      <c r="M1489">
        <v>0</v>
      </c>
      <c r="N1489">
        <v>2400</v>
      </c>
    </row>
    <row r="1490" spans="1:14" x14ac:dyDescent="0.25">
      <c r="A1490">
        <v>735.41757199999995</v>
      </c>
      <c r="B1490" s="1">
        <f>DATE(2012,5,5) + TIME(10,1,18)</f>
        <v>41034.417569444442</v>
      </c>
      <c r="C1490">
        <v>80</v>
      </c>
      <c r="D1490">
        <v>79.973960876000007</v>
      </c>
      <c r="E1490">
        <v>50</v>
      </c>
      <c r="F1490">
        <v>49.602447509999998</v>
      </c>
      <c r="G1490">
        <v>1340.2723389</v>
      </c>
      <c r="H1490">
        <v>1337.4907227000001</v>
      </c>
      <c r="I1490">
        <v>1326.9193115</v>
      </c>
      <c r="J1490">
        <v>1325.1682129000001</v>
      </c>
      <c r="K1490">
        <v>2400</v>
      </c>
      <c r="L1490">
        <v>0</v>
      </c>
      <c r="M1490">
        <v>0</v>
      </c>
      <c r="N1490">
        <v>2400</v>
      </c>
    </row>
    <row r="1491" spans="1:14" x14ac:dyDescent="0.25">
      <c r="A1491">
        <v>735.56117700000004</v>
      </c>
      <c r="B1491" s="1">
        <f>DATE(2012,5,5) + TIME(13,28,5)</f>
        <v>41034.561168981483</v>
      </c>
      <c r="C1491">
        <v>80</v>
      </c>
      <c r="D1491">
        <v>79.974136353000006</v>
      </c>
      <c r="E1491">
        <v>50</v>
      </c>
      <c r="F1491">
        <v>49.592685699</v>
      </c>
      <c r="G1491">
        <v>1340.2670897999999</v>
      </c>
      <c r="H1491">
        <v>1337.4891356999999</v>
      </c>
      <c r="I1491">
        <v>1326.918457</v>
      </c>
      <c r="J1491">
        <v>1325.1672363</v>
      </c>
      <c r="K1491">
        <v>2400</v>
      </c>
      <c r="L1491">
        <v>0</v>
      </c>
      <c r="M1491">
        <v>0</v>
      </c>
      <c r="N1491">
        <v>2400</v>
      </c>
    </row>
    <row r="1492" spans="1:14" x14ac:dyDescent="0.25">
      <c r="A1492">
        <v>735.70986100000005</v>
      </c>
      <c r="B1492" s="1">
        <f>DATE(2012,5,5) + TIME(17,2,11)</f>
        <v>41034.709849537037</v>
      </c>
      <c r="C1492">
        <v>80</v>
      </c>
      <c r="D1492">
        <v>79.974266052000004</v>
      </c>
      <c r="E1492">
        <v>50</v>
      </c>
      <c r="F1492">
        <v>49.582641602000002</v>
      </c>
      <c r="G1492">
        <v>1340.2614745999999</v>
      </c>
      <c r="H1492">
        <v>1337.4873047000001</v>
      </c>
      <c r="I1492">
        <v>1326.9176024999999</v>
      </c>
      <c r="J1492">
        <v>1325.1661377</v>
      </c>
      <c r="K1492">
        <v>2400</v>
      </c>
      <c r="L1492">
        <v>0</v>
      </c>
      <c r="M1492">
        <v>0</v>
      </c>
      <c r="N1492">
        <v>2400</v>
      </c>
    </row>
    <row r="1493" spans="1:14" x14ac:dyDescent="0.25">
      <c r="A1493">
        <v>735.86461599999996</v>
      </c>
      <c r="B1493" s="1">
        <f>DATE(2012,5,5) + TIME(20,45,2)</f>
        <v>41034.864606481482</v>
      </c>
      <c r="C1493">
        <v>80</v>
      </c>
      <c r="D1493">
        <v>79.974372864000003</v>
      </c>
      <c r="E1493">
        <v>50</v>
      </c>
      <c r="F1493">
        <v>49.572261810000001</v>
      </c>
      <c r="G1493">
        <v>1340.2554932</v>
      </c>
      <c r="H1493">
        <v>1337.4853516000001</v>
      </c>
      <c r="I1493">
        <v>1326.916626</v>
      </c>
      <c r="J1493">
        <v>1325.1649170000001</v>
      </c>
      <c r="K1493">
        <v>2400</v>
      </c>
      <c r="L1493">
        <v>0</v>
      </c>
      <c r="M1493">
        <v>0</v>
      </c>
      <c r="N1493">
        <v>2400</v>
      </c>
    </row>
    <row r="1494" spans="1:14" x14ac:dyDescent="0.25">
      <c r="A1494">
        <v>736.02095699999995</v>
      </c>
      <c r="B1494" s="1">
        <f>DATE(2012,5,6) + TIME(0,30,10)</f>
        <v>41035.020949074074</v>
      </c>
      <c r="C1494">
        <v>80</v>
      </c>
      <c r="D1494">
        <v>79.974441528</v>
      </c>
      <c r="E1494">
        <v>50</v>
      </c>
      <c r="F1494">
        <v>49.56180191</v>
      </c>
      <c r="G1494">
        <v>1340.2493896000001</v>
      </c>
      <c r="H1494">
        <v>1337.4832764</v>
      </c>
      <c r="I1494">
        <v>1326.9157714999999</v>
      </c>
      <c r="J1494">
        <v>1325.1636963000001</v>
      </c>
      <c r="K1494">
        <v>2400</v>
      </c>
      <c r="L1494">
        <v>0</v>
      </c>
      <c r="M1494">
        <v>0</v>
      </c>
      <c r="N1494">
        <v>2400</v>
      </c>
    </row>
    <row r="1495" spans="1:14" x14ac:dyDescent="0.25">
      <c r="A1495">
        <v>736.17873299999997</v>
      </c>
      <c r="B1495" s="1">
        <f>DATE(2012,5,6) + TIME(4,17,22)</f>
        <v>41035.178726851853</v>
      </c>
      <c r="C1495">
        <v>80</v>
      </c>
      <c r="D1495">
        <v>79.974487304999997</v>
      </c>
      <c r="E1495">
        <v>50</v>
      </c>
      <c r="F1495">
        <v>49.551277161000002</v>
      </c>
      <c r="G1495">
        <v>1340.2430420000001</v>
      </c>
      <c r="H1495">
        <v>1337.4812012</v>
      </c>
      <c r="I1495">
        <v>1326.9147949000001</v>
      </c>
      <c r="J1495">
        <v>1325.1624756000001</v>
      </c>
      <c r="K1495">
        <v>2400</v>
      </c>
      <c r="L1495">
        <v>0</v>
      </c>
      <c r="M1495">
        <v>0</v>
      </c>
      <c r="N1495">
        <v>2400</v>
      </c>
    </row>
    <row r="1496" spans="1:14" x14ac:dyDescent="0.25">
      <c r="A1496">
        <v>736.33826599999998</v>
      </c>
      <c r="B1496" s="1">
        <f>DATE(2012,5,6) + TIME(8,7,6)</f>
        <v>41035.338263888887</v>
      </c>
      <c r="C1496">
        <v>80</v>
      </c>
      <c r="D1496">
        <v>79.974525451999995</v>
      </c>
      <c r="E1496">
        <v>50</v>
      </c>
      <c r="F1496">
        <v>49.540668488000001</v>
      </c>
      <c r="G1496">
        <v>1340.2365723</v>
      </c>
      <c r="H1496">
        <v>1337.4790039</v>
      </c>
      <c r="I1496">
        <v>1326.9136963000001</v>
      </c>
      <c r="J1496">
        <v>1325.1612548999999</v>
      </c>
      <c r="K1496">
        <v>2400</v>
      </c>
      <c r="L1496">
        <v>0</v>
      </c>
      <c r="M1496">
        <v>0</v>
      </c>
      <c r="N1496">
        <v>2400</v>
      </c>
    </row>
    <row r="1497" spans="1:14" x14ac:dyDescent="0.25">
      <c r="A1497">
        <v>736.49994700000002</v>
      </c>
      <c r="B1497" s="1">
        <f>DATE(2012,5,6) + TIME(11,59,55)</f>
        <v>41035.499942129631</v>
      </c>
      <c r="C1497">
        <v>80</v>
      </c>
      <c r="D1497">
        <v>79.974540709999999</v>
      </c>
      <c r="E1497">
        <v>50</v>
      </c>
      <c r="F1497">
        <v>49.529960631999998</v>
      </c>
      <c r="G1497">
        <v>1340.2301024999999</v>
      </c>
      <c r="H1497">
        <v>1337.4766846</v>
      </c>
      <c r="I1497">
        <v>1326.9127197</v>
      </c>
      <c r="J1497">
        <v>1325.1599120999999</v>
      </c>
      <c r="K1497">
        <v>2400</v>
      </c>
      <c r="L1497">
        <v>0</v>
      </c>
      <c r="M1497">
        <v>0</v>
      </c>
      <c r="N1497">
        <v>2400</v>
      </c>
    </row>
    <row r="1498" spans="1:14" x14ac:dyDescent="0.25">
      <c r="A1498">
        <v>736.66417200000001</v>
      </c>
      <c r="B1498" s="1">
        <f>DATE(2012,5,6) + TIME(15,56,24)</f>
        <v>41035.664166666669</v>
      </c>
      <c r="C1498">
        <v>80</v>
      </c>
      <c r="D1498">
        <v>79.974555968999994</v>
      </c>
      <c r="E1498">
        <v>50</v>
      </c>
      <c r="F1498">
        <v>49.519130707000002</v>
      </c>
      <c r="G1498">
        <v>1340.2235106999999</v>
      </c>
      <c r="H1498">
        <v>1337.4744873</v>
      </c>
      <c r="I1498">
        <v>1326.9116211</v>
      </c>
      <c r="J1498">
        <v>1325.1585693</v>
      </c>
      <c r="K1498">
        <v>2400</v>
      </c>
      <c r="L1498">
        <v>0</v>
      </c>
      <c r="M1498">
        <v>0</v>
      </c>
      <c r="N1498">
        <v>2400</v>
      </c>
    </row>
    <row r="1499" spans="1:14" x14ac:dyDescent="0.25">
      <c r="A1499">
        <v>736.83135500000003</v>
      </c>
      <c r="B1499" s="1">
        <f>DATE(2012,5,6) + TIME(19,57,9)</f>
        <v>41035.831354166665</v>
      </c>
      <c r="C1499">
        <v>80</v>
      </c>
      <c r="D1499">
        <v>79.974555968999994</v>
      </c>
      <c r="E1499">
        <v>50</v>
      </c>
      <c r="F1499">
        <v>49.508159636999999</v>
      </c>
      <c r="G1499">
        <v>1340.2167969</v>
      </c>
      <c r="H1499">
        <v>1337.4720459</v>
      </c>
      <c r="I1499">
        <v>1326.9106445</v>
      </c>
      <c r="J1499">
        <v>1325.1572266000001</v>
      </c>
      <c r="K1499">
        <v>2400</v>
      </c>
      <c r="L1499">
        <v>0</v>
      </c>
      <c r="M1499">
        <v>0</v>
      </c>
      <c r="N1499">
        <v>2400</v>
      </c>
    </row>
    <row r="1500" spans="1:14" x14ac:dyDescent="0.25">
      <c r="A1500">
        <v>737.00193400000001</v>
      </c>
      <c r="B1500" s="1">
        <f>DATE(2012,5,7) + TIME(0,2,47)</f>
        <v>41036.001932870371</v>
      </c>
      <c r="C1500">
        <v>80</v>
      </c>
      <c r="D1500">
        <v>79.974548339999998</v>
      </c>
      <c r="E1500">
        <v>50</v>
      </c>
      <c r="F1500">
        <v>49.497028350999997</v>
      </c>
      <c r="G1500">
        <v>1340.2100829999999</v>
      </c>
      <c r="H1500">
        <v>1337.4697266000001</v>
      </c>
      <c r="I1500">
        <v>1326.9095459</v>
      </c>
      <c r="J1500">
        <v>1325.1558838000001</v>
      </c>
      <c r="K1500">
        <v>2400</v>
      </c>
      <c r="L1500">
        <v>0</v>
      </c>
      <c r="M1500">
        <v>0</v>
      </c>
      <c r="N1500">
        <v>2400</v>
      </c>
    </row>
    <row r="1501" spans="1:14" x14ac:dyDescent="0.25">
      <c r="A1501">
        <v>737.17637300000001</v>
      </c>
      <c r="B1501" s="1">
        <f>DATE(2012,5,7) + TIME(4,13,58)</f>
        <v>41036.176365740743</v>
      </c>
      <c r="C1501">
        <v>80</v>
      </c>
      <c r="D1501">
        <v>79.974533081000004</v>
      </c>
      <c r="E1501">
        <v>50</v>
      </c>
      <c r="F1501">
        <v>49.485706329000003</v>
      </c>
      <c r="G1501">
        <v>1340.203125</v>
      </c>
      <c r="H1501">
        <v>1337.4672852000001</v>
      </c>
      <c r="I1501">
        <v>1326.9083252</v>
      </c>
      <c r="J1501">
        <v>1325.1544189000001</v>
      </c>
      <c r="K1501">
        <v>2400</v>
      </c>
      <c r="L1501">
        <v>0</v>
      </c>
      <c r="M1501">
        <v>0</v>
      </c>
      <c r="N1501">
        <v>2400</v>
      </c>
    </row>
    <row r="1502" spans="1:14" x14ac:dyDescent="0.25">
      <c r="A1502">
        <v>737.35542999999996</v>
      </c>
      <c r="B1502" s="1">
        <f>DATE(2012,5,7) + TIME(8,31,49)</f>
        <v>41036.355428240742</v>
      </c>
      <c r="C1502">
        <v>80</v>
      </c>
      <c r="D1502">
        <v>79.974517821999996</v>
      </c>
      <c r="E1502">
        <v>50</v>
      </c>
      <c r="F1502">
        <v>49.474159241000002</v>
      </c>
      <c r="G1502">
        <v>1340.1961670000001</v>
      </c>
      <c r="H1502">
        <v>1337.4648437999999</v>
      </c>
      <c r="I1502">
        <v>1326.9072266000001</v>
      </c>
      <c r="J1502">
        <v>1325.152832</v>
      </c>
      <c r="K1502">
        <v>2400</v>
      </c>
      <c r="L1502">
        <v>0</v>
      </c>
      <c r="M1502">
        <v>0</v>
      </c>
      <c r="N1502">
        <v>2400</v>
      </c>
    </row>
    <row r="1503" spans="1:14" x14ac:dyDescent="0.25">
      <c r="A1503">
        <v>737.53763800000002</v>
      </c>
      <c r="B1503" s="1">
        <f>DATE(2012,5,7) + TIME(12,54,11)</f>
        <v>41036.537627314814</v>
      </c>
      <c r="C1503">
        <v>80</v>
      </c>
      <c r="D1503">
        <v>79.974494934000006</v>
      </c>
      <c r="E1503">
        <v>50</v>
      </c>
      <c r="F1503">
        <v>49.462463378999999</v>
      </c>
      <c r="G1503">
        <v>1340.1890868999999</v>
      </c>
      <c r="H1503">
        <v>1337.4624022999999</v>
      </c>
      <c r="I1503">
        <v>1326.9060059000001</v>
      </c>
      <c r="J1503">
        <v>1325.1513672000001</v>
      </c>
      <c r="K1503">
        <v>2400</v>
      </c>
      <c r="L1503">
        <v>0</v>
      </c>
      <c r="M1503">
        <v>0</v>
      </c>
      <c r="N1503">
        <v>2400</v>
      </c>
    </row>
    <row r="1504" spans="1:14" x14ac:dyDescent="0.25">
      <c r="A1504">
        <v>737.72334599999999</v>
      </c>
      <c r="B1504" s="1">
        <f>DATE(2012,5,7) + TIME(17,21,37)</f>
        <v>41036.723344907405</v>
      </c>
      <c r="C1504">
        <v>80</v>
      </c>
      <c r="D1504">
        <v>79.974472046000002</v>
      </c>
      <c r="E1504">
        <v>50</v>
      </c>
      <c r="F1504">
        <v>49.450603485000002</v>
      </c>
      <c r="G1504">
        <v>1340.1820068</v>
      </c>
      <c r="H1504">
        <v>1337.4598389</v>
      </c>
      <c r="I1504">
        <v>1326.9047852000001</v>
      </c>
      <c r="J1504">
        <v>1325.1497803</v>
      </c>
      <c r="K1504">
        <v>2400</v>
      </c>
      <c r="L1504">
        <v>0</v>
      </c>
      <c r="M1504">
        <v>0</v>
      </c>
      <c r="N1504">
        <v>2400</v>
      </c>
    </row>
    <row r="1505" spans="1:14" x14ac:dyDescent="0.25">
      <c r="A1505">
        <v>737.91300799999999</v>
      </c>
      <c r="B1505" s="1">
        <f>DATE(2012,5,7) + TIME(21,54,43)</f>
        <v>41036.912997685184</v>
      </c>
      <c r="C1505">
        <v>80</v>
      </c>
      <c r="D1505">
        <v>79.974449157999999</v>
      </c>
      <c r="E1505">
        <v>50</v>
      </c>
      <c r="F1505">
        <v>49.438560486</v>
      </c>
      <c r="G1505">
        <v>1340.1748047000001</v>
      </c>
      <c r="H1505">
        <v>1337.4573975000001</v>
      </c>
      <c r="I1505">
        <v>1326.9034423999999</v>
      </c>
      <c r="J1505">
        <v>1325.1480713000001</v>
      </c>
      <c r="K1505">
        <v>2400</v>
      </c>
      <c r="L1505">
        <v>0</v>
      </c>
      <c r="M1505">
        <v>0</v>
      </c>
      <c r="N1505">
        <v>2400</v>
      </c>
    </row>
    <row r="1506" spans="1:14" x14ac:dyDescent="0.25">
      <c r="A1506">
        <v>738.10711700000002</v>
      </c>
      <c r="B1506" s="1">
        <f>DATE(2012,5,8) + TIME(2,34,14)</f>
        <v>41037.107106481482</v>
      </c>
      <c r="C1506">
        <v>80</v>
      </c>
      <c r="D1506">
        <v>79.974418639999996</v>
      </c>
      <c r="E1506">
        <v>50</v>
      </c>
      <c r="F1506">
        <v>49.426303863999998</v>
      </c>
      <c r="G1506">
        <v>1340.1676024999999</v>
      </c>
      <c r="H1506">
        <v>1337.4548339999999</v>
      </c>
      <c r="I1506">
        <v>1326.9020995999999</v>
      </c>
      <c r="J1506">
        <v>1325.1463623</v>
      </c>
      <c r="K1506">
        <v>2400</v>
      </c>
      <c r="L1506">
        <v>0</v>
      </c>
      <c r="M1506">
        <v>0</v>
      </c>
      <c r="N1506">
        <v>2400</v>
      </c>
    </row>
    <row r="1507" spans="1:14" x14ac:dyDescent="0.25">
      <c r="A1507">
        <v>738.306197</v>
      </c>
      <c r="B1507" s="1">
        <f>DATE(2012,5,8) + TIME(7,20,55)</f>
        <v>41037.306192129632</v>
      </c>
      <c r="C1507">
        <v>80</v>
      </c>
      <c r="D1507">
        <v>79.974380492999998</v>
      </c>
      <c r="E1507">
        <v>50</v>
      </c>
      <c r="F1507">
        <v>49.413814545000001</v>
      </c>
      <c r="G1507">
        <v>1340.1602783000001</v>
      </c>
      <c r="H1507">
        <v>1337.4523925999999</v>
      </c>
      <c r="I1507">
        <v>1326.9007568</v>
      </c>
      <c r="J1507">
        <v>1325.1446533000001</v>
      </c>
      <c r="K1507">
        <v>2400</v>
      </c>
      <c r="L1507">
        <v>0</v>
      </c>
      <c r="M1507">
        <v>0</v>
      </c>
      <c r="N1507">
        <v>2400</v>
      </c>
    </row>
    <row r="1508" spans="1:14" x14ac:dyDescent="0.25">
      <c r="A1508">
        <v>738.51111500000002</v>
      </c>
      <c r="B1508" s="1">
        <f>DATE(2012,5,8) + TIME(12,16,0)</f>
        <v>41037.511111111111</v>
      </c>
      <c r="C1508">
        <v>80</v>
      </c>
      <c r="D1508">
        <v>79.974349975999999</v>
      </c>
      <c r="E1508">
        <v>50</v>
      </c>
      <c r="F1508">
        <v>49.401046753000003</v>
      </c>
      <c r="G1508">
        <v>1340.1529541</v>
      </c>
      <c r="H1508">
        <v>1337.4498291</v>
      </c>
      <c r="I1508">
        <v>1326.8992920000001</v>
      </c>
      <c r="J1508">
        <v>1325.1428223</v>
      </c>
      <c r="K1508">
        <v>2400</v>
      </c>
      <c r="L1508">
        <v>0</v>
      </c>
      <c r="M1508">
        <v>0</v>
      </c>
      <c r="N1508">
        <v>2400</v>
      </c>
    </row>
    <row r="1509" spans="1:14" x14ac:dyDescent="0.25">
      <c r="A1509">
        <v>738.71860500000003</v>
      </c>
      <c r="B1509" s="1">
        <f>DATE(2012,5,8) + TIME(17,14,47)</f>
        <v>41037.718599537038</v>
      </c>
      <c r="C1509">
        <v>80</v>
      </c>
      <c r="D1509">
        <v>79.974311829000001</v>
      </c>
      <c r="E1509">
        <v>50</v>
      </c>
      <c r="F1509">
        <v>49.388160706000001</v>
      </c>
      <c r="G1509">
        <v>1340.1453856999999</v>
      </c>
      <c r="H1509">
        <v>1337.4472656</v>
      </c>
      <c r="I1509">
        <v>1326.8978271000001</v>
      </c>
      <c r="J1509">
        <v>1325.1408690999999</v>
      </c>
      <c r="K1509">
        <v>2400</v>
      </c>
      <c r="L1509">
        <v>0</v>
      </c>
      <c r="M1509">
        <v>0</v>
      </c>
      <c r="N1509">
        <v>2400</v>
      </c>
    </row>
    <row r="1510" spans="1:14" x14ac:dyDescent="0.25">
      <c r="A1510">
        <v>738.92882899999995</v>
      </c>
      <c r="B1510" s="1">
        <f>DATE(2012,5,8) + TIME(22,17,30)</f>
        <v>41037.928819444445</v>
      </c>
      <c r="C1510">
        <v>80</v>
      </c>
      <c r="D1510">
        <v>79.974273682000003</v>
      </c>
      <c r="E1510">
        <v>50</v>
      </c>
      <c r="F1510">
        <v>49.375160217000001</v>
      </c>
      <c r="G1510">
        <v>1340.1379394999999</v>
      </c>
      <c r="H1510">
        <v>1337.4447021000001</v>
      </c>
      <c r="I1510">
        <v>1326.8963623</v>
      </c>
      <c r="J1510">
        <v>1325.1389160000001</v>
      </c>
      <c r="K1510">
        <v>2400</v>
      </c>
      <c r="L1510">
        <v>0</v>
      </c>
      <c r="M1510">
        <v>0</v>
      </c>
      <c r="N1510">
        <v>2400</v>
      </c>
    </row>
    <row r="1511" spans="1:14" x14ac:dyDescent="0.25">
      <c r="A1511">
        <v>739.14219900000001</v>
      </c>
      <c r="B1511" s="1">
        <f>DATE(2012,5,9) + TIME(3,24,45)</f>
        <v>41038.142187500001</v>
      </c>
      <c r="C1511">
        <v>80</v>
      </c>
      <c r="D1511">
        <v>79.974235535000005</v>
      </c>
      <c r="E1511">
        <v>50</v>
      </c>
      <c r="F1511">
        <v>49.362026215</v>
      </c>
      <c r="G1511">
        <v>1340.1304932</v>
      </c>
      <c r="H1511">
        <v>1337.4421387</v>
      </c>
      <c r="I1511">
        <v>1326.8947754000001</v>
      </c>
      <c r="J1511">
        <v>1325.1368408000001</v>
      </c>
      <c r="K1511">
        <v>2400</v>
      </c>
      <c r="L1511">
        <v>0</v>
      </c>
      <c r="M1511">
        <v>0</v>
      </c>
      <c r="N1511">
        <v>2400</v>
      </c>
    </row>
    <row r="1512" spans="1:14" x14ac:dyDescent="0.25">
      <c r="A1512">
        <v>739.35912099999996</v>
      </c>
      <c r="B1512" s="1">
        <f>DATE(2012,5,9) + TIME(8,37,8)</f>
        <v>41038.359120370369</v>
      </c>
      <c r="C1512">
        <v>80</v>
      </c>
      <c r="D1512">
        <v>79.974197387999993</v>
      </c>
      <c r="E1512">
        <v>50</v>
      </c>
      <c r="F1512">
        <v>49.348739623999997</v>
      </c>
      <c r="G1512">
        <v>1340.1231689000001</v>
      </c>
      <c r="H1512">
        <v>1337.4395752</v>
      </c>
      <c r="I1512">
        <v>1326.8931885</v>
      </c>
      <c r="J1512">
        <v>1325.1347656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739.58007099999998</v>
      </c>
      <c r="B1513" s="1">
        <f>DATE(2012,5,9) + TIME(13,55,18)</f>
        <v>41038.580069444448</v>
      </c>
      <c r="C1513">
        <v>80</v>
      </c>
      <c r="D1513">
        <v>79.974151610999996</v>
      </c>
      <c r="E1513">
        <v>50</v>
      </c>
      <c r="F1513">
        <v>49.335285186999997</v>
      </c>
      <c r="G1513">
        <v>1340.1157227000001</v>
      </c>
      <c r="H1513">
        <v>1337.4370117000001</v>
      </c>
      <c r="I1513">
        <v>1326.8916016000001</v>
      </c>
      <c r="J1513">
        <v>1325.1326904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739.80555900000002</v>
      </c>
      <c r="B1514" s="1">
        <f>DATE(2012,5,9) + TIME(19,20,0)</f>
        <v>41038.805555555555</v>
      </c>
      <c r="C1514">
        <v>80</v>
      </c>
      <c r="D1514">
        <v>79.974113463999998</v>
      </c>
      <c r="E1514">
        <v>50</v>
      </c>
      <c r="F1514">
        <v>49.3216362</v>
      </c>
      <c r="G1514">
        <v>1340.1082764</v>
      </c>
      <c r="H1514">
        <v>1337.4345702999999</v>
      </c>
      <c r="I1514">
        <v>1326.8898925999999</v>
      </c>
      <c r="J1514">
        <v>1325.1304932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740.03613700000005</v>
      </c>
      <c r="B1515" s="1">
        <f>DATE(2012,5,10) + TIME(0,52,2)</f>
        <v>41039.036134259259</v>
      </c>
      <c r="C1515">
        <v>80</v>
      </c>
      <c r="D1515">
        <v>79.974075317</v>
      </c>
      <c r="E1515">
        <v>50</v>
      </c>
      <c r="F1515">
        <v>49.307765961000001</v>
      </c>
      <c r="G1515">
        <v>1340.1008300999999</v>
      </c>
      <c r="H1515">
        <v>1337.4320068</v>
      </c>
      <c r="I1515">
        <v>1326.8881836</v>
      </c>
      <c r="J1515">
        <v>1325.1281738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740.27240400000005</v>
      </c>
      <c r="B1516" s="1">
        <f>DATE(2012,5,10) + TIME(6,32,15)</f>
        <v>41039.27239583333</v>
      </c>
      <c r="C1516">
        <v>80</v>
      </c>
      <c r="D1516">
        <v>79.974029540999993</v>
      </c>
      <c r="E1516">
        <v>50</v>
      </c>
      <c r="F1516">
        <v>49.293651580999999</v>
      </c>
      <c r="G1516">
        <v>1340.0933838000001</v>
      </c>
      <c r="H1516">
        <v>1337.4295654</v>
      </c>
      <c r="I1516">
        <v>1326.8863524999999</v>
      </c>
      <c r="J1516">
        <v>1325.1257324000001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740.51502200000004</v>
      </c>
      <c r="B1517" s="1">
        <f>DATE(2012,5,10) + TIME(12,21,37)</f>
        <v>41039.515011574076</v>
      </c>
      <c r="C1517">
        <v>80</v>
      </c>
      <c r="D1517">
        <v>79.973983765</v>
      </c>
      <c r="E1517">
        <v>50</v>
      </c>
      <c r="F1517">
        <v>49.279258728000002</v>
      </c>
      <c r="G1517">
        <v>1340.0859375</v>
      </c>
      <c r="H1517">
        <v>1337.4270019999999</v>
      </c>
      <c r="I1517">
        <v>1326.8845214999999</v>
      </c>
      <c r="J1517">
        <v>1325.1232910000001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740.76494500000001</v>
      </c>
      <c r="B1518" s="1">
        <f>DATE(2012,5,10) + TIME(18,21,31)</f>
        <v>41039.76494212963</v>
      </c>
      <c r="C1518">
        <v>80</v>
      </c>
      <c r="D1518">
        <v>79.973937988000003</v>
      </c>
      <c r="E1518">
        <v>50</v>
      </c>
      <c r="F1518">
        <v>49.264545441000003</v>
      </c>
      <c r="G1518">
        <v>1340.0783690999999</v>
      </c>
      <c r="H1518">
        <v>1337.4244385</v>
      </c>
      <c r="I1518">
        <v>1326.8825684000001</v>
      </c>
      <c r="J1518">
        <v>1325.1207274999999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741.02347899999995</v>
      </c>
      <c r="B1519" s="1">
        <f>DATE(2012,5,11) + TIME(0,33,48)</f>
        <v>41040.023472222223</v>
      </c>
      <c r="C1519">
        <v>80</v>
      </c>
      <c r="D1519">
        <v>79.973892211999996</v>
      </c>
      <c r="E1519">
        <v>50</v>
      </c>
      <c r="F1519">
        <v>49.249450684000003</v>
      </c>
      <c r="G1519">
        <v>1340.0706786999999</v>
      </c>
      <c r="H1519">
        <v>1337.4219971</v>
      </c>
      <c r="I1519">
        <v>1326.8804932</v>
      </c>
      <c r="J1519">
        <v>1325.1180420000001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741.28645800000004</v>
      </c>
      <c r="B1520" s="1">
        <f>DATE(2012,5,11) + TIME(6,52,29)</f>
        <v>41040.286446759259</v>
      </c>
      <c r="C1520">
        <v>80</v>
      </c>
      <c r="D1520">
        <v>79.973846436000002</v>
      </c>
      <c r="E1520">
        <v>50</v>
      </c>
      <c r="F1520">
        <v>49.234157562</v>
      </c>
      <c r="G1520">
        <v>1340.0629882999999</v>
      </c>
      <c r="H1520">
        <v>1337.4194336</v>
      </c>
      <c r="I1520">
        <v>1326.878418</v>
      </c>
      <c r="J1520">
        <v>1325.1152344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741.55452700000001</v>
      </c>
      <c r="B1521" s="1">
        <f>DATE(2012,5,11) + TIME(13,18,31)</f>
        <v>41040.554525462961</v>
      </c>
      <c r="C1521">
        <v>80</v>
      </c>
      <c r="D1521">
        <v>79.973800659000005</v>
      </c>
      <c r="E1521">
        <v>50</v>
      </c>
      <c r="F1521">
        <v>49.218647003000001</v>
      </c>
      <c r="G1521">
        <v>1340.0552978999999</v>
      </c>
      <c r="H1521">
        <v>1337.4168701000001</v>
      </c>
      <c r="I1521">
        <v>1326.8762207</v>
      </c>
      <c r="J1521">
        <v>1325.1124268000001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741.82827799999995</v>
      </c>
      <c r="B1522" s="1">
        <f>DATE(2012,5,11) + TIME(19,52,43)</f>
        <v>41040.828275462962</v>
      </c>
      <c r="C1522">
        <v>80</v>
      </c>
      <c r="D1522">
        <v>79.973754882999998</v>
      </c>
      <c r="E1522">
        <v>50</v>
      </c>
      <c r="F1522">
        <v>49.202899932999998</v>
      </c>
      <c r="G1522">
        <v>1340.0476074000001</v>
      </c>
      <c r="H1522">
        <v>1337.4144286999999</v>
      </c>
      <c r="I1522">
        <v>1326.8740233999999</v>
      </c>
      <c r="J1522">
        <v>1325.109375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742.10836300000005</v>
      </c>
      <c r="B1523" s="1">
        <f>DATE(2012,5,12) + TIME(2,36,2)</f>
        <v>41041.108356481483</v>
      </c>
      <c r="C1523">
        <v>80</v>
      </c>
      <c r="D1523">
        <v>79.973709106000001</v>
      </c>
      <c r="E1523">
        <v>50</v>
      </c>
      <c r="F1523">
        <v>49.186885834000002</v>
      </c>
      <c r="G1523">
        <v>1340.0399170000001</v>
      </c>
      <c r="H1523">
        <v>1337.4119873</v>
      </c>
      <c r="I1523">
        <v>1326.8717041</v>
      </c>
      <c r="J1523">
        <v>1325.1063231999999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742.39550399999996</v>
      </c>
      <c r="B1524" s="1">
        <f>DATE(2012,5,12) + TIME(9,29,31)</f>
        <v>41041.395497685182</v>
      </c>
      <c r="C1524">
        <v>80</v>
      </c>
      <c r="D1524">
        <v>79.973663329999994</v>
      </c>
      <c r="E1524">
        <v>50</v>
      </c>
      <c r="F1524">
        <v>49.170581818000002</v>
      </c>
      <c r="G1524">
        <v>1340.0322266000001</v>
      </c>
      <c r="H1524">
        <v>1337.4095459</v>
      </c>
      <c r="I1524">
        <v>1326.8692627</v>
      </c>
      <c r="J1524">
        <v>1325.1030272999999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742.68657299999995</v>
      </c>
      <c r="B1525" s="1">
        <f>DATE(2012,5,12) + TIME(16,28,39)</f>
        <v>41041.686562499999</v>
      </c>
      <c r="C1525">
        <v>80</v>
      </c>
      <c r="D1525">
        <v>79.973617554</v>
      </c>
      <c r="E1525">
        <v>50</v>
      </c>
      <c r="F1525">
        <v>49.154121398999997</v>
      </c>
      <c r="G1525">
        <v>1340.0244141000001</v>
      </c>
      <c r="H1525">
        <v>1337.4071045000001</v>
      </c>
      <c r="I1525">
        <v>1326.8666992000001</v>
      </c>
      <c r="J1525">
        <v>1325.0997314000001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742.98165100000006</v>
      </c>
      <c r="B1526" s="1">
        <f>DATE(2012,5,12) + TIME(23,33,34)</f>
        <v>41041.98164351852</v>
      </c>
      <c r="C1526">
        <v>80</v>
      </c>
      <c r="D1526">
        <v>79.973564147999994</v>
      </c>
      <c r="E1526">
        <v>50</v>
      </c>
      <c r="F1526">
        <v>49.137512207</v>
      </c>
      <c r="G1526">
        <v>1340.0167236</v>
      </c>
      <c r="H1526">
        <v>1337.4046631000001</v>
      </c>
      <c r="I1526">
        <v>1326.8641356999999</v>
      </c>
      <c r="J1526">
        <v>1325.0963135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743.28148799999997</v>
      </c>
      <c r="B1527" s="1">
        <f>DATE(2012,5,13) + TIME(6,45,20)</f>
        <v>41042.281481481485</v>
      </c>
      <c r="C1527">
        <v>80</v>
      </c>
      <c r="D1527">
        <v>79.973518372000001</v>
      </c>
      <c r="E1527">
        <v>50</v>
      </c>
      <c r="F1527">
        <v>49.120727539000001</v>
      </c>
      <c r="G1527">
        <v>1340.0091553</v>
      </c>
      <c r="H1527">
        <v>1337.4022216999999</v>
      </c>
      <c r="I1527">
        <v>1326.8615723</v>
      </c>
      <c r="J1527">
        <v>1325.0927733999999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743.586861</v>
      </c>
      <c r="B1528" s="1">
        <f>DATE(2012,5,13) + TIME(14,5,4)</f>
        <v>41042.586851851855</v>
      </c>
      <c r="C1528">
        <v>80</v>
      </c>
      <c r="D1528">
        <v>79.973472595000004</v>
      </c>
      <c r="E1528">
        <v>50</v>
      </c>
      <c r="F1528">
        <v>49.103744507000002</v>
      </c>
      <c r="G1528">
        <v>1340.0015868999999</v>
      </c>
      <c r="H1528">
        <v>1337.3999022999999</v>
      </c>
      <c r="I1528">
        <v>1326.8588867000001</v>
      </c>
      <c r="J1528">
        <v>1325.0891113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743.89860099999999</v>
      </c>
      <c r="B1529" s="1">
        <f>DATE(2012,5,13) + TIME(21,33,59)</f>
        <v>41042.898599537039</v>
      </c>
      <c r="C1529">
        <v>80</v>
      </c>
      <c r="D1529">
        <v>79.973419188999998</v>
      </c>
      <c r="E1529">
        <v>50</v>
      </c>
      <c r="F1529">
        <v>49.086532593000001</v>
      </c>
      <c r="G1529">
        <v>1339.9940185999999</v>
      </c>
      <c r="H1529">
        <v>1337.3975829999999</v>
      </c>
      <c r="I1529">
        <v>1326.8560791</v>
      </c>
      <c r="J1529">
        <v>1325.0853271000001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744.21767499999999</v>
      </c>
      <c r="B1530" s="1">
        <f>DATE(2012,5,14) + TIME(5,13,27)</f>
        <v>41043.217673611114</v>
      </c>
      <c r="C1530">
        <v>80</v>
      </c>
      <c r="D1530">
        <v>79.973373413000004</v>
      </c>
      <c r="E1530">
        <v>50</v>
      </c>
      <c r="F1530">
        <v>49.069046020999998</v>
      </c>
      <c r="G1530">
        <v>1339.9865723</v>
      </c>
      <c r="H1530">
        <v>1337.3952637</v>
      </c>
      <c r="I1530">
        <v>1326.8531493999999</v>
      </c>
      <c r="J1530">
        <v>1325.0814209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744.539447</v>
      </c>
      <c r="B1531" s="1">
        <f>DATE(2012,5,14) + TIME(12,56,48)</f>
        <v>41043.539444444446</v>
      </c>
      <c r="C1531">
        <v>80</v>
      </c>
      <c r="D1531">
        <v>79.973327636999997</v>
      </c>
      <c r="E1531">
        <v>50</v>
      </c>
      <c r="F1531">
        <v>49.051475525000001</v>
      </c>
      <c r="G1531">
        <v>1339.9790039</v>
      </c>
      <c r="H1531">
        <v>1337.3929443</v>
      </c>
      <c r="I1531">
        <v>1326.8502197</v>
      </c>
      <c r="J1531">
        <v>1325.0773925999999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744.86475499999995</v>
      </c>
      <c r="B1532" s="1">
        <f>DATE(2012,5,14) + TIME(20,45,14)</f>
        <v>41043.864745370367</v>
      </c>
      <c r="C1532">
        <v>80</v>
      </c>
      <c r="D1532">
        <v>79.97328186</v>
      </c>
      <c r="E1532">
        <v>50</v>
      </c>
      <c r="F1532">
        <v>49.033802031999997</v>
      </c>
      <c r="G1532">
        <v>1339.9715576000001</v>
      </c>
      <c r="H1532">
        <v>1337.390625</v>
      </c>
      <c r="I1532">
        <v>1326.847168</v>
      </c>
      <c r="J1532">
        <v>1325.0732422000001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745.194436</v>
      </c>
      <c r="B1533" s="1">
        <f>DATE(2012,5,15) + TIME(4,39,59)</f>
        <v>41044.194432870368</v>
      </c>
      <c r="C1533">
        <v>80</v>
      </c>
      <c r="D1533">
        <v>79.973236084000007</v>
      </c>
      <c r="E1533">
        <v>50</v>
      </c>
      <c r="F1533">
        <v>49.015998840000002</v>
      </c>
      <c r="G1533">
        <v>1339.9642334</v>
      </c>
      <c r="H1533">
        <v>1337.3883057</v>
      </c>
      <c r="I1533">
        <v>1326.8441161999999</v>
      </c>
      <c r="J1533">
        <v>1325.0689697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745.52922000000001</v>
      </c>
      <c r="B1534" s="1">
        <f>DATE(2012,5,15) + TIME(12,42,4)</f>
        <v>41044.52921296296</v>
      </c>
      <c r="C1534">
        <v>80</v>
      </c>
      <c r="D1534">
        <v>79.973182678000001</v>
      </c>
      <c r="E1534">
        <v>50</v>
      </c>
      <c r="F1534">
        <v>48.998039245999998</v>
      </c>
      <c r="G1534">
        <v>1339.9569091999999</v>
      </c>
      <c r="H1534">
        <v>1337.3861084</v>
      </c>
      <c r="I1534">
        <v>1326.8409423999999</v>
      </c>
      <c r="J1534">
        <v>1325.0646973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745.86996499999998</v>
      </c>
      <c r="B1535" s="1">
        <f>DATE(2012,5,15) + TIME(20,52,44)</f>
        <v>41044.869953703703</v>
      </c>
      <c r="C1535">
        <v>80</v>
      </c>
      <c r="D1535">
        <v>79.973136901999993</v>
      </c>
      <c r="E1535">
        <v>50</v>
      </c>
      <c r="F1535">
        <v>48.979900360000002</v>
      </c>
      <c r="G1535">
        <v>1339.949707</v>
      </c>
      <c r="H1535">
        <v>1337.3840332</v>
      </c>
      <c r="I1535">
        <v>1326.8376464999999</v>
      </c>
      <c r="J1535">
        <v>1325.0601807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746.21758399999999</v>
      </c>
      <c r="B1536" s="1">
        <f>DATE(2012,5,16) + TIME(5,13,19)</f>
        <v>41045.217581018522</v>
      </c>
      <c r="C1536">
        <v>80</v>
      </c>
      <c r="D1536">
        <v>79.973091124999996</v>
      </c>
      <c r="E1536">
        <v>50</v>
      </c>
      <c r="F1536">
        <v>48.961540221999996</v>
      </c>
      <c r="G1536">
        <v>1339.9425048999999</v>
      </c>
      <c r="H1536">
        <v>1337.3818358999999</v>
      </c>
      <c r="I1536">
        <v>1326.8342285000001</v>
      </c>
      <c r="J1536">
        <v>1325.0555420000001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746.57306900000003</v>
      </c>
      <c r="B1537" s="1">
        <f>DATE(2012,5,16) + TIME(13,45,13)</f>
        <v>41045.573067129626</v>
      </c>
      <c r="C1537">
        <v>80</v>
      </c>
      <c r="D1537">
        <v>79.973045349000003</v>
      </c>
      <c r="E1537">
        <v>50</v>
      </c>
      <c r="F1537">
        <v>48.942920684999997</v>
      </c>
      <c r="G1537">
        <v>1339.9353027</v>
      </c>
      <c r="H1537">
        <v>1337.3796387</v>
      </c>
      <c r="I1537">
        <v>1326.8308105000001</v>
      </c>
      <c r="J1537">
        <v>1325.0507812000001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746.93921899999998</v>
      </c>
      <c r="B1538" s="1">
        <f>DATE(2012,5,16) + TIME(22,32,28)</f>
        <v>41045.939212962963</v>
      </c>
      <c r="C1538">
        <v>80</v>
      </c>
      <c r="D1538">
        <v>79.972999572999996</v>
      </c>
      <c r="E1538">
        <v>50</v>
      </c>
      <c r="F1538">
        <v>48.923938751000001</v>
      </c>
      <c r="G1538">
        <v>1339.9279785000001</v>
      </c>
      <c r="H1538">
        <v>1337.3775635</v>
      </c>
      <c r="I1538">
        <v>1326.8272704999999</v>
      </c>
      <c r="J1538">
        <v>1325.0458983999999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747.31388200000004</v>
      </c>
      <c r="B1539" s="1">
        <f>DATE(2012,5,17) + TIME(7,31,59)</f>
        <v>41046.313877314817</v>
      </c>
      <c r="C1539">
        <v>80</v>
      </c>
      <c r="D1539">
        <v>79.972953795999999</v>
      </c>
      <c r="E1539">
        <v>50</v>
      </c>
      <c r="F1539">
        <v>48.904659271</v>
      </c>
      <c r="G1539">
        <v>1339.9207764</v>
      </c>
      <c r="H1539">
        <v>1337.3753661999999</v>
      </c>
      <c r="I1539">
        <v>1326.8234863</v>
      </c>
      <c r="J1539">
        <v>1325.0407714999999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747.70003399999996</v>
      </c>
      <c r="B1540" s="1">
        <f>DATE(2012,5,17) + TIME(16,48,2)</f>
        <v>41046.700023148151</v>
      </c>
      <c r="C1540">
        <v>80</v>
      </c>
      <c r="D1540">
        <v>79.972908020000006</v>
      </c>
      <c r="E1540">
        <v>50</v>
      </c>
      <c r="F1540">
        <v>48.884975433000001</v>
      </c>
      <c r="G1540">
        <v>1339.9134521000001</v>
      </c>
      <c r="H1540">
        <v>1337.3731689000001</v>
      </c>
      <c r="I1540">
        <v>1326.8195800999999</v>
      </c>
      <c r="J1540">
        <v>1325.0355225000001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748.10078499999997</v>
      </c>
      <c r="B1541" s="1">
        <f>DATE(2012,5,18) + TIME(2,25,7)</f>
        <v>41047.100775462961</v>
      </c>
      <c r="C1541">
        <v>80</v>
      </c>
      <c r="D1541">
        <v>79.972854613999999</v>
      </c>
      <c r="E1541">
        <v>50</v>
      </c>
      <c r="F1541">
        <v>48.864776611000003</v>
      </c>
      <c r="G1541">
        <v>1339.9061279</v>
      </c>
      <c r="H1541">
        <v>1337.3710937999999</v>
      </c>
      <c r="I1541">
        <v>1326.8156738</v>
      </c>
      <c r="J1541">
        <v>1325.0299072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748.51255800000001</v>
      </c>
      <c r="B1542" s="1">
        <f>DATE(2012,5,18) + TIME(12,18,4)</f>
        <v>41047.512546296297</v>
      </c>
      <c r="C1542">
        <v>80</v>
      </c>
      <c r="D1542">
        <v>79.972808838000006</v>
      </c>
      <c r="E1542">
        <v>50</v>
      </c>
      <c r="F1542">
        <v>48.844165801999999</v>
      </c>
      <c r="G1542">
        <v>1339.8988036999999</v>
      </c>
      <c r="H1542">
        <v>1337.3688964999999</v>
      </c>
      <c r="I1542">
        <v>1326.8114014</v>
      </c>
      <c r="J1542">
        <v>1325.0241699000001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748.92684299999996</v>
      </c>
      <c r="B1543" s="1">
        <f>DATE(2012,5,18) + TIME(22,14,39)</f>
        <v>41047.926840277774</v>
      </c>
      <c r="C1543">
        <v>80</v>
      </c>
      <c r="D1543">
        <v>79.972763061999999</v>
      </c>
      <c r="E1543">
        <v>50</v>
      </c>
      <c r="F1543">
        <v>48.823440552000001</v>
      </c>
      <c r="G1543">
        <v>1339.8913574000001</v>
      </c>
      <c r="H1543">
        <v>1337.3666992000001</v>
      </c>
      <c r="I1543">
        <v>1326.8070068</v>
      </c>
      <c r="J1543">
        <v>1325.0180664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749.34496300000001</v>
      </c>
      <c r="B1544" s="1">
        <f>DATE(2012,5,19) + TIME(8,16,44)</f>
        <v>41048.344953703701</v>
      </c>
      <c r="C1544">
        <v>80</v>
      </c>
      <c r="D1544">
        <v>79.972717285000002</v>
      </c>
      <c r="E1544">
        <v>50</v>
      </c>
      <c r="F1544">
        <v>48.802604674999998</v>
      </c>
      <c r="G1544">
        <v>1339.8839111</v>
      </c>
      <c r="H1544">
        <v>1337.364624</v>
      </c>
      <c r="I1544">
        <v>1326.8026123</v>
      </c>
      <c r="J1544">
        <v>1325.0119629000001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749.76800000000003</v>
      </c>
      <c r="B1545" s="1">
        <f>DATE(2012,5,19) + TIME(18,25,55)</f>
        <v>41048.767997685187</v>
      </c>
      <c r="C1545">
        <v>80</v>
      </c>
      <c r="D1545">
        <v>79.972663878999995</v>
      </c>
      <c r="E1545">
        <v>50</v>
      </c>
      <c r="F1545">
        <v>48.781639099000003</v>
      </c>
      <c r="G1545">
        <v>1339.8767089999999</v>
      </c>
      <c r="H1545">
        <v>1337.3625488</v>
      </c>
      <c r="I1545">
        <v>1326.7980957</v>
      </c>
      <c r="J1545">
        <v>1325.0056152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750.19720199999995</v>
      </c>
      <c r="B1546" s="1">
        <f>DATE(2012,5,20) + TIME(4,43,58)</f>
        <v>41049.197199074071</v>
      </c>
      <c r="C1546">
        <v>80</v>
      </c>
      <c r="D1546">
        <v>79.972618103000002</v>
      </c>
      <c r="E1546">
        <v>50</v>
      </c>
      <c r="F1546">
        <v>48.760528563999998</v>
      </c>
      <c r="G1546">
        <v>1339.8695068</v>
      </c>
      <c r="H1546">
        <v>1337.3604736</v>
      </c>
      <c r="I1546">
        <v>1326.793457</v>
      </c>
      <c r="J1546">
        <v>1324.9992675999999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750.63387</v>
      </c>
      <c r="B1547" s="1">
        <f>DATE(2012,5,20) + TIME(15,12,46)</f>
        <v>41049.63386574074</v>
      </c>
      <c r="C1547">
        <v>80</v>
      </c>
      <c r="D1547">
        <v>79.972572326999995</v>
      </c>
      <c r="E1547">
        <v>50</v>
      </c>
      <c r="F1547">
        <v>48.739227294999999</v>
      </c>
      <c r="G1547">
        <v>1339.8624268000001</v>
      </c>
      <c r="H1547">
        <v>1337.3583983999999</v>
      </c>
      <c r="I1547">
        <v>1326.7886963000001</v>
      </c>
      <c r="J1547">
        <v>1324.9925536999999</v>
      </c>
      <c r="K1547">
        <v>2400</v>
      </c>
      <c r="L1547">
        <v>0</v>
      </c>
      <c r="M1547">
        <v>0</v>
      </c>
      <c r="N1547">
        <v>2400</v>
      </c>
    </row>
    <row r="1548" spans="1:14" x14ac:dyDescent="0.25">
      <c r="A1548">
        <v>751.07962299999997</v>
      </c>
      <c r="B1548" s="1">
        <f>DATE(2012,5,21) + TIME(1,54,39)</f>
        <v>41050.079618055555</v>
      </c>
      <c r="C1548">
        <v>80</v>
      </c>
      <c r="D1548">
        <v>79.972526549999998</v>
      </c>
      <c r="E1548">
        <v>50</v>
      </c>
      <c r="F1548">
        <v>48.717685699</v>
      </c>
      <c r="G1548">
        <v>1339.8553466999999</v>
      </c>
      <c r="H1548">
        <v>1337.3564452999999</v>
      </c>
      <c r="I1548">
        <v>1326.7838135</v>
      </c>
      <c r="J1548">
        <v>1324.9858397999999</v>
      </c>
      <c r="K1548">
        <v>2400</v>
      </c>
      <c r="L1548">
        <v>0</v>
      </c>
      <c r="M1548">
        <v>0</v>
      </c>
      <c r="N1548">
        <v>2400</v>
      </c>
    </row>
    <row r="1549" spans="1:14" x14ac:dyDescent="0.25">
      <c r="A1549">
        <v>751.53598199999999</v>
      </c>
      <c r="B1549" s="1">
        <f>DATE(2012,5,21) + TIME(12,51,48)</f>
        <v>41050.53597222222</v>
      </c>
      <c r="C1549">
        <v>80</v>
      </c>
      <c r="D1549">
        <v>79.972480774000005</v>
      </c>
      <c r="E1549">
        <v>50</v>
      </c>
      <c r="F1549">
        <v>48.695846558</v>
      </c>
      <c r="G1549">
        <v>1339.8483887</v>
      </c>
      <c r="H1549">
        <v>1337.3543701000001</v>
      </c>
      <c r="I1549">
        <v>1326.7788086</v>
      </c>
      <c r="J1549">
        <v>1324.9787598</v>
      </c>
      <c r="K1549">
        <v>2400</v>
      </c>
      <c r="L1549">
        <v>0</v>
      </c>
      <c r="M1549">
        <v>0</v>
      </c>
      <c r="N1549">
        <v>2400</v>
      </c>
    </row>
    <row r="1550" spans="1:14" x14ac:dyDescent="0.25">
      <c r="A1550">
        <v>751.99890100000005</v>
      </c>
      <c r="B1550" s="1">
        <f>DATE(2012,5,21) + TIME(23,58,25)</f>
        <v>41050.998900462961</v>
      </c>
      <c r="C1550">
        <v>80</v>
      </c>
      <c r="D1550">
        <v>79.972434997999997</v>
      </c>
      <c r="E1550">
        <v>50</v>
      </c>
      <c r="F1550">
        <v>48.673828125</v>
      </c>
      <c r="G1550">
        <v>1339.8413086</v>
      </c>
      <c r="H1550">
        <v>1337.3524170000001</v>
      </c>
      <c r="I1550">
        <v>1326.7736815999999</v>
      </c>
      <c r="J1550">
        <v>1324.9715576000001</v>
      </c>
      <c r="K1550">
        <v>2400</v>
      </c>
      <c r="L1550">
        <v>0</v>
      </c>
      <c r="M1550">
        <v>0</v>
      </c>
      <c r="N1550">
        <v>2400</v>
      </c>
    </row>
    <row r="1551" spans="1:14" x14ac:dyDescent="0.25">
      <c r="A1551">
        <v>752.46488599999998</v>
      </c>
      <c r="B1551" s="1">
        <f>DATE(2012,5,22) + TIME(11,9,26)</f>
        <v>41051.464884259258</v>
      </c>
      <c r="C1551">
        <v>80</v>
      </c>
      <c r="D1551">
        <v>79.972389221</v>
      </c>
      <c r="E1551">
        <v>50</v>
      </c>
      <c r="F1551">
        <v>48.651756286999998</v>
      </c>
      <c r="G1551">
        <v>1339.8342285000001</v>
      </c>
      <c r="H1551">
        <v>1337.3503418</v>
      </c>
      <c r="I1551">
        <v>1326.7684326000001</v>
      </c>
      <c r="J1551">
        <v>1324.9641113</v>
      </c>
      <c r="K1551">
        <v>2400</v>
      </c>
      <c r="L1551">
        <v>0</v>
      </c>
      <c r="M1551">
        <v>0</v>
      </c>
      <c r="N1551">
        <v>2400</v>
      </c>
    </row>
    <row r="1552" spans="1:14" x14ac:dyDescent="0.25">
      <c r="A1552">
        <v>752.935293</v>
      </c>
      <c r="B1552" s="1">
        <f>DATE(2012,5,22) + TIME(22,26,49)</f>
        <v>41051.935289351852</v>
      </c>
      <c r="C1552">
        <v>80</v>
      </c>
      <c r="D1552">
        <v>79.972343445000007</v>
      </c>
      <c r="E1552">
        <v>50</v>
      </c>
      <c r="F1552">
        <v>48.629615784000002</v>
      </c>
      <c r="G1552">
        <v>1339.8273925999999</v>
      </c>
      <c r="H1552">
        <v>1337.3483887</v>
      </c>
      <c r="I1552">
        <v>1326.7630615</v>
      </c>
      <c r="J1552">
        <v>1324.9566649999999</v>
      </c>
      <c r="K1552">
        <v>2400</v>
      </c>
      <c r="L1552">
        <v>0</v>
      </c>
      <c r="M1552">
        <v>0</v>
      </c>
      <c r="N1552">
        <v>2400</v>
      </c>
    </row>
    <row r="1553" spans="1:14" x14ac:dyDescent="0.25">
      <c r="A1553">
        <v>753.41160100000002</v>
      </c>
      <c r="B1553" s="1">
        <f>DATE(2012,5,23) + TIME(9,52,42)</f>
        <v>41052.411597222221</v>
      </c>
      <c r="C1553">
        <v>80</v>
      </c>
      <c r="D1553">
        <v>79.972297667999996</v>
      </c>
      <c r="E1553">
        <v>50</v>
      </c>
      <c r="F1553">
        <v>48.607379913000003</v>
      </c>
      <c r="G1553">
        <v>1339.8205565999999</v>
      </c>
      <c r="H1553">
        <v>1337.3464355000001</v>
      </c>
      <c r="I1553">
        <v>1326.7575684000001</v>
      </c>
      <c r="J1553">
        <v>1324.9488524999999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753.89544999999998</v>
      </c>
      <c r="B1554" s="1">
        <f>DATE(2012,5,23) + TIME(21,29,26)</f>
        <v>41052.895439814813</v>
      </c>
      <c r="C1554">
        <v>80</v>
      </c>
      <c r="D1554">
        <v>79.972251892000003</v>
      </c>
      <c r="E1554">
        <v>50</v>
      </c>
      <c r="F1554">
        <v>48.58499527</v>
      </c>
      <c r="G1554">
        <v>1339.8138428</v>
      </c>
      <c r="H1554">
        <v>1337.3446045000001</v>
      </c>
      <c r="I1554">
        <v>1326.7519531</v>
      </c>
      <c r="J1554">
        <v>1324.9410399999999</v>
      </c>
      <c r="K1554">
        <v>2400</v>
      </c>
      <c r="L1554">
        <v>0</v>
      </c>
      <c r="M1554">
        <v>0</v>
      </c>
      <c r="N1554">
        <v>2400</v>
      </c>
    </row>
    <row r="1555" spans="1:14" x14ac:dyDescent="0.25">
      <c r="A1555">
        <v>754.388284</v>
      </c>
      <c r="B1555" s="1">
        <f>DATE(2012,5,24) + TIME(9,19,7)</f>
        <v>41053.388275462959</v>
      </c>
      <c r="C1555">
        <v>80</v>
      </c>
      <c r="D1555">
        <v>79.972213745000005</v>
      </c>
      <c r="E1555">
        <v>50</v>
      </c>
      <c r="F1555">
        <v>48.562416077000002</v>
      </c>
      <c r="G1555">
        <v>1339.8071289</v>
      </c>
      <c r="H1555">
        <v>1337.3426514</v>
      </c>
      <c r="I1555">
        <v>1326.7462158000001</v>
      </c>
      <c r="J1555">
        <v>1324.9329834</v>
      </c>
      <c r="K1555">
        <v>2400</v>
      </c>
      <c r="L1555">
        <v>0</v>
      </c>
      <c r="M1555">
        <v>0</v>
      </c>
      <c r="N1555">
        <v>2400</v>
      </c>
    </row>
    <row r="1556" spans="1:14" x14ac:dyDescent="0.25">
      <c r="A1556">
        <v>754.89187900000002</v>
      </c>
      <c r="B1556" s="1">
        <f>DATE(2012,5,24) + TIME(21,24,18)</f>
        <v>41053.891875000001</v>
      </c>
      <c r="C1556">
        <v>80</v>
      </c>
      <c r="D1556">
        <v>79.972167968999997</v>
      </c>
      <c r="E1556">
        <v>50</v>
      </c>
      <c r="F1556">
        <v>48.539585113999998</v>
      </c>
      <c r="G1556">
        <v>1339.8004149999999</v>
      </c>
      <c r="H1556">
        <v>1337.3406981999999</v>
      </c>
      <c r="I1556">
        <v>1326.7403564000001</v>
      </c>
      <c r="J1556">
        <v>1324.9246826000001</v>
      </c>
      <c r="K1556">
        <v>2400</v>
      </c>
      <c r="L1556">
        <v>0</v>
      </c>
      <c r="M1556">
        <v>0</v>
      </c>
      <c r="N1556">
        <v>2400</v>
      </c>
    </row>
    <row r="1557" spans="1:14" x14ac:dyDescent="0.25">
      <c r="A1557">
        <v>755.41097100000002</v>
      </c>
      <c r="B1557" s="1">
        <f>DATE(2012,5,25) + TIME(9,51,47)</f>
        <v>41054.410960648151</v>
      </c>
      <c r="C1557">
        <v>80</v>
      </c>
      <c r="D1557">
        <v>79.972122192</v>
      </c>
      <c r="E1557">
        <v>50</v>
      </c>
      <c r="F1557">
        <v>48.516353606999999</v>
      </c>
      <c r="G1557">
        <v>1339.7937012</v>
      </c>
      <c r="H1557">
        <v>1337.3387451000001</v>
      </c>
      <c r="I1557">
        <v>1326.7342529</v>
      </c>
      <c r="J1557">
        <v>1324.9161377</v>
      </c>
      <c r="K1557">
        <v>2400</v>
      </c>
      <c r="L1557">
        <v>0</v>
      </c>
      <c r="M1557">
        <v>0</v>
      </c>
      <c r="N1557">
        <v>2400</v>
      </c>
    </row>
    <row r="1558" spans="1:14" x14ac:dyDescent="0.25">
      <c r="A1558">
        <v>755.95049500000005</v>
      </c>
      <c r="B1558" s="1">
        <f>DATE(2012,5,25) + TIME(22,48,42)</f>
        <v>41054.950486111113</v>
      </c>
      <c r="C1558">
        <v>80</v>
      </c>
      <c r="D1558">
        <v>79.972084045000003</v>
      </c>
      <c r="E1558">
        <v>50</v>
      </c>
      <c r="F1558">
        <v>48.492557525999999</v>
      </c>
      <c r="G1558">
        <v>1339.7868652</v>
      </c>
      <c r="H1558">
        <v>1337.3367920000001</v>
      </c>
      <c r="I1558">
        <v>1326.7280272999999</v>
      </c>
      <c r="J1558">
        <v>1324.9072266000001</v>
      </c>
      <c r="K1558">
        <v>2400</v>
      </c>
      <c r="L1558">
        <v>0</v>
      </c>
      <c r="M1558">
        <v>0</v>
      </c>
      <c r="N1558">
        <v>2400</v>
      </c>
    </row>
    <row r="1559" spans="1:14" x14ac:dyDescent="0.25">
      <c r="A1559">
        <v>756.51375599999994</v>
      </c>
      <c r="B1559" s="1">
        <f>DATE(2012,5,26) + TIME(12,19,48)</f>
        <v>41055.513749999998</v>
      </c>
      <c r="C1559">
        <v>80</v>
      </c>
      <c r="D1559">
        <v>79.972038268999995</v>
      </c>
      <c r="E1559">
        <v>50</v>
      </c>
      <c r="F1559">
        <v>48.468070984000001</v>
      </c>
      <c r="G1559">
        <v>1339.7799072</v>
      </c>
      <c r="H1559">
        <v>1337.3348389</v>
      </c>
      <c r="I1559">
        <v>1326.7214355000001</v>
      </c>
      <c r="J1559">
        <v>1324.8979492000001</v>
      </c>
      <c r="K1559">
        <v>2400</v>
      </c>
      <c r="L1559">
        <v>0</v>
      </c>
      <c r="M1559">
        <v>0</v>
      </c>
      <c r="N1559">
        <v>2400</v>
      </c>
    </row>
    <row r="1560" spans="1:14" x14ac:dyDescent="0.25">
      <c r="A1560">
        <v>757.10480099999995</v>
      </c>
      <c r="B1560" s="1">
        <f>DATE(2012,5,27) + TIME(2,30,54)</f>
        <v>41056.104791666665</v>
      </c>
      <c r="C1560">
        <v>80</v>
      </c>
      <c r="D1560">
        <v>79.971992493000002</v>
      </c>
      <c r="E1560">
        <v>50</v>
      </c>
      <c r="F1560">
        <v>48.442741394000002</v>
      </c>
      <c r="G1560">
        <v>1339.7728271000001</v>
      </c>
      <c r="H1560">
        <v>1337.3327637</v>
      </c>
      <c r="I1560">
        <v>1326.7144774999999</v>
      </c>
      <c r="J1560">
        <v>1324.8881836</v>
      </c>
      <c r="K1560">
        <v>2400</v>
      </c>
      <c r="L1560">
        <v>0</v>
      </c>
      <c r="M1560">
        <v>0</v>
      </c>
      <c r="N1560">
        <v>2400</v>
      </c>
    </row>
    <row r="1561" spans="1:14" x14ac:dyDescent="0.25">
      <c r="A1561">
        <v>757.69919300000004</v>
      </c>
      <c r="B1561" s="1">
        <f>DATE(2012,5,27) + TIME(16,46,50)</f>
        <v>41056.699189814812</v>
      </c>
      <c r="C1561">
        <v>80</v>
      </c>
      <c r="D1561">
        <v>79.971946716000005</v>
      </c>
      <c r="E1561">
        <v>50</v>
      </c>
      <c r="F1561">
        <v>48.417144774999997</v>
      </c>
      <c r="G1561">
        <v>1339.765625</v>
      </c>
      <c r="H1561">
        <v>1337.3306885</v>
      </c>
      <c r="I1561">
        <v>1326.7072754000001</v>
      </c>
      <c r="J1561">
        <v>1324.8779297000001</v>
      </c>
      <c r="K1561">
        <v>2400</v>
      </c>
      <c r="L1561">
        <v>0</v>
      </c>
      <c r="M1561">
        <v>0</v>
      </c>
      <c r="N1561">
        <v>2400</v>
      </c>
    </row>
    <row r="1562" spans="1:14" x14ac:dyDescent="0.25">
      <c r="A1562">
        <v>758.29614600000002</v>
      </c>
      <c r="B1562" s="1">
        <f>DATE(2012,5,28) + TIME(7,6,27)</f>
        <v>41057.29614583333</v>
      </c>
      <c r="C1562">
        <v>80</v>
      </c>
      <c r="D1562">
        <v>79.971900939999998</v>
      </c>
      <c r="E1562">
        <v>50</v>
      </c>
      <c r="F1562">
        <v>48.391445160000004</v>
      </c>
      <c r="G1562">
        <v>1339.7584228999999</v>
      </c>
      <c r="H1562">
        <v>1337.3286132999999</v>
      </c>
      <c r="I1562">
        <v>1326.6998291</v>
      </c>
      <c r="J1562">
        <v>1324.8674315999999</v>
      </c>
      <c r="K1562">
        <v>2400</v>
      </c>
      <c r="L1562">
        <v>0</v>
      </c>
      <c r="M1562">
        <v>0</v>
      </c>
      <c r="N1562">
        <v>2400</v>
      </c>
    </row>
    <row r="1563" spans="1:14" x14ac:dyDescent="0.25">
      <c r="A1563">
        <v>758.89788299999998</v>
      </c>
      <c r="B1563" s="1">
        <f>DATE(2012,5,28) + TIME(21,32,57)</f>
        <v>41057.897881944446</v>
      </c>
      <c r="C1563">
        <v>80</v>
      </c>
      <c r="D1563">
        <v>79.971862793</v>
      </c>
      <c r="E1563">
        <v>50</v>
      </c>
      <c r="F1563">
        <v>48.365676880000002</v>
      </c>
      <c r="G1563">
        <v>1339.7514647999999</v>
      </c>
      <c r="H1563">
        <v>1337.3265381000001</v>
      </c>
      <c r="I1563">
        <v>1326.6923827999999</v>
      </c>
      <c r="J1563">
        <v>1324.8568115</v>
      </c>
      <c r="K1563">
        <v>2400</v>
      </c>
      <c r="L1563">
        <v>0</v>
      </c>
      <c r="M1563">
        <v>0</v>
      </c>
      <c r="N1563">
        <v>2400</v>
      </c>
    </row>
    <row r="1564" spans="1:14" x14ac:dyDescent="0.25">
      <c r="A1564">
        <v>759.50675000000001</v>
      </c>
      <c r="B1564" s="1">
        <f>DATE(2012,5,29) + TIME(12,9,43)</f>
        <v>41058.506747685184</v>
      </c>
      <c r="C1564">
        <v>80</v>
      </c>
      <c r="D1564">
        <v>79.971817017000006</v>
      </c>
      <c r="E1564">
        <v>50</v>
      </c>
      <c r="F1564">
        <v>48.339828490999999</v>
      </c>
      <c r="G1564">
        <v>1339.7445068</v>
      </c>
      <c r="H1564">
        <v>1337.3244629000001</v>
      </c>
      <c r="I1564">
        <v>1326.6848144999999</v>
      </c>
      <c r="J1564">
        <v>1324.8459473</v>
      </c>
      <c r="K1564">
        <v>2400</v>
      </c>
      <c r="L1564">
        <v>0</v>
      </c>
      <c r="M1564">
        <v>0</v>
      </c>
      <c r="N1564">
        <v>2400</v>
      </c>
    </row>
    <row r="1565" spans="1:14" x14ac:dyDescent="0.25">
      <c r="A1565">
        <v>760.12481100000002</v>
      </c>
      <c r="B1565" s="1">
        <f>DATE(2012,5,30) + TIME(2,59,43)</f>
        <v>41059.124803240738</v>
      </c>
      <c r="C1565">
        <v>80</v>
      </c>
      <c r="D1565">
        <v>79.971771239999995</v>
      </c>
      <c r="E1565">
        <v>50</v>
      </c>
      <c r="F1565">
        <v>48.313850403000004</v>
      </c>
      <c r="G1565">
        <v>1339.7376709</v>
      </c>
      <c r="H1565">
        <v>1337.3225098</v>
      </c>
      <c r="I1565">
        <v>1326.6770019999999</v>
      </c>
      <c r="J1565">
        <v>1324.8349608999999</v>
      </c>
      <c r="K1565">
        <v>2400</v>
      </c>
      <c r="L1565">
        <v>0</v>
      </c>
      <c r="M1565">
        <v>0</v>
      </c>
      <c r="N1565">
        <v>2400</v>
      </c>
    </row>
    <row r="1566" spans="1:14" x14ac:dyDescent="0.25">
      <c r="A1566">
        <v>760.75446999999997</v>
      </c>
      <c r="B1566" s="1">
        <f>DATE(2012,5,30) + TIME(18,6,26)</f>
        <v>41059.754467592589</v>
      </c>
      <c r="C1566">
        <v>80</v>
      </c>
      <c r="D1566">
        <v>79.971733092999997</v>
      </c>
      <c r="E1566">
        <v>50</v>
      </c>
      <c r="F1566">
        <v>48.287685394</v>
      </c>
      <c r="G1566">
        <v>1339.7308350000001</v>
      </c>
      <c r="H1566">
        <v>1337.3204346</v>
      </c>
      <c r="I1566">
        <v>1326.6691894999999</v>
      </c>
      <c r="J1566">
        <v>1324.8236084</v>
      </c>
      <c r="K1566">
        <v>2400</v>
      </c>
      <c r="L1566">
        <v>0</v>
      </c>
      <c r="M1566">
        <v>0</v>
      </c>
      <c r="N1566">
        <v>2400</v>
      </c>
    </row>
    <row r="1567" spans="1:14" x14ac:dyDescent="0.25">
      <c r="A1567">
        <v>761.39793499999996</v>
      </c>
      <c r="B1567" s="1">
        <f>DATE(2012,5,31) + TIME(9,33,1)</f>
        <v>41060.397928240738</v>
      </c>
      <c r="C1567">
        <v>80</v>
      </c>
      <c r="D1567">
        <v>79.971687317000004</v>
      </c>
      <c r="E1567">
        <v>50</v>
      </c>
      <c r="F1567">
        <v>48.261257172000001</v>
      </c>
      <c r="G1567">
        <v>1339.723999</v>
      </c>
      <c r="H1567">
        <v>1337.3183594</v>
      </c>
      <c r="I1567">
        <v>1326.6610106999999</v>
      </c>
      <c r="J1567">
        <v>1324.8120117000001</v>
      </c>
      <c r="K1567">
        <v>2400</v>
      </c>
      <c r="L1567">
        <v>0</v>
      </c>
      <c r="M1567">
        <v>0</v>
      </c>
      <c r="N1567">
        <v>2400</v>
      </c>
    </row>
    <row r="1568" spans="1:14" x14ac:dyDescent="0.25">
      <c r="A1568">
        <v>762</v>
      </c>
      <c r="B1568" s="1">
        <f>DATE(2012,6,1) + TIME(0,0,0)</f>
        <v>41061</v>
      </c>
      <c r="C1568">
        <v>80</v>
      </c>
      <c r="D1568">
        <v>79.971649170000006</v>
      </c>
      <c r="E1568">
        <v>50</v>
      </c>
      <c r="F1568">
        <v>48.235866547000001</v>
      </c>
      <c r="G1568">
        <v>1339.7172852000001</v>
      </c>
      <c r="H1568">
        <v>1337.3164062000001</v>
      </c>
      <c r="I1568">
        <v>1326.652832</v>
      </c>
      <c r="J1568">
        <v>1324.800293</v>
      </c>
      <c r="K1568">
        <v>2400</v>
      </c>
      <c r="L1568">
        <v>0</v>
      </c>
      <c r="M1568">
        <v>0</v>
      </c>
      <c r="N1568">
        <v>2400</v>
      </c>
    </row>
    <row r="1569" spans="1:14" x14ac:dyDescent="0.25">
      <c r="A1569">
        <v>762.64825599999995</v>
      </c>
      <c r="B1569" s="1">
        <f>DATE(2012,6,1) + TIME(15,33,29)</f>
        <v>41061.648252314815</v>
      </c>
      <c r="C1569">
        <v>80</v>
      </c>
      <c r="D1569">
        <v>79.971611022999994</v>
      </c>
      <c r="E1569">
        <v>50</v>
      </c>
      <c r="F1569">
        <v>48.209789276000002</v>
      </c>
      <c r="G1569">
        <v>1339.7106934000001</v>
      </c>
      <c r="H1569">
        <v>1337.3143310999999</v>
      </c>
      <c r="I1569">
        <v>1326.6447754000001</v>
      </c>
      <c r="J1569">
        <v>1324.7888184000001</v>
      </c>
      <c r="K1569">
        <v>2400</v>
      </c>
      <c r="L1569">
        <v>0</v>
      </c>
      <c r="M1569">
        <v>0</v>
      </c>
      <c r="N1569">
        <v>2400</v>
      </c>
    </row>
    <row r="1570" spans="1:14" x14ac:dyDescent="0.25">
      <c r="A1570">
        <v>763.31331899999998</v>
      </c>
      <c r="B1570" s="1">
        <f>DATE(2012,6,2) + TIME(7,31,10)</f>
        <v>41062.313310185185</v>
      </c>
      <c r="C1570">
        <v>80</v>
      </c>
      <c r="D1570">
        <v>79.971572875999996</v>
      </c>
      <c r="E1570">
        <v>50</v>
      </c>
      <c r="F1570">
        <v>48.183338165000002</v>
      </c>
      <c r="G1570">
        <v>1339.7037353999999</v>
      </c>
      <c r="H1570">
        <v>1337.3120117000001</v>
      </c>
      <c r="I1570">
        <v>1326.6363524999999</v>
      </c>
      <c r="J1570">
        <v>1324.7767334</v>
      </c>
      <c r="K1570">
        <v>2400</v>
      </c>
      <c r="L1570">
        <v>0</v>
      </c>
      <c r="M1570">
        <v>0</v>
      </c>
      <c r="N1570">
        <v>2400</v>
      </c>
    </row>
    <row r="1571" spans="1:14" x14ac:dyDescent="0.25">
      <c r="A1571">
        <v>763.99097099999994</v>
      </c>
      <c r="B1571" s="1">
        <f>DATE(2012,6,2) + TIME(23,46,59)</f>
        <v>41062.990960648145</v>
      </c>
      <c r="C1571">
        <v>80</v>
      </c>
      <c r="D1571">
        <v>79.971527100000003</v>
      </c>
      <c r="E1571">
        <v>50</v>
      </c>
      <c r="F1571">
        <v>48.156589508000003</v>
      </c>
      <c r="G1571">
        <v>1339.6967772999999</v>
      </c>
      <c r="H1571">
        <v>1337.3098144999999</v>
      </c>
      <c r="I1571">
        <v>1326.6275635</v>
      </c>
      <c r="J1571">
        <v>1324.7641602000001</v>
      </c>
      <c r="K1571">
        <v>2400</v>
      </c>
      <c r="L1571">
        <v>0</v>
      </c>
      <c r="M1571">
        <v>0</v>
      </c>
      <c r="N1571">
        <v>2400</v>
      </c>
    </row>
    <row r="1572" spans="1:14" x14ac:dyDescent="0.25">
      <c r="A1572">
        <v>764.68462199999999</v>
      </c>
      <c r="B1572" s="1">
        <f>DATE(2012,6,3) + TIME(16,25,51)</f>
        <v>41063.684618055559</v>
      </c>
      <c r="C1572">
        <v>80</v>
      </c>
      <c r="D1572">
        <v>79.971488953000005</v>
      </c>
      <c r="E1572">
        <v>50</v>
      </c>
      <c r="F1572">
        <v>48.129493713000002</v>
      </c>
      <c r="G1572">
        <v>1339.6898193</v>
      </c>
      <c r="H1572">
        <v>1337.3076172000001</v>
      </c>
      <c r="I1572">
        <v>1326.6186522999999</v>
      </c>
      <c r="J1572">
        <v>1324.7513428</v>
      </c>
      <c r="K1572">
        <v>2400</v>
      </c>
      <c r="L1572">
        <v>0</v>
      </c>
      <c r="M1572">
        <v>0</v>
      </c>
      <c r="N1572">
        <v>2400</v>
      </c>
    </row>
    <row r="1573" spans="1:14" x14ac:dyDescent="0.25">
      <c r="A1573">
        <v>765.40489400000001</v>
      </c>
      <c r="B1573" s="1">
        <f>DATE(2012,6,4) + TIME(9,43,2)</f>
        <v>41064.40488425926</v>
      </c>
      <c r="C1573">
        <v>80</v>
      </c>
      <c r="D1573">
        <v>79.971450806000007</v>
      </c>
      <c r="E1573">
        <v>50</v>
      </c>
      <c r="F1573">
        <v>48.101821899000001</v>
      </c>
      <c r="G1573">
        <v>1339.6828613</v>
      </c>
      <c r="H1573">
        <v>1337.3054199000001</v>
      </c>
      <c r="I1573">
        <v>1326.6094971</v>
      </c>
      <c r="J1573">
        <v>1324.7381591999999</v>
      </c>
      <c r="K1573">
        <v>2400</v>
      </c>
      <c r="L1573">
        <v>0</v>
      </c>
      <c r="M1573">
        <v>0</v>
      </c>
      <c r="N1573">
        <v>2400</v>
      </c>
    </row>
    <row r="1574" spans="1:14" x14ac:dyDescent="0.25">
      <c r="A1574">
        <v>766.14539000000002</v>
      </c>
      <c r="B1574" s="1">
        <f>DATE(2012,6,5) + TIME(3,29,21)</f>
        <v>41065.145381944443</v>
      </c>
      <c r="C1574">
        <v>80</v>
      </c>
      <c r="D1574">
        <v>79.971412658999995</v>
      </c>
      <c r="E1574">
        <v>50</v>
      </c>
      <c r="F1574">
        <v>48.073631286999998</v>
      </c>
      <c r="G1574">
        <v>1339.6759033000001</v>
      </c>
      <c r="H1574">
        <v>1337.3031006000001</v>
      </c>
      <c r="I1574">
        <v>1326.5999756000001</v>
      </c>
      <c r="J1574">
        <v>1324.7244873</v>
      </c>
      <c r="K1574">
        <v>2400</v>
      </c>
      <c r="L1574">
        <v>0</v>
      </c>
      <c r="M1574">
        <v>0</v>
      </c>
      <c r="N1574">
        <v>2400</v>
      </c>
    </row>
    <row r="1575" spans="1:14" x14ac:dyDescent="0.25">
      <c r="A1575">
        <v>766.90120000000002</v>
      </c>
      <c r="B1575" s="1">
        <f>DATE(2012,6,5) + TIME(21,37,43)</f>
        <v>41065.901192129626</v>
      </c>
      <c r="C1575">
        <v>80</v>
      </c>
      <c r="D1575">
        <v>79.971366881999998</v>
      </c>
      <c r="E1575">
        <v>50</v>
      </c>
      <c r="F1575">
        <v>48.045028686999999</v>
      </c>
      <c r="G1575">
        <v>1339.6688231999999</v>
      </c>
      <c r="H1575">
        <v>1337.3007812000001</v>
      </c>
      <c r="I1575">
        <v>1326.5900879000001</v>
      </c>
      <c r="J1575">
        <v>1324.7103271000001</v>
      </c>
      <c r="K1575">
        <v>2400</v>
      </c>
      <c r="L1575">
        <v>0</v>
      </c>
      <c r="M1575">
        <v>0</v>
      </c>
      <c r="N1575">
        <v>2400</v>
      </c>
    </row>
    <row r="1576" spans="1:14" x14ac:dyDescent="0.25">
      <c r="A1576">
        <v>767.67967699999997</v>
      </c>
      <c r="B1576" s="1">
        <f>DATE(2012,6,6) + TIME(16,18,44)</f>
        <v>41066.679675925923</v>
      </c>
      <c r="C1576">
        <v>80</v>
      </c>
      <c r="D1576">
        <v>79.971328735</v>
      </c>
      <c r="E1576">
        <v>50</v>
      </c>
      <c r="F1576">
        <v>48.015930175999998</v>
      </c>
      <c r="G1576">
        <v>1339.6618652</v>
      </c>
      <c r="H1576">
        <v>1337.2985839999999</v>
      </c>
      <c r="I1576">
        <v>1326.5799560999999</v>
      </c>
      <c r="J1576">
        <v>1324.6956786999999</v>
      </c>
      <c r="K1576">
        <v>2400</v>
      </c>
      <c r="L1576">
        <v>0</v>
      </c>
      <c r="M1576">
        <v>0</v>
      </c>
      <c r="N1576">
        <v>2400</v>
      </c>
    </row>
    <row r="1577" spans="1:14" x14ac:dyDescent="0.25">
      <c r="A1577">
        <v>768.48070199999995</v>
      </c>
      <c r="B1577" s="1">
        <f>DATE(2012,6,7) + TIME(11,32,12)</f>
        <v>41067.480694444443</v>
      </c>
      <c r="C1577">
        <v>80</v>
      </c>
      <c r="D1577">
        <v>79.971290588000002</v>
      </c>
      <c r="E1577">
        <v>50</v>
      </c>
      <c r="F1577">
        <v>47.986312865999999</v>
      </c>
      <c r="G1577">
        <v>1339.6547852000001</v>
      </c>
      <c r="H1577">
        <v>1337.2962646000001</v>
      </c>
      <c r="I1577">
        <v>1326.5694579999999</v>
      </c>
      <c r="J1577">
        <v>1324.6806641000001</v>
      </c>
      <c r="K1577">
        <v>2400</v>
      </c>
      <c r="L1577">
        <v>0</v>
      </c>
      <c r="M1577">
        <v>0</v>
      </c>
      <c r="N1577">
        <v>2400</v>
      </c>
    </row>
    <row r="1578" spans="1:14" x14ac:dyDescent="0.25">
      <c r="A1578">
        <v>769.28914599999996</v>
      </c>
      <c r="B1578" s="1">
        <f>DATE(2012,6,8) + TIME(6,56,22)</f>
        <v>41068.289143518516</v>
      </c>
      <c r="C1578">
        <v>80</v>
      </c>
      <c r="D1578">
        <v>79.971252441000004</v>
      </c>
      <c r="E1578">
        <v>50</v>
      </c>
      <c r="F1578">
        <v>47.956451416</v>
      </c>
      <c r="G1578">
        <v>1339.6477050999999</v>
      </c>
      <c r="H1578">
        <v>1337.2938231999999</v>
      </c>
      <c r="I1578">
        <v>1326.5587158000001</v>
      </c>
      <c r="J1578">
        <v>1324.6650391000001</v>
      </c>
      <c r="K1578">
        <v>2400</v>
      </c>
      <c r="L1578">
        <v>0</v>
      </c>
      <c r="M1578">
        <v>0</v>
      </c>
      <c r="N1578">
        <v>2400</v>
      </c>
    </row>
    <row r="1579" spans="1:14" x14ac:dyDescent="0.25">
      <c r="A1579">
        <v>770.10859500000004</v>
      </c>
      <c r="B1579" s="1">
        <f>DATE(2012,6,9) + TIME(2,36,22)</f>
        <v>41069.108587962961</v>
      </c>
      <c r="C1579">
        <v>80</v>
      </c>
      <c r="D1579">
        <v>79.971214294000006</v>
      </c>
      <c r="E1579">
        <v>50</v>
      </c>
      <c r="F1579">
        <v>47.926414489999999</v>
      </c>
      <c r="G1579">
        <v>1339.6407471</v>
      </c>
      <c r="H1579">
        <v>1337.2915039</v>
      </c>
      <c r="I1579">
        <v>1326.5478516000001</v>
      </c>
      <c r="J1579">
        <v>1324.6492920000001</v>
      </c>
      <c r="K1579">
        <v>2400</v>
      </c>
      <c r="L1579">
        <v>0</v>
      </c>
      <c r="M1579">
        <v>0</v>
      </c>
      <c r="N1579">
        <v>2400</v>
      </c>
    </row>
    <row r="1580" spans="1:14" x14ac:dyDescent="0.25">
      <c r="A1580">
        <v>770.93684599999995</v>
      </c>
      <c r="B1580" s="1">
        <f>DATE(2012,6,9) + TIME(22,29,3)</f>
        <v>41069.936840277776</v>
      </c>
      <c r="C1580">
        <v>80</v>
      </c>
      <c r="D1580">
        <v>79.971176146999994</v>
      </c>
      <c r="E1580">
        <v>50</v>
      </c>
      <c r="F1580">
        <v>47.896282196000001</v>
      </c>
      <c r="G1580">
        <v>1339.6337891000001</v>
      </c>
      <c r="H1580">
        <v>1337.2893065999999</v>
      </c>
      <c r="I1580">
        <v>1326.5366211</v>
      </c>
      <c r="J1580">
        <v>1324.6331786999999</v>
      </c>
      <c r="K1580">
        <v>2400</v>
      </c>
      <c r="L1580">
        <v>0</v>
      </c>
      <c r="M1580">
        <v>0</v>
      </c>
      <c r="N1580">
        <v>2400</v>
      </c>
    </row>
    <row r="1581" spans="1:14" x14ac:dyDescent="0.25">
      <c r="A1581">
        <v>771.77743199999998</v>
      </c>
      <c r="B1581" s="1">
        <f>DATE(2012,6,10) + TIME(18,39,30)</f>
        <v>41070.777430555558</v>
      </c>
      <c r="C1581">
        <v>80</v>
      </c>
      <c r="D1581">
        <v>79.971145629999995</v>
      </c>
      <c r="E1581">
        <v>50</v>
      </c>
      <c r="F1581">
        <v>47.866031647</v>
      </c>
      <c r="G1581">
        <v>1339.6269531</v>
      </c>
      <c r="H1581">
        <v>1337.2869873</v>
      </c>
      <c r="I1581">
        <v>1326.5253906</v>
      </c>
      <c r="J1581">
        <v>1324.6168213000001</v>
      </c>
      <c r="K1581">
        <v>2400</v>
      </c>
      <c r="L1581">
        <v>0</v>
      </c>
      <c r="M1581">
        <v>0</v>
      </c>
      <c r="N1581">
        <v>2400</v>
      </c>
    </row>
    <row r="1582" spans="1:14" x14ac:dyDescent="0.25">
      <c r="A1582">
        <v>772.63368600000001</v>
      </c>
      <c r="B1582" s="1">
        <f>DATE(2012,6,11) + TIME(15,12,30)</f>
        <v>41071.633680555555</v>
      </c>
      <c r="C1582">
        <v>80</v>
      </c>
      <c r="D1582">
        <v>79.971107482999997</v>
      </c>
      <c r="E1582">
        <v>50</v>
      </c>
      <c r="F1582">
        <v>47.835594176999997</v>
      </c>
      <c r="G1582">
        <v>1339.6201172000001</v>
      </c>
      <c r="H1582">
        <v>1337.284668</v>
      </c>
      <c r="I1582">
        <v>1326.5139160000001</v>
      </c>
      <c r="J1582">
        <v>1324.6000977000001</v>
      </c>
      <c r="K1582">
        <v>2400</v>
      </c>
      <c r="L1582">
        <v>0</v>
      </c>
      <c r="M1582">
        <v>0</v>
      </c>
      <c r="N1582">
        <v>2400</v>
      </c>
    </row>
    <row r="1583" spans="1:14" x14ac:dyDescent="0.25">
      <c r="A1583">
        <v>773.50935300000003</v>
      </c>
      <c r="B1583" s="1">
        <f>DATE(2012,6,12) + TIME(12,13,28)</f>
        <v>41072.509351851855</v>
      </c>
      <c r="C1583">
        <v>80</v>
      </c>
      <c r="D1583">
        <v>79.971076964999995</v>
      </c>
      <c r="E1583">
        <v>50</v>
      </c>
      <c r="F1583">
        <v>47.804878234999997</v>
      </c>
      <c r="G1583">
        <v>1339.6134033000001</v>
      </c>
      <c r="H1583">
        <v>1337.2823486</v>
      </c>
      <c r="I1583">
        <v>1326.5021973</v>
      </c>
      <c r="J1583">
        <v>1324.5831298999999</v>
      </c>
      <c r="K1583">
        <v>2400</v>
      </c>
      <c r="L1583">
        <v>0</v>
      </c>
      <c r="M1583">
        <v>0</v>
      </c>
      <c r="N1583">
        <v>2400</v>
      </c>
    </row>
    <row r="1584" spans="1:14" x14ac:dyDescent="0.25">
      <c r="A1584">
        <v>774.40848900000003</v>
      </c>
      <c r="B1584" s="1">
        <f>DATE(2012,6,13) + TIME(9,48,13)</f>
        <v>41073.408483796295</v>
      </c>
      <c r="C1584">
        <v>80</v>
      </c>
      <c r="D1584">
        <v>79.971038817999997</v>
      </c>
      <c r="E1584">
        <v>50</v>
      </c>
      <c r="F1584">
        <v>47.773773192999997</v>
      </c>
      <c r="G1584">
        <v>1339.6066894999999</v>
      </c>
      <c r="H1584">
        <v>1337.2801514</v>
      </c>
      <c r="I1584">
        <v>1326.4901123</v>
      </c>
      <c r="J1584">
        <v>1324.5656738</v>
      </c>
      <c r="K1584">
        <v>2400</v>
      </c>
      <c r="L1584">
        <v>0</v>
      </c>
      <c r="M1584">
        <v>0</v>
      </c>
      <c r="N1584">
        <v>2400</v>
      </c>
    </row>
    <row r="1585" spans="1:14" x14ac:dyDescent="0.25">
      <c r="A1585">
        <v>775.33349099999998</v>
      </c>
      <c r="B1585" s="1">
        <f>DATE(2012,6,14) + TIME(8,0,13)</f>
        <v>41074.333483796298</v>
      </c>
      <c r="C1585">
        <v>80</v>
      </c>
      <c r="D1585">
        <v>79.971008300999998</v>
      </c>
      <c r="E1585">
        <v>50</v>
      </c>
      <c r="F1585">
        <v>47.7421875</v>
      </c>
      <c r="G1585">
        <v>1339.5999756000001</v>
      </c>
      <c r="H1585">
        <v>1337.277832</v>
      </c>
      <c r="I1585">
        <v>1326.4777832</v>
      </c>
      <c r="J1585">
        <v>1324.5477295000001</v>
      </c>
      <c r="K1585">
        <v>2400</v>
      </c>
      <c r="L1585">
        <v>0</v>
      </c>
      <c r="M1585">
        <v>0</v>
      </c>
      <c r="N1585">
        <v>2400</v>
      </c>
    </row>
    <row r="1586" spans="1:14" x14ac:dyDescent="0.25">
      <c r="A1586">
        <v>776.267697</v>
      </c>
      <c r="B1586" s="1">
        <f>DATE(2012,6,15) + TIME(6,25,29)</f>
        <v>41075.267696759256</v>
      </c>
      <c r="C1586">
        <v>80</v>
      </c>
      <c r="D1586">
        <v>79.970977782999995</v>
      </c>
      <c r="E1586">
        <v>50</v>
      </c>
      <c r="F1586">
        <v>47.710346221999998</v>
      </c>
      <c r="G1586">
        <v>1339.5931396000001</v>
      </c>
      <c r="H1586">
        <v>1337.2753906</v>
      </c>
      <c r="I1586">
        <v>1326.4652100000001</v>
      </c>
      <c r="J1586">
        <v>1324.5292969</v>
      </c>
      <c r="K1586">
        <v>2400</v>
      </c>
      <c r="L1586">
        <v>0</v>
      </c>
      <c r="M1586">
        <v>0</v>
      </c>
      <c r="N1586">
        <v>2400</v>
      </c>
    </row>
    <row r="1587" spans="1:14" x14ac:dyDescent="0.25">
      <c r="A1587">
        <v>777.21533999999997</v>
      </c>
      <c r="B1587" s="1">
        <f>DATE(2012,6,16) + TIME(5,10,5)</f>
        <v>41076.21533564815</v>
      </c>
      <c r="C1587">
        <v>80</v>
      </c>
      <c r="D1587">
        <v>79.970939635999997</v>
      </c>
      <c r="E1587">
        <v>50</v>
      </c>
      <c r="F1587">
        <v>47.678321838000002</v>
      </c>
      <c r="G1587">
        <v>1339.5864257999999</v>
      </c>
      <c r="H1587">
        <v>1337.2730713000001</v>
      </c>
      <c r="I1587">
        <v>1326.4522704999999</v>
      </c>
      <c r="J1587">
        <v>1324.5104980000001</v>
      </c>
      <c r="K1587">
        <v>2400</v>
      </c>
      <c r="L1587">
        <v>0</v>
      </c>
      <c r="M1587">
        <v>0</v>
      </c>
      <c r="N1587">
        <v>2400</v>
      </c>
    </row>
    <row r="1588" spans="1:14" x14ac:dyDescent="0.25">
      <c r="A1588">
        <v>778.18063500000005</v>
      </c>
      <c r="B1588" s="1">
        <f>DATE(2012,6,17) + TIME(4,20,6)</f>
        <v>41077.180625000001</v>
      </c>
      <c r="C1588">
        <v>80</v>
      </c>
      <c r="D1588">
        <v>79.970909118999998</v>
      </c>
      <c r="E1588">
        <v>50</v>
      </c>
      <c r="F1588">
        <v>47.646076202000003</v>
      </c>
      <c r="G1588">
        <v>1339.5798339999999</v>
      </c>
      <c r="H1588">
        <v>1337.2707519999999</v>
      </c>
      <c r="I1588">
        <v>1326.4392089999999</v>
      </c>
      <c r="J1588">
        <v>1324.4914550999999</v>
      </c>
      <c r="K1588">
        <v>2400</v>
      </c>
      <c r="L1588">
        <v>0</v>
      </c>
      <c r="M1588">
        <v>0</v>
      </c>
      <c r="N1588">
        <v>2400</v>
      </c>
    </row>
    <row r="1589" spans="1:14" x14ac:dyDescent="0.25">
      <c r="A1589">
        <v>779.17280700000003</v>
      </c>
      <c r="B1589" s="1">
        <f>DATE(2012,6,18) + TIME(4,8,50)</f>
        <v>41078.172800925924</v>
      </c>
      <c r="C1589">
        <v>80</v>
      </c>
      <c r="D1589">
        <v>79.970878600999995</v>
      </c>
      <c r="E1589">
        <v>50</v>
      </c>
      <c r="F1589">
        <v>47.613449097</v>
      </c>
      <c r="G1589">
        <v>1339.5732422000001</v>
      </c>
      <c r="H1589">
        <v>1337.2684326000001</v>
      </c>
      <c r="I1589">
        <v>1326.4259033000001</v>
      </c>
      <c r="J1589">
        <v>1324.4720459</v>
      </c>
      <c r="K1589">
        <v>2400</v>
      </c>
      <c r="L1589">
        <v>0</v>
      </c>
      <c r="M1589">
        <v>0</v>
      </c>
      <c r="N1589">
        <v>2400</v>
      </c>
    </row>
    <row r="1590" spans="1:14" x14ac:dyDescent="0.25">
      <c r="A1590">
        <v>780.20728899999995</v>
      </c>
      <c r="B1590" s="1">
        <f>DATE(2012,6,19) + TIME(4,58,29)</f>
        <v>41079.207280092596</v>
      </c>
      <c r="C1590">
        <v>80</v>
      </c>
      <c r="D1590">
        <v>79.970855713000006</v>
      </c>
      <c r="E1590">
        <v>50</v>
      </c>
      <c r="F1590">
        <v>47.580127716</v>
      </c>
      <c r="G1590">
        <v>1339.5665283000001</v>
      </c>
      <c r="H1590">
        <v>1337.2659911999999</v>
      </c>
      <c r="I1590">
        <v>1326.4122314000001</v>
      </c>
      <c r="J1590">
        <v>1324.4520264</v>
      </c>
      <c r="K1590">
        <v>2400</v>
      </c>
      <c r="L1590">
        <v>0</v>
      </c>
      <c r="M1590">
        <v>0</v>
      </c>
      <c r="N1590">
        <v>2400</v>
      </c>
    </row>
    <row r="1591" spans="1:14" x14ac:dyDescent="0.25">
      <c r="A1591">
        <v>781.25438599999995</v>
      </c>
      <c r="B1591" s="1">
        <f>DATE(2012,6,20) + TIME(6,6,18)</f>
        <v>41080.254374999997</v>
      </c>
      <c r="C1591">
        <v>80</v>
      </c>
      <c r="D1591">
        <v>79.970825195000003</v>
      </c>
      <c r="E1591">
        <v>50</v>
      </c>
      <c r="F1591">
        <v>47.546344757</v>
      </c>
      <c r="G1591">
        <v>1339.5598144999999</v>
      </c>
      <c r="H1591">
        <v>1337.2635498</v>
      </c>
      <c r="I1591">
        <v>1326.3981934000001</v>
      </c>
      <c r="J1591">
        <v>1324.4313964999999</v>
      </c>
      <c r="K1591">
        <v>2400</v>
      </c>
      <c r="L1591">
        <v>0</v>
      </c>
      <c r="M1591">
        <v>0</v>
      </c>
      <c r="N1591">
        <v>2400</v>
      </c>
    </row>
    <row r="1592" spans="1:14" x14ac:dyDescent="0.25">
      <c r="A1592">
        <v>782.31818799999996</v>
      </c>
      <c r="B1592" s="1">
        <f>DATE(2012,6,21) + TIME(7,38,11)</f>
        <v>41081.318182870367</v>
      </c>
      <c r="C1592">
        <v>80</v>
      </c>
      <c r="D1592">
        <v>79.970794678000004</v>
      </c>
      <c r="E1592">
        <v>50</v>
      </c>
      <c r="F1592">
        <v>47.512256622000002</v>
      </c>
      <c r="G1592">
        <v>1339.5531006000001</v>
      </c>
      <c r="H1592">
        <v>1337.2612305</v>
      </c>
      <c r="I1592">
        <v>1326.3837891000001</v>
      </c>
      <c r="J1592">
        <v>1324.4102783000001</v>
      </c>
      <c r="K1592">
        <v>2400</v>
      </c>
      <c r="L1592">
        <v>0</v>
      </c>
      <c r="M1592">
        <v>0</v>
      </c>
      <c r="N1592">
        <v>2400</v>
      </c>
    </row>
    <row r="1593" spans="1:14" x14ac:dyDescent="0.25">
      <c r="A1593">
        <v>783.40537900000004</v>
      </c>
      <c r="B1593" s="1">
        <f>DATE(2012,6,22) + TIME(9,43,44)</f>
        <v>41082.405370370368</v>
      </c>
      <c r="C1593">
        <v>80</v>
      </c>
      <c r="D1593">
        <v>79.970764160000002</v>
      </c>
      <c r="E1593">
        <v>50</v>
      </c>
      <c r="F1593">
        <v>47.477840424</v>
      </c>
      <c r="G1593">
        <v>1339.5463867000001</v>
      </c>
      <c r="H1593">
        <v>1337.2587891000001</v>
      </c>
      <c r="I1593">
        <v>1326.3691406</v>
      </c>
      <c r="J1593">
        <v>1324.3887939000001</v>
      </c>
      <c r="K1593">
        <v>2400</v>
      </c>
      <c r="L1593">
        <v>0</v>
      </c>
      <c r="M1593">
        <v>0</v>
      </c>
      <c r="N1593">
        <v>2400</v>
      </c>
    </row>
    <row r="1594" spans="1:14" x14ac:dyDescent="0.25">
      <c r="A1594">
        <v>784.52312300000006</v>
      </c>
      <c r="B1594" s="1">
        <f>DATE(2012,6,23) + TIME(12,33,17)</f>
        <v>41083.523113425923</v>
      </c>
      <c r="C1594">
        <v>80</v>
      </c>
      <c r="D1594">
        <v>79.970741271999998</v>
      </c>
      <c r="E1594">
        <v>50</v>
      </c>
      <c r="F1594">
        <v>47.442955017000003</v>
      </c>
      <c r="G1594">
        <v>1339.5397949000001</v>
      </c>
      <c r="H1594">
        <v>1337.2562256000001</v>
      </c>
      <c r="I1594">
        <v>1326.3542480000001</v>
      </c>
      <c r="J1594">
        <v>1324.3668213000001</v>
      </c>
      <c r="K1594">
        <v>2400</v>
      </c>
      <c r="L1594">
        <v>0</v>
      </c>
      <c r="M1594">
        <v>0</v>
      </c>
      <c r="N1594">
        <v>2400</v>
      </c>
    </row>
    <row r="1595" spans="1:14" x14ac:dyDescent="0.25">
      <c r="A1595">
        <v>785.66991700000005</v>
      </c>
      <c r="B1595" s="1">
        <f>DATE(2012,6,24) + TIME(16,4,40)</f>
        <v>41084.669907407406</v>
      </c>
      <c r="C1595">
        <v>80</v>
      </c>
      <c r="D1595">
        <v>79.970710753999995</v>
      </c>
      <c r="E1595">
        <v>50</v>
      </c>
      <c r="F1595">
        <v>47.407543181999998</v>
      </c>
      <c r="G1595">
        <v>1339.5330810999999</v>
      </c>
      <c r="H1595">
        <v>1337.2537841999999</v>
      </c>
      <c r="I1595">
        <v>1326.3389893000001</v>
      </c>
      <c r="J1595">
        <v>1324.3443603999999</v>
      </c>
      <c r="K1595">
        <v>2400</v>
      </c>
      <c r="L1595">
        <v>0</v>
      </c>
      <c r="M1595">
        <v>0</v>
      </c>
      <c r="N1595">
        <v>2400</v>
      </c>
    </row>
    <row r="1596" spans="1:14" x14ac:dyDescent="0.25">
      <c r="A1596">
        <v>786.82649000000004</v>
      </c>
      <c r="B1596" s="1">
        <f>DATE(2012,6,25) + TIME(19,50,8)</f>
        <v>41085.826481481483</v>
      </c>
      <c r="C1596">
        <v>80</v>
      </c>
      <c r="D1596">
        <v>79.970687866000006</v>
      </c>
      <c r="E1596">
        <v>50</v>
      </c>
      <c r="F1596">
        <v>47.371826171999999</v>
      </c>
      <c r="G1596">
        <v>1339.5263672000001</v>
      </c>
      <c r="H1596">
        <v>1337.2512207</v>
      </c>
      <c r="I1596">
        <v>1326.3233643000001</v>
      </c>
      <c r="J1596">
        <v>1324.3214111</v>
      </c>
      <c r="K1596">
        <v>2400</v>
      </c>
      <c r="L1596">
        <v>0</v>
      </c>
      <c r="M1596">
        <v>0</v>
      </c>
      <c r="N1596">
        <v>2400</v>
      </c>
    </row>
    <row r="1597" spans="1:14" x14ac:dyDescent="0.25">
      <c r="A1597">
        <v>787.99864400000001</v>
      </c>
      <c r="B1597" s="1">
        <f>DATE(2012,6,26) + TIME(23,58,2)</f>
        <v>41086.99863425926</v>
      </c>
      <c r="C1597">
        <v>80</v>
      </c>
      <c r="D1597">
        <v>79.970664978000002</v>
      </c>
      <c r="E1597">
        <v>50</v>
      </c>
      <c r="F1597">
        <v>47.335933685000001</v>
      </c>
      <c r="G1597">
        <v>1339.5197754000001</v>
      </c>
      <c r="H1597">
        <v>1337.2487793</v>
      </c>
      <c r="I1597">
        <v>1326.3076172000001</v>
      </c>
      <c r="J1597">
        <v>1324.2980957</v>
      </c>
      <c r="K1597">
        <v>2400</v>
      </c>
      <c r="L1597">
        <v>0</v>
      </c>
      <c r="M1597">
        <v>0</v>
      </c>
      <c r="N1597">
        <v>2400</v>
      </c>
    </row>
    <row r="1598" spans="1:14" x14ac:dyDescent="0.25">
      <c r="A1598">
        <v>789.19262200000003</v>
      </c>
      <c r="B1598" s="1">
        <f>DATE(2012,6,28) + TIME(4,37,22)</f>
        <v>41088.192615740743</v>
      </c>
      <c r="C1598">
        <v>80</v>
      </c>
      <c r="D1598">
        <v>79.970642089999998</v>
      </c>
      <c r="E1598">
        <v>50</v>
      </c>
      <c r="F1598">
        <v>47.299816131999997</v>
      </c>
      <c r="G1598">
        <v>1339.5131836</v>
      </c>
      <c r="H1598">
        <v>1337.2462158000001</v>
      </c>
      <c r="I1598">
        <v>1326.2917480000001</v>
      </c>
      <c r="J1598">
        <v>1324.2745361</v>
      </c>
      <c r="K1598">
        <v>2400</v>
      </c>
      <c r="L1598">
        <v>0</v>
      </c>
      <c r="M1598">
        <v>0</v>
      </c>
      <c r="N1598">
        <v>2400</v>
      </c>
    </row>
    <row r="1599" spans="1:14" x14ac:dyDescent="0.25">
      <c r="A1599">
        <v>790.41406600000005</v>
      </c>
      <c r="B1599" s="1">
        <f>DATE(2012,6,29) + TIME(9,56,15)</f>
        <v>41089.4140625</v>
      </c>
      <c r="C1599">
        <v>80</v>
      </c>
      <c r="D1599">
        <v>79.970619201999995</v>
      </c>
      <c r="E1599">
        <v>50</v>
      </c>
      <c r="F1599">
        <v>47.263347625999998</v>
      </c>
      <c r="G1599">
        <v>1339.5067139</v>
      </c>
      <c r="H1599">
        <v>1337.2437743999999</v>
      </c>
      <c r="I1599">
        <v>1326.2756348</v>
      </c>
      <c r="J1599">
        <v>1324.2504882999999</v>
      </c>
      <c r="K1599">
        <v>2400</v>
      </c>
      <c r="L1599">
        <v>0</v>
      </c>
      <c r="M1599">
        <v>0</v>
      </c>
      <c r="N1599">
        <v>2400</v>
      </c>
    </row>
    <row r="1600" spans="1:14" x14ac:dyDescent="0.25">
      <c r="A1600">
        <v>791.66950099999997</v>
      </c>
      <c r="B1600" s="1">
        <f>DATE(2012,6,30) + TIME(16,4,4)</f>
        <v>41090.669490740744</v>
      </c>
      <c r="C1600">
        <v>80</v>
      </c>
      <c r="D1600">
        <v>79.970596313000001</v>
      </c>
      <c r="E1600">
        <v>50</v>
      </c>
      <c r="F1600">
        <v>47.226379395000002</v>
      </c>
      <c r="G1600">
        <v>1339.5001221</v>
      </c>
      <c r="H1600">
        <v>1337.2412108999999</v>
      </c>
      <c r="I1600">
        <v>1326.2591553</v>
      </c>
      <c r="J1600">
        <v>1324.2260742000001</v>
      </c>
      <c r="K1600">
        <v>2400</v>
      </c>
      <c r="L1600">
        <v>0</v>
      </c>
      <c r="M1600">
        <v>0</v>
      </c>
      <c r="N1600">
        <v>2400</v>
      </c>
    </row>
    <row r="1601" spans="1:14" x14ac:dyDescent="0.25">
      <c r="A1601">
        <v>792</v>
      </c>
      <c r="B1601" s="1">
        <f>DATE(2012,7,1) + TIME(0,0,0)</f>
        <v>41091</v>
      </c>
      <c r="C1601">
        <v>80</v>
      </c>
      <c r="D1601">
        <v>79.970573424999998</v>
      </c>
      <c r="E1601">
        <v>50</v>
      </c>
      <c r="F1601">
        <v>47.208507537999999</v>
      </c>
      <c r="G1601">
        <v>1339.494751</v>
      </c>
      <c r="H1601">
        <v>1337.239624</v>
      </c>
      <c r="I1601">
        <v>1326.2446289</v>
      </c>
      <c r="J1601">
        <v>1324.2050781</v>
      </c>
      <c r="K1601">
        <v>2400</v>
      </c>
      <c r="L1601">
        <v>0</v>
      </c>
      <c r="M1601">
        <v>0</v>
      </c>
      <c r="N1601">
        <v>2400</v>
      </c>
    </row>
    <row r="1602" spans="1:14" x14ac:dyDescent="0.25">
      <c r="A1602">
        <v>793.29344600000002</v>
      </c>
      <c r="B1602" s="1">
        <f>DATE(2012,7,2) + TIME(7,2,33)</f>
        <v>41092.293437499997</v>
      </c>
      <c r="C1602">
        <v>80</v>
      </c>
      <c r="D1602">
        <v>79.970565796000002</v>
      </c>
      <c r="E1602">
        <v>50</v>
      </c>
      <c r="F1602">
        <v>47.175933837999999</v>
      </c>
      <c r="G1602">
        <v>1339.4915771000001</v>
      </c>
      <c r="H1602">
        <v>1337.2376709</v>
      </c>
      <c r="I1602">
        <v>1326.2365723</v>
      </c>
      <c r="J1602">
        <v>1324.1921387</v>
      </c>
      <c r="K1602">
        <v>2400</v>
      </c>
      <c r="L1602">
        <v>0</v>
      </c>
      <c r="M1602">
        <v>0</v>
      </c>
      <c r="N1602">
        <v>2400</v>
      </c>
    </row>
    <row r="1603" spans="1:14" x14ac:dyDescent="0.25">
      <c r="A1603">
        <v>794.62573599999996</v>
      </c>
      <c r="B1603" s="1">
        <f>DATE(2012,7,3) + TIME(15,1,3)</f>
        <v>41093.62572916667</v>
      </c>
      <c r="C1603">
        <v>80</v>
      </c>
      <c r="D1603">
        <v>79.970550536999994</v>
      </c>
      <c r="E1603">
        <v>50</v>
      </c>
      <c r="F1603">
        <v>47.139595032000003</v>
      </c>
      <c r="G1603">
        <v>1339.4852295000001</v>
      </c>
      <c r="H1603">
        <v>1337.2352295000001</v>
      </c>
      <c r="I1603">
        <v>1326.2202147999999</v>
      </c>
      <c r="J1603">
        <v>1324.1679687999999</v>
      </c>
      <c r="K1603">
        <v>2400</v>
      </c>
      <c r="L1603">
        <v>0</v>
      </c>
      <c r="M1603">
        <v>0</v>
      </c>
      <c r="N1603">
        <v>2400</v>
      </c>
    </row>
    <row r="1604" spans="1:14" x14ac:dyDescent="0.25">
      <c r="A1604">
        <v>795.99473799999998</v>
      </c>
      <c r="B1604" s="1">
        <f>DATE(2012,7,4) + TIME(23,52,25)</f>
        <v>41094.994733796295</v>
      </c>
      <c r="C1604">
        <v>80</v>
      </c>
      <c r="D1604">
        <v>79.970535278</v>
      </c>
      <c r="E1604">
        <v>50</v>
      </c>
      <c r="F1604">
        <v>47.101352691999999</v>
      </c>
      <c r="G1604">
        <v>1339.4786377</v>
      </c>
      <c r="H1604">
        <v>1337.2325439000001</v>
      </c>
      <c r="I1604">
        <v>1326.2030029</v>
      </c>
      <c r="J1604">
        <v>1324.1422118999999</v>
      </c>
      <c r="K1604">
        <v>2400</v>
      </c>
      <c r="L1604">
        <v>0</v>
      </c>
      <c r="M1604">
        <v>0</v>
      </c>
      <c r="N1604">
        <v>2400</v>
      </c>
    </row>
    <row r="1605" spans="1:14" x14ac:dyDescent="0.25">
      <c r="A1605">
        <v>797.39953100000002</v>
      </c>
      <c r="B1605" s="1">
        <f>DATE(2012,7,6) + TIME(9,35,19)</f>
        <v>41096.399525462963</v>
      </c>
      <c r="C1605">
        <v>80</v>
      </c>
      <c r="D1605">
        <v>79.970512389999996</v>
      </c>
      <c r="E1605">
        <v>50</v>
      </c>
      <c r="F1605">
        <v>47.061992644999997</v>
      </c>
      <c r="G1605">
        <v>1339.4719238</v>
      </c>
      <c r="H1605">
        <v>1337.2298584</v>
      </c>
      <c r="I1605">
        <v>1326.1851807</v>
      </c>
      <c r="J1605">
        <v>1324.1154785000001</v>
      </c>
      <c r="K1605">
        <v>2400</v>
      </c>
      <c r="L1605">
        <v>0</v>
      </c>
      <c r="M1605">
        <v>0</v>
      </c>
      <c r="N1605">
        <v>2400</v>
      </c>
    </row>
    <row r="1606" spans="1:14" x14ac:dyDescent="0.25">
      <c r="A1606">
        <v>798.83155399999998</v>
      </c>
      <c r="B1606" s="1">
        <f>DATE(2012,7,7) + TIME(19,57,26)</f>
        <v>41097.831550925926</v>
      </c>
      <c r="C1606">
        <v>80</v>
      </c>
      <c r="D1606">
        <v>79.970497131000002</v>
      </c>
      <c r="E1606">
        <v>50</v>
      </c>
      <c r="F1606">
        <v>47.021926880000002</v>
      </c>
      <c r="G1606">
        <v>1339.4652100000001</v>
      </c>
      <c r="H1606">
        <v>1337.2270507999999</v>
      </c>
      <c r="I1606">
        <v>1326.1668701000001</v>
      </c>
      <c r="J1606">
        <v>1324.0881348</v>
      </c>
      <c r="K1606">
        <v>2400</v>
      </c>
      <c r="L1606">
        <v>0</v>
      </c>
      <c r="M1606">
        <v>0</v>
      </c>
      <c r="N1606">
        <v>2400</v>
      </c>
    </row>
    <row r="1607" spans="1:14" x14ac:dyDescent="0.25">
      <c r="A1607">
        <v>800.30133699999999</v>
      </c>
      <c r="B1607" s="1">
        <f>DATE(2012,7,9) + TIME(7,13,55)</f>
        <v>41099.30133101852</v>
      </c>
      <c r="C1607">
        <v>80</v>
      </c>
      <c r="D1607">
        <v>79.970481872999997</v>
      </c>
      <c r="E1607">
        <v>50</v>
      </c>
      <c r="F1607">
        <v>46.981315613</v>
      </c>
      <c r="G1607">
        <v>1339.4584961</v>
      </c>
      <c r="H1607">
        <v>1337.2243652</v>
      </c>
      <c r="I1607">
        <v>1326.1484375</v>
      </c>
      <c r="J1607">
        <v>1324.0601807</v>
      </c>
      <c r="K1607">
        <v>2400</v>
      </c>
      <c r="L1607">
        <v>0</v>
      </c>
      <c r="M1607">
        <v>0</v>
      </c>
      <c r="N1607">
        <v>2400</v>
      </c>
    </row>
    <row r="1608" spans="1:14" x14ac:dyDescent="0.25">
      <c r="A1608">
        <v>801.05168700000002</v>
      </c>
      <c r="B1608" s="1">
        <f>DATE(2012,7,10) + TIME(1,14,25)</f>
        <v>41100.051678240743</v>
      </c>
      <c r="C1608">
        <v>80</v>
      </c>
      <c r="D1608">
        <v>79.970458984000004</v>
      </c>
      <c r="E1608">
        <v>50</v>
      </c>
      <c r="F1608">
        <v>46.950656891000001</v>
      </c>
      <c r="G1608">
        <v>1339.4523925999999</v>
      </c>
      <c r="H1608">
        <v>1337.2220459</v>
      </c>
      <c r="I1608">
        <v>1326.1308594</v>
      </c>
      <c r="J1608">
        <v>1324.0340576000001</v>
      </c>
      <c r="K1608">
        <v>2400</v>
      </c>
      <c r="L1608">
        <v>0</v>
      </c>
      <c r="M1608">
        <v>0</v>
      </c>
      <c r="N1608">
        <v>2400</v>
      </c>
    </row>
    <row r="1609" spans="1:14" x14ac:dyDescent="0.25">
      <c r="A1609">
        <v>801.80203700000004</v>
      </c>
      <c r="B1609" s="1">
        <f>DATE(2012,7,10) + TIME(19,14,55)</f>
        <v>41100.802025462966</v>
      </c>
      <c r="C1609">
        <v>80</v>
      </c>
      <c r="D1609">
        <v>79.970443725999999</v>
      </c>
      <c r="E1609">
        <v>50</v>
      </c>
      <c r="F1609">
        <v>46.924934387</v>
      </c>
      <c r="G1609">
        <v>1339.4486084</v>
      </c>
      <c r="H1609">
        <v>1337.2202147999999</v>
      </c>
      <c r="I1609">
        <v>1326.1193848</v>
      </c>
      <c r="J1609">
        <v>1324.0162353999999</v>
      </c>
      <c r="K1609">
        <v>2400</v>
      </c>
      <c r="L1609">
        <v>0</v>
      </c>
      <c r="M1609">
        <v>0</v>
      </c>
      <c r="N1609">
        <v>2400</v>
      </c>
    </row>
    <row r="1610" spans="1:14" x14ac:dyDescent="0.25">
      <c r="A1610">
        <v>802.55238699999995</v>
      </c>
      <c r="B1610" s="1">
        <f>DATE(2012,7,11) + TIME(13,15,26)</f>
        <v>41101.552384259259</v>
      </c>
      <c r="C1610">
        <v>80</v>
      </c>
      <c r="D1610">
        <v>79.970436096</v>
      </c>
      <c r="E1610">
        <v>50</v>
      </c>
      <c r="F1610">
        <v>46.901805877999998</v>
      </c>
      <c r="G1610">
        <v>1339.4453125</v>
      </c>
      <c r="H1610">
        <v>1337.21875</v>
      </c>
      <c r="I1610">
        <v>1326.1088867000001</v>
      </c>
      <c r="J1610">
        <v>1324</v>
      </c>
      <c r="K1610">
        <v>2400</v>
      </c>
      <c r="L1610">
        <v>0</v>
      </c>
      <c r="M1610">
        <v>0</v>
      </c>
      <c r="N1610">
        <v>2400</v>
      </c>
    </row>
    <row r="1611" spans="1:14" x14ac:dyDescent="0.25">
      <c r="A1611">
        <v>803.30273699999998</v>
      </c>
      <c r="B1611" s="1">
        <f>DATE(2012,7,12) + TIME(7,15,56)</f>
        <v>41102.302731481483</v>
      </c>
      <c r="C1611">
        <v>80</v>
      </c>
      <c r="D1611">
        <v>79.970428467000005</v>
      </c>
      <c r="E1611">
        <v>50</v>
      </c>
      <c r="F1611">
        <v>46.880084990999997</v>
      </c>
      <c r="G1611">
        <v>1339.4420166</v>
      </c>
      <c r="H1611">
        <v>1337.2172852000001</v>
      </c>
      <c r="I1611">
        <v>1326.0988769999999</v>
      </c>
      <c r="J1611">
        <v>1323.9846190999999</v>
      </c>
      <c r="K1611">
        <v>2400</v>
      </c>
      <c r="L1611">
        <v>0</v>
      </c>
      <c r="M1611">
        <v>0</v>
      </c>
      <c r="N1611">
        <v>2400</v>
      </c>
    </row>
    <row r="1612" spans="1:14" x14ac:dyDescent="0.25">
      <c r="A1612">
        <v>804.05308600000001</v>
      </c>
      <c r="B1612" s="1">
        <f>DATE(2012,7,13) + TIME(1,16,26)</f>
        <v>41103.053078703706</v>
      </c>
      <c r="C1612">
        <v>80</v>
      </c>
      <c r="D1612">
        <v>79.970420837000006</v>
      </c>
      <c r="E1612">
        <v>50</v>
      </c>
      <c r="F1612">
        <v>46.859169006000002</v>
      </c>
      <c r="G1612">
        <v>1339.4387207</v>
      </c>
      <c r="H1612">
        <v>1337.2159423999999</v>
      </c>
      <c r="I1612">
        <v>1326.0891113</v>
      </c>
      <c r="J1612">
        <v>1323.9697266000001</v>
      </c>
      <c r="K1612">
        <v>2400</v>
      </c>
      <c r="L1612">
        <v>0</v>
      </c>
      <c r="M1612">
        <v>0</v>
      </c>
      <c r="N1612">
        <v>2400</v>
      </c>
    </row>
    <row r="1613" spans="1:14" x14ac:dyDescent="0.25">
      <c r="A1613">
        <v>804.80343600000003</v>
      </c>
      <c r="B1613" s="1">
        <f>DATE(2012,7,13) + TIME(19,16,56)</f>
        <v>41103.803425925929</v>
      </c>
      <c r="C1613">
        <v>80</v>
      </c>
      <c r="D1613">
        <v>79.970413207999997</v>
      </c>
      <c r="E1613">
        <v>50</v>
      </c>
      <c r="F1613">
        <v>46.838775634999998</v>
      </c>
      <c r="G1613">
        <v>1339.4355469</v>
      </c>
      <c r="H1613">
        <v>1337.2144774999999</v>
      </c>
      <c r="I1613">
        <v>1326.0795897999999</v>
      </c>
      <c r="J1613">
        <v>1323.9550781</v>
      </c>
      <c r="K1613">
        <v>2400</v>
      </c>
      <c r="L1613">
        <v>0</v>
      </c>
      <c r="M1613">
        <v>0</v>
      </c>
      <c r="N1613">
        <v>2400</v>
      </c>
    </row>
    <row r="1614" spans="1:14" x14ac:dyDescent="0.25">
      <c r="A1614">
        <v>806.30413599999997</v>
      </c>
      <c r="B1614" s="1">
        <f>DATE(2012,7,15) + TIME(7,17,57)</f>
        <v>41105.304131944446</v>
      </c>
      <c r="C1614">
        <v>80</v>
      </c>
      <c r="D1614">
        <v>79.970420837000006</v>
      </c>
      <c r="E1614">
        <v>50</v>
      </c>
      <c r="F1614">
        <v>46.811996460000003</v>
      </c>
      <c r="G1614">
        <v>1339.4320068</v>
      </c>
      <c r="H1614">
        <v>1337.2128906</v>
      </c>
      <c r="I1614">
        <v>1326.0693358999999</v>
      </c>
      <c r="J1614">
        <v>1323.9390868999999</v>
      </c>
      <c r="K1614">
        <v>2400</v>
      </c>
      <c r="L1614">
        <v>0</v>
      </c>
      <c r="M1614">
        <v>0</v>
      </c>
      <c r="N1614">
        <v>2400</v>
      </c>
    </row>
    <row r="1615" spans="1:14" x14ac:dyDescent="0.25">
      <c r="A1615">
        <v>807.81573300000002</v>
      </c>
      <c r="B1615" s="1">
        <f>DATE(2012,7,16) + TIME(19,34,39)</f>
        <v>41106.815729166665</v>
      </c>
      <c r="C1615">
        <v>80</v>
      </c>
      <c r="D1615">
        <v>79.970413207999997</v>
      </c>
      <c r="E1615">
        <v>50</v>
      </c>
      <c r="F1615">
        <v>46.777252197000003</v>
      </c>
      <c r="G1615">
        <v>1339.4260254000001</v>
      </c>
      <c r="H1615">
        <v>1337.2103271000001</v>
      </c>
      <c r="I1615">
        <v>1326.0532227000001</v>
      </c>
      <c r="J1615">
        <v>1323.9146728999999</v>
      </c>
      <c r="K1615">
        <v>2400</v>
      </c>
      <c r="L1615">
        <v>0</v>
      </c>
      <c r="M1615">
        <v>0</v>
      </c>
      <c r="N1615">
        <v>2400</v>
      </c>
    </row>
    <row r="1616" spans="1:14" x14ac:dyDescent="0.25">
      <c r="A1616">
        <v>808.61271999999997</v>
      </c>
      <c r="B1616" s="1">
        <f>DATE(2012,7,17) + TIME(14,42,18)</f>
        <v>41107.612708333334</v>
      </c>
      <c r="C1616">
        <v>80</v>
      </c>
      <c r="D1616">
        <v>79.970397949000002</v>
      </c>
      <c r="E1616">
        <v>50</v>
      </c>
      <c r="F1616">
        <v>46.748928069999998</v>
      </c>
      <c r="G1616">
        <v>1339.4202881000001</v>
      </c>
      <c r="H1616">
        <v>1337.2081298999999</v>
      </c>
      <c r="I1616">
        <v>1326.0368652</v>
      </c>
      <c r="J1616">
        <v>1323.8898925999999</v>
      </c>
      <c r="K1616">
        <v>2400</v>
      </c>
      <c r="L1616">
        <v>0</v>
      </c>
      <c r="M1616">
        <v>0</v>
      </c>
      <c r="N1616">
        <v>2400</v>
      </c>
    </row>
    <row r="1617" spans="1:14" x14ac:dyDescent="0.25">
      <c r="A1617">
        <v>809.40970700000003</v>
      </c>
      <c r="B1617" s="1">
        <f>DATE(2012,7,18) + TIME(9,49,58)</f>
        <v>41108.409699074073</v>
      </c>
      <c r="C1617">
        <v>80</v>
      </c>
      <c r="D1617">
        <v>79.970390320000007</v>
      </c>
      <c r="E1617">
        <v>50</v>
      </c>
      <c r="F1617">
        <v>46.725231170999997</v>
      </c>
      <c r="G1617">
        <v>1339.4167480000001</v>
      </c>
      <c r="H1617">
        <v>1337.2062988</v>
      </c>
      <c r="I1617">
        <v>1326.0256348</v>
      </c>
      <c r="J1617">
        <v>1323.8720702999999</v>
      </c>
      <c r="K1617">
        <v>2400</v>
      </c>
      <c r="L1617">
        <v>0</v>
      </c>
      <c r="M1617">
        <v>0</v>
      </c>
      <c r="N1617">
        <v>2400</v>
      </c>
    </row>
    <row r="1618" spans="1:14" x14ac:dyDescent="0.25">
      <c r="A1618">
        <v>810.20669399999997</v>
      </c>
      <c r="B1618" s="1">
        <f>DATE(2012,7,19) + TIME(4,57,38)</f>
        <v>41109.206689814811</v>
      </c>
      <c r="C1618">
        <v>80</v>
      </c>
      <c r="D1618">
        <v>79.970382689999994</v>
      </c>
      <c r="E1618">
        <v>50</v>
      </c>
      <c r="F1618">
        <v>46.704036713000001</v>
      </c>
      <c r="G1618">
        <v>1339.4135742000001</v>
      </c>
      <c r="H1618">
        <v>1337.2048339999999</v>
      </c>
      <c r="I1618">
        <v>1326.0153809000001</v>
      </c>
      <c r="J1618">
        <v>1323.8558350000001</v>
      </c>
      <c r="K1618">
        <v>2400</v>
      </c>
      <c r="L1618">
        <v>0</v>
      </c>
      <c r="M1618">
        <v>0</v>
      </c>
      <c r="N1618">
        <v>2400</v>
      </c>
    </row>
    <row r="1619" spans="1:14" x14ac:dyDescent="0.25">
      <c r="A1619">
        <v>811.00368100000003</v>
      </c>
      <c r="B1619" s="1">
        <f>DATE(2012,7,20) + TIME(0,5,18)</f>
        <v>41110.003680555557</v>
      </c>
      <c r="C1619">
        <v>80</v>
      </c>
      <c r="D1619">
        <v>79.970375060999999</v>
      </c>
      <c r="E1619">
        <v>50</v>
      </c>
      <c r="F1619">
        <v>46.684318542</v>
      </c>
      <c r="G1619">
        <v>1339.4104004000001</v>
      </c>
      <c r="H1619">
        <v>1337.2033690999999</v>
      </c>
      <c r="I1619">
        <v>1326.0054932</v>
      </c>
      <c r="J1619">
        <v>1323.8404541</v>
      </c>
      <c r="K1619">
        <v>2400</v>
      </c>
      <c r="L1619">
        <v>0</v>
      </c>
      <c r="M1619">
        <v>0</v>
      </c>
      <c r="N1619">
        <v>2400</v>
      </c>
    </row>
    <row r="1620" spans="1:14" x14ac:dyDescent="0.25">
      <c r="A1620">
        <v>811.80066799999997</v>
      </c>
      <c r="B1620" s="1">
        <f>DATE(2012,7,20) + TIME(19,12,57)</f>
        <v>41110.800659722219</v>
      </c>
      <c r="C1620">
        <v>80</v>
      </c>
      <c r="D1620">
        <v>79.970375060999999</v>
      </c>
      <c r="E1620">
        <v>50</v>
      </c>
      <c r="F1620">
        <v>46.665611267000003</v>
      </c>
      <c r="G1620">
        <v>1339.4072266000001</v>
      </c>
      <c r="H1620">
        <v>1337.2020264</v>
      </c>
      <c r="I1620">
        <v>1325.9959716999999</v>
      </c>
      <c r="J1620">
        <v>1323.8254394999999</v>
      </c>
      <c r="K1620">
        <v>2400</v>
      </c>
      <c r="L1620">
        <v>0</v>
      </c>
      <c r="M1620">
        <v>0</v>
      </c>
      <c r="N1620">
        <v>2400</v>
      </c>
    </row>
    <row r="1621" spans="1:14" x14ac:dyDescent="0.25">
      <c r="A1621">
        <v>812.59765500000003</v>
      </c>
      <c r="B1621" s="1">
        <f>DATE(2012,7,21) + TIME(14,20,37)</f>
        <v>41111.597650462965</v>
      </c>
      <c r="C1621">
        <v>80</v>
      </c>
      <c r="D1621">
        <v>79.970367432000003</v>
      </c>
      <c r="E1621">
        <v>50</v>
      </c>
      <c r="F1621">
        <v>46.647724152000002</v>
      </c>
      <c r="G1621">
        <v>1339.4041748</v>
      </c>
      <c r="H1621">
        <v>1337.2005615</v>
      </c>
      <c r="I1621">
        <v>1325.9865723</v>
      </c>
      <c r="J1621">
        <v>1323.8107910000001</v>
      </c>
      <c r="K1621">
        <v>2400</v>
      </c>
      <c r="L1621">
        <v>0</v>
      </c>
      <c r="M1621">
        <v>0</v>
      </c>
      <c r="N1621">
        <v>2400</v>
      </c>
    </row>
    <row r="1622" spans="1:14" x14ac:dyDescent="0.25">
      <c r="A1622">
        <v>813.39464199999998</v>
      </c>
      <c r="B1622" s="1">
        <f>DATE(2012,7,22) + TIME(9,28,17)</f>
        <v>41112.394641203704</v>
      </c>
      <c r="C1622">
        <v>80</v>
      </c>
      <c r="D1622">
        <v>79.970367432000003</v>
      </c>
      <c r="E1622">
        <v>50</v>
      </c>
      <c r="F1622">
        <v>46.630596161</v>
      </c>
      <c r="G1622">
        <v>1339.4011230000001</v>
      </c>
      <c r="H1622">
        <v>1337.1992187999999</v>
      </c>
      <c r="I1622">
        <v>1325.9774170000001</v>
      </c>
      <c r="J1622">
        <v>1323.7962646000001</v>
      </c>
      <c r="K1622">
        <v>2400</v>
      </c>
      <c r="L1622">
        <v>0</v>
      </c>
      <c r="M1622">
        <v>0</v>
      </c>
      <c r="N1622">
        <v>2400</v>
      </c>
    </row>
    <row r="1623" spans="1:14" x14ac:dyDescent="0.25">
      <c r="A1623">
        <v>814.19162900000003</v>
      </c>
      <c r="B1623" s="1">
        <f>DATE(2012,7,23) + TIME(4,35,56)</f>
        <v>41113.191620370373</v>
      </c>
      <c r="C1623">
        <v>80</v>
      </c>
      <c r="D1623">
        <v>79.970359802000004</v>
      </c>
      <c r="E1623">
        <v>50</v>
      </c>
      <c r="F1623">
        <v>46.614238739000001</v>
      </c>
      <c r="G1623">
        <v>1339.3980713000001</v>
      </c>
      <c r="H1623">
        <v>1337.197876</v>
      </c>
      <c r="I1623">
        <v>1325.9683838000001</v>
      </c>
      <c r="J1623">
        <v>1323.7818603999999</v>
      </c>
      <c r="K1623">
        <v>2400</v>
      </c>
      <c r="L1623">
        <v>0</v>
      </c>
      <c r="M1623">
        <v>0</v>
      </c>
      <c r="N1623">
        <v>2400</v>
      </c>
    </row>
    <row r="1624" spans="1:14" x14ac:dyDescent="0.25">
      <c r="A1624">
        <v>815.78560300000004</v>
      </c>
      <c r="B1624" s="1">
        <f>DATE(2012,7,24) + TIME(18,51,16)</f>
        <v>41114.785601851851</v>
      </c>
      <c r="C1624">
        <v>80</v>
      </c>
      <c r="D1624">
        <v>79.970375060999999</v>
      </c>
      <c r="E1624">
        <v>50</v>
      </c>
      <c r="F1624">
        <v>46.593765259000001</v>
      </c>
      <c r="G1624">
        <v>1339.3947754000001</v>
      </c>
      <c r="H1624">
        <v>1337.1961670000001</v>
      </c>
      <c r="I1624">
        <v>1325.9584961</v>
      </c>
      <c r="J1624">
        <v>1323.7659911999999</v>
      </c>
      <c r="K1624">
        <v>2400</v>
      </c>
      <c r="L1624">
        <v>0</v>
      </c>
      <c r="M1624">
        <v>0</v>
      </c>
      <c r="N1624">
        <v>2400</v>
      </c>
    </row>
    <row r="1625" spans="1:14" x14ac:dyDescent="0.25">
      <c r="A1625">
        <v>817.39780499999995</v>
      </c>
      <c r="B1625" s="1">
        <f>DATE(2012,7,26) + TIME(9,32,50)</f>
        <v>41116.397800925923</v>
      </c>
      <c r="C1625">
        <v>80</v>
      </c>
      <c r="D1625">
        <v>79.970375060999999</v>
      </c>
      <c r="E1625">
        <v>50</v>
      </c>
      <c r="F1625">
        <v>46.568431854000004</v>
      </c>
      <c r="G1625">
        <v>1339.3891602000001</v>
      </c>
      <c r="H1625">
        <v>1337.1936035000001</v>
      </c>
      <c r="I1625">
        <v>1325.9433594</v>
      </c>
      <c r="J1625">
        <v>1323.7420654</v>
      </c>
      <c r="K1625">
        <v>2400</v>
      </c>
      <c r="L1625">
        <v>0</v>
      </c>
      <c r="M1625">
        <v>0</v>
      </c>
      <c r="N1625">
        <v>2400</v>
      </c>
    </row>
    <row r="1626" spans="1:14" x14ac:dyDescent="0.25">
      <c r="A1626">
        <v>819.06216199999994</v>
      </c>
      <c r="B1626" s="1">
        <f>DATE(2012,7,28) + TIME(1,29,30)</f>
        <v>41118.062152777777</v>
      </c>
      <c r="C1626">
        <v>80</v>
      </c>
      <c r="D1626">
        <v>79.970375060999999</v>
      </c>
      <c r="E1626">
        <v>50</v>
      </c>
      <c r="F1626">
        <v>46.544151306000003</v>
      </c>
      <c r="G1626">
        <v>1339.3831786999999</v>
      </c>
      <c r="H1626">
        <v>1337.190918</v>
      </c>
      <c r="I1626">
        <v>1325.9267577999999</v>
      </c>
      <c r="J1626">
        <v>1323.7154541</v>
      </c>
      <c r="K1626">
        <v>2400</v>
      </c>
      <c r="L1626">
        <v>0</v>
      </c>
      <c r="M1626">
        <v>0</v>
      </c>
      <c r="N1626">
        <v>2400</v>
      </c>
    </row>
    <row r="1627" spans="1:14" x14ac:dyDescent="0.25">
      <c r="A1627">
        <v>819.90547700000002</v>
      </c>
      <c r="B1627" s="1">
        <f>DATE(2012,7,28) + TIME(21,43,53)</f>
        <v>41118.905474537038</v>
      </c>
      <c r="C1627">
        <v>80</v>
      </c>
      <c r="D1627">
        <v>79.970352172999995</v>
      </c>
      <c r="E1627">
        <v>50</v>
      </c>
      <c r="F1627">
        <v>46.528430939000003</v>
      </c>
      <c r="G1627">
        <v>1339.3778076000001</v>
      </c>
      <c r="H1627">
        <v>1337.1885986</v>
      </c>
      <c r="I1627">
        <v>1325.9110106999999</v>
      </c>
      <c r="J1627">
        <v>1323.6898193</v>
      </c>
      <c r="K1627">
        <v>2400</v>
      </c>
      <c r="L1627">
        <v>0</v>
      </c>
      <c r="M1627">
        <v>0</v>
      </c>
      <c r="N1627">
        <v>2400</v>
      </c>
    </row>
    <row r="1628" spans="1:14" x14ac:dyDescent="0.25">
      <c r="A1628">
        <v>820.74879299999998</v>
      </c>
      <c r="B1628" s="1">
        <f>DATE(2012,7,29) + TIME(17,58,15)</f>
        <v>41119.748784722222</v>
      </c>
      <c r="C1628">
        <v>80</v>
      </c>
      <c r="D1628">
        <v>79.970352172999995</v>
      </c>
      <c r="E1628">
        <v>50</v>
      </c>
      <c r="F1628">
        <v>46.517917633000003</v>
      </c>
      <c r="G1628">
        <v>1339.3745117000001</v>
      </c>
      <c r="H1628">
        <v>1337.1868896000001</v>
      </c>
      <c r="I1628">
        <v>1325.9002685999999</v>
      </c>
      <c r="J1628">
        <v>1323.6721190999999</v>
      </c>
      <c r="K1628">
        <v>2400</v>
      </c>
      <c r="L1628">
        <v>0</v>
      </c>
      <c r="M1628">
        <v>0</v>
      </c>
      <c r="N1628">
        <v>2400</v>
      </c>
    </row>
    <row r="1629" spans="1:14" x14ac:dyDescent="0.25">
      <c r="A1629">
        <v>821.59210800000005</v>
      </c>
      <c r="B1629" s="1">
        <f>DATE(2012,7,30) + TIME(14,12,38)</f>
        <v>41120.592106481483</v>
      </c>
      <c r="C1629">
        <v>80</v>
      </c>
      <c r="D1629">
        <v>79.970344542999996</v>
      </c>
      <c r="E1629">
        <v>50</v>
      </c>
      <c r="F1629">
        <v>46.511005402000002</v>
      </c>
      <c r="G1629">
        <v>1339.3714600000001</v>
      </c>
      <c r="H1629">
        <v>1337.1853027</v>
      </c>
      <c r="I1629">
        <v>1325.8907471</v>
      </c>
      <c r="J1629">
        <v>1323.6563721</v>
      </c>
      <c r="K1629">
        <v>2400</v>
      </c>
      <c r="L1629">
        <v>0</v>
      </c>
      <c r="M1629">
        <v>0</v>
      </c>
      <c r="N1629">
        <v>2400</v>
      </c>
    </row>
    <row r="1630" spans="1:14" x14ac:dyDescent="0.25">
      <c r="A1630">
        <v>823</v>
      </c>
      <c r="B1630" s="1">
        <f>DATE(2012,8,1) + TIME(0,0,0)</f>
        <v>41122</v>
      </c>
      <c r="C1630">
        <v>80</v>
      </c>
      <c r="D1630">
        <v>79.970359802000004</v>
      </c>
      <c r="E1630">
        <v>50</v>
      </c>
      <c r="F1630">
        <v>46.506153107000003</v>
      </c>
      <c r="G1630">
        <v>1339.3682861</v>
      </c>
      <c r="H1630">
        <v>1337.1837158000001</v>
      </c>
      <c r="I1630">
        <v>1325.8811035000001</v>
      </c>
      <c r="J1630">
        <v>1323.6403809000001</v>
      </c>
      <c r="K1630">
        <v>2400</v>
      </c>
      <c r="L1630">
        <v>0</v>
      </c>
      <c r="M1630">
        <v>0</v>
      </c>
      <c r="N1630">
        <v>2400</v>
      </c>
    </row>
    <row r="1631" spans="1:14" x14ac:dyDescent="0.25">
      <c r="A1631">
        <v>823.84331499999996</v>
      </c>
      <c r="B1631" s="1">
        <f>DATE(2012,8,1) + TIME(20,14,22)</f>
        <v>41122.843310185184</v>
      </c>
      <c r="C1631">
        <v>80</v>
      </c>
      <c r="D1631">
        <v>79.970352172999995</v>
      </c>
      <c r="E1631">
        <v>50</v>
      </c>
      <c r="F1631">
        <v>46.505908966</v>
      </c>
      <c r="G1631">
        <v>1339.3640137</v>
      </c>
      <c r="H1631">
        <v>1337.1818848</v>
      </c>
      <c r="I1631">
        <v>1325.8696289</v>
      </c>
      <c r="J1631">
        <v>1323.6210937999999</v>
      </c>
      <c r="K1631">
        <v>2400</v>
      </c>
      <c r="L1631">
        <v>0</v>
      </c>
      <c r="M1631">
        <v>0</v>
      </c>
      <c r="N1631">
        <v>2400</v>
      </c>
    </row>
    <row r="1632" spans="1:14" x14ac:dyDescent="0.25">
      <c r="A1632">
        <v>825.48463100000004</v>
      </c>
      <c r="B1632" s="1">
        <f>DATE(2012,8,3) + TIME(11,37,52)</f>
        <v>41124.484629629631</v>
      </c>
      <c r="C1632">
        <v>80</v>
      </c>
      <c r="D1632">
        <v>79.970359802000004</v>
      </c>
      <c r="E1632">
        <v>50</v>
      </c>
      <c r="F1632">
        <v>46.509925842000001</v>
      </c>
      <c r="G1632">
        <v>1339.3605957</v>
      </c>
      <c r="H1632">
        <v>1337.1799315999999</v>
      </c>
      <c r="I1632">
        <v>1325.8596190999999</v>
      </c>
      <c r="J1632">
        <v>1323.6044922000001</v>
      </c>
      <c r="K1632">
        <v>2400</v>
      </c>
      <c r="L1632">
        <v>0</v>
      </c>
      <c r="M1632">
        <v>0</v>
      </c>
      <c r="N1632">
        <v>2400</v>
      </c>
    </row>
    <row r="1633" spans="1:14" x14ac:dyDescent="0.25">
      <c r="A1633">
        <v>827.14926700000001</v>
      </c>
      <c r="B1633" s="1">
        <f>DATE(2012,8,5) + TIME(3,34,56)</f>
        <v>41126.149259259262</v>
      </c>
      <c r="C1633">
        <v>80</v>
      </c>
      <c r="D1633">
        <v>79.970367432000003</v>
      </c>
      <c r="E1633">
        <v>50</v>
      </c>
      <c r="F1633">
        <v>46.523826599000003</v>
      </c>
      <c r="G1633">
        <v>1339.3552245999999</v>
      </c>
      <c r="H1633">
        <v>1337.1773682</v>
      </c>
      <c r="I1633">
        <v>1325.8461914</v>
      </c>
      <c r="J1633">
        <v>1323.581543</v>
      </c>
      <c r="K1633">
        <v>2400</v>
      </c>
      <c r="L1633">
        <v>0</v>
      </c>
      <c r="M1633">
        <v>0</v>
      </c>
      <c r="N1633">
        <v>2400</v>
      </c>
    </row>
    <row r="1634" spans="1:14" x14ac:dyDescent="0.25">
      <c r="A1634">
        <v>828.88991699999997</v>
      </c>
      <c r="B1634" s="1">
        <f>DATE(2012,8,6) + TIME(21,21,28)</f>
        <v>41127.889907407407</v>
      </c>
      <c r="C1634">
        <v>80</v>
      </c>
      <c r="D1634">
        <v>79.970367432000003</v>
      </c>
      <c r="E1634">
        <v>50</v>
      </c>
      <c r="F1634">
        <v>46.550983428999999</v>
      </c>
      <c r="G1634">
        <v>1339.3497314000001</v>
      </c>
      <c r="H1634">
        <v>1337.1746826000001</v>
      </c>
      <c r="I1634">
        <v>1325.8319091999999</v>
      </c>
      <c r="J1634">
        <v>1323.5570068</v>
      </c>
      <c r="K1634">
        <v>2400</v>
      </c>
      <c r="L1634">
        <v>0</v>
      </c>
      <c r="M1634">
        <v>0</v>
      </c>
      <c r="N1634">
        <v>2400</v>
      </c>
    </row>
    <row r="1635" spans="1:14" x14ac:dyDescent="0.25">
      <c r="A1635">
        <v>829.77094399999999</v>
      </c>
      <c r="B1635" s="1">
        <f>DATE(2012,8,7) + TIME(18,30,9)</f>
        <v>41128.770937499998</v>
      </c>
      <c r="C1635">
        <v>80</v>
      </c>
      <c r="D1635">
        <v>79.970352172999995</v>
      </c>
      <c r="E1635">
        <v>50</v>
      </c>
      <c r="F1635">
        <v>46.585433960000003</v>
      </c>
      <c r="G1635">
        <v>1339.3446045000001</v>
      </c>
      <c r="H1635">
        <v>1337.1723632999999</v>
      </c>
      <c r="I1635">
        <v>1325.8189697</v>
      </c>
      <c r="J1635">
        <v>1323.5339355000001</v>
      </c>
      <c r="K1635">
        <v>2400</v>
      </c>
      <c r="L1635">
        <v>0</v>
      </c>
      <c r="M1635">
        <v>0</v>
      </c>
      <c r="N1635">
        <v>2400</v>
      </c>
    </row>
    <row r="1636" spans="1:14" x14ac:dyDescent="0.25">
      <c r="A1636">
        <v>831.37614799999994</v>
      </c>
      <c r="B1636" s="1">
        <f>DATE(2012,8,9) + TIME(9,1,39)</f>
        <v>41130.376145833332</v>
      </c>
      <c r="C1636">
        <v>80</v>
      </c>
      <c r="D1636">
        <v>79.970367432000003</v>
      </c>
      <c r="E1636">
        <v>50</v>
      </c>
      <c r="F1636">
        <v>46.629978180000002</v>
      </c>
      <c r="G1636">
        <v>1339.3410644999999</v>
      </c>
      <c r="H1636">
        <v>1337.1702881000001</v>
      </c>
      <c r="I1636">
        <v>1325.8087158000001</v>
      </c>
      <c r="J1636">
        <v>1323.5166016000001</v>
      </c>
      <c r="K1636">
        <v>2400</v>
      </c>
      <c r="L1636">
        <v>0</v>
      </c>
      <c r="M1636">
        <v>0</v>
      </c>
      <c r="N1636">
        <v>2400</v>
      </c>
    </row>
    <row r="1637" spans="1:14" x14ac:dyDescent="0.25">
      <c r="A1637">
        <v>833.11488399999996</v>
      </c>
      <c r="B1637" s="1">
        <f>DATE(2012,8,11) + TIME(2,45,26)</f>
        <v>41132.114884259259</v>
      </c>
      <c r="C1637">
        <v>80</v>
      </c>
      <c r="D1637">
        <v>79.970375060999999</v>
      </c>
      <c r="E1637">
        <v>50</v>
      </c>
      <c r="F1637">
        <v>46.699104308999999</v>
      </c>
      <c r="G1637">
        <v>1339.3360596</v>
      </c>
      <c r="H1637">
        <v>1337.1678466999999</v>
      </c>
      <c r="I1637">
        <v>1325.796875</v>
      </c>
      <c r="J1637">
        <v>1323.4954834</v>
      </c>
      <c r="K1637">
        <v>2400</v>
      </c>
      <c r="L1637">
        <v>0</v>
      </c>
      <c r="M1637">
        <v>0</v>
      </c>
      <c r="N1637">
        <v>2400</v>
      </c>
    </row>
    <row r="1638" spans="1:14" x14ac:dyDescent="0.25">
      <c r="A1638">
        <v>834.01198499999998</v>
      </c>
      <c r="B1638" s="1">
        <f>DATE(2012,8,12) + TIME(0,17,15)</f>
        <v>41133.011979166666</v>
      </c>
      <c r="C1638">
        <v>80</v>
      </c>
      <c r="D1638">
        <v>79.970359802000004</v>
      </c>
      <c r="E1638">
        <v>50</v>
      </c>
      <c r="F1638">
        <v>46.775062560999999</v>
      </c>
      <c r="G1638">
        <v>1339.3311768000001</v>
      </c>
      <c r="H1638">
        <v>1337.1655272999999</v>
      </c>
      <c r="I1638">
        <v>1325.7861327999999</v>
      </c>
      <c r="J1638">
        <v>1323.4749756000001</v>
      </c>
      <c r="K1638">
        <v>2400</v>
      </c>
      <c r="L1638">
        <v>0</v>
      </c>
      <c r="M1638">
        <v>0</v>
      </c>
      <c r="N1638">
        <v>2400</v>
      </c>
    </row>
    <row r="1639" spans="1:14" x14ac:dyDescent="0.25">
      <c r="A1639">
        <v>835.65262399999995</v>
      </c>
      <c r="B1639" s="1">
        <f>DATE(2012,8,13) + TIME(15,39,46)</f>
        <v>41134.652615740742</v>
      </c>
      <c r="C1639">
        <v>80</v>
      </c>
      <c r="D1639">
        <v>79.970375060999999</v>
      </c>
      <c r="E1639">
        <v>50</v>
      </c>
      <c r="F1639">
        <v>46.865516663000001</v>
      </c>
      <c r="G1639">
        <v>1339.3277588000001</v>
      </c>
      <c r="H1639">
        <v>1337.1634521000001</v>
      </c>
      <c r="I1639">
        <v>1325.7768555</v>
      </c>
      <c r="J1639">
        <v>1323.4594727000001</v>
      </c>
      <c r="K1639">
        <v>2400</v>
      </c>
      <c r="L1639">
        <v>0</v>
      </c>
      <c r="M1639">
        <v>0</v>
      </c>
      <c r="N1639">
        <v>2400</v>
      </c>
    </row>
    <row r="1640" spans="1:14" x14ac:dyDescent="0.25">
      <c r="A1640">
        <v>837.39842199999998</v>
      </c>
      <c r="B1640" s="1">
        <f>DATE(2012,8,15) + TIME(9,33,43)</f>
        <v>41136.398414351854</v>
      </c>
      <c r="C1640">
        <v>80</v>
      </c>
      <c r="D1640">
        <v>79.970382689999994</v>
      </c>
      <c r="E1640">
        <v>50</v>
      </c>
      <c r="F1640">
        <v>46.994739531999997</v>
      </c>
      <c r="G1640">
        <v>1339.3227539</v>
      </c>
      <c r="H1640">
        <v>1337.1610106999999</v>
      </c>
      <c r="I1640">
        <v>1325.7666016000001</v>
      </c>
      <c r="J1640">
        <v>1323.4405518000001</v>
      </c>
      <c r="K1640">
        <v>2400</v>
      </c>
      <c r="L1640">
        <v>0</v>
      </c>
      <c r="M1640">
        <v>0</v>
      </c>
      <c r="N1640">
        <v>2400</v>
      </c>
    </row>
    <row r="1641" spans="1:14" x14ac:dyDescent="0.25">
      <c r="A1641">
        <v>839.17699500000003</v>
      </c>
      <c r="B1641" s="1">
        <f>DATE(2012,8,17) + TIME(4,14,52)</f>
        <v>41138.176990740743</v>
      </c>
      <c r="C1641">
        <v>80</v>
      </c>
      <c r="D1641">
        <v>79.970390320000007</v>
      </c>
      <c r="E1641">
        <v>50</v>
      </c>
      <c r="F1641">
        <v>47.162181854000004</v>
      </c>
      <c r="G1641">
        <v>1339.3175048999999</v>
      </c>
      <c r="H1641">
        <v>1337.1583252</v>
      </c>
      <c r="I1641">
        <v>1325.7562256000001</v>
      </c>
      <c r="J1641">
        <v>1323.4210204999999</v>
      </c>
      <c r="K1641">
        <v>2400</v>
      </c>
      <c r="L1641">
        <v>0</v>
      </c>
      <c r="M1641">
        <v>0</v>
      </c>
      <c r="N1641">
        <v>2400</v>
      </c>
    </row>
    <row r="1642" spans="1:14" x14ac:dyDescent="0.25">
      <c r="A1642">
        <v>840.08624999999995</v>
      </c>
      <c r="B1642" s="1">
        <f>DATE(2012,8,18) + TIME(2,4,11)</f>
        <v>41139.086238425924</v>
      </c>
      <c r="C1642">
        <v>80</v>
      </c>
      <c r="D1642">
        <v>79.970382689999994</v>
      </c>
      <c r="E1642">
        <v>50</v>
      </c>
      <c r="F1642">
        <v>47.324893951</v>
      </c>
      <c r="G1642">
        <v>1339.3127440999999</v>
      </c>
      <c r="H1642">
        <v>1337.1560059000001</v>
      </c>
      <c r="I1642">
        <v>1325.7480469</v>
      </c>
      <c r="J1642">
        <v>1323.4038086</v>
      </c>
      <c r="K1642">
        <v>2400</v>
      </c>
      <c r="L1642">
        <v>0</v>
      </c>
      <c r="M1642">
        <v>0</v>
      </c>
      <c r="N1642">
        <v>2400</v>
      </c>
    </row>
    <row r="1643" spans="1:14" x14ac:dyDescent="0.25">
      <c r="A1643">
        <v>841.69511999999997</v>
      </c>
      <c r="B1643" s="1">
        <f>DATE(2012,8,19) + TIME(16,40,58)</f>
        <v>41140.695115740738</v>
      </c>
      <c r="C1643">
        <v>80</v>
      </c>
      <c r="D1643">
        <v>79.970397949000002</v>
      </c>
      <c r="E1643">
        <v>50</v>
      </c>
      <c r="F1643">
        <v>47.502002716</v>
      </c>
      <c r="G1643">
        <v>1339.3094481999999</v>
      </c>
      <c r="H1643">
        <v>1337.1539307</v>
      </c>
      <c r="I1643">
        <v>1325.7398682</v>
      </c>
      <c r="J1643">
        <v>1323.3911132999999</v>
      </c>
      <c r="K1643">
        <v>2400</v>
      </c>
      <c r="L1643">
        <v>0</v>
      </c>
      <c r="M1643">
        <v>0</v>
      </c>
      <c r="N1643">
        <v>2400</v>
      </c>
    </row>
    <row r="1644" spans="1:14" x14ac:dyDescent="0.25">
      <c r="A1644">
        <v>843.44612900000004</v>
      </c>
      <c r="B1644" s="1">
        <f>DATE(2012,8,21) + TIME(10,42,25)</f>
        <v>41142.446122685185</v>
      </c>
      <c r="C1644">
        <v>80</v>
      </c>
      <c r="D1644">
        <v>79.970405579000001</v>
      </c>
      <c r="E1644">
        <v>50</v>
      </c>
      <c r="F1644">
        <v>47.732955933</v>
      </c>
      <c r="G1644">
        <v>1339.3048096</v>
      </c>
      <c r="H1644">
        <v>1337.1514893000001</v>
      </c>
      <c r="I1644">
        <v>1325.7321777</v>
      </c>
      <c r="J1644">
        <v>1323.3763428</v>
      </c>
      <c r="K1644">
        <v>2400</v>
      </c>
      <c r="L1644">
        <v>0</v>
      </c>
      <c r="M1644">
        <v>0</v>
      </c>
      <c r="N1644">
        <v>2400</v>
      </c>
    </row>
    <row r="1645" spans="1:14" x14ac:dyDescent="0.25">
      <c r="A1645">
        <v>845.25218500000005</v>
      </c>
      <c r="B1645" s="1">
        <f>DATE(2012,8,23) + TIME(6,3,8)</f>
        <v>41144.252175925925</v>
      </c>
      <c r="C1645">
        <v>80</v>
      </c>
      <c r="D1645">
        <v>79.970413207999997</v>
      </c>
      <c r="E1645">
        <v>50</v>
      </c>
      <c r="F1645">
        <v>48.020626067999999</v>
      </c>
      <c r="G1645">
        <v>1339.2998047000001</v>
      </c>
      <c r="H1645">
        <v>1337.1488036999999</v>
      </c>
      <c r="I1645">
        <v>1325.7243652</v>
      </c>
      <c r="J1645">
        <v>1323.3614502</v>
      </c>
      <c r="K1645">
        <v>2400</v>
      </c>
      <c r="L1645">
        <v>0</v>
      </c>
      <c r="M1645">
        <v>0</v>
      </c>
      <c r="N1645">
        <v>2400</v>
      </c>
    </row>
    <row r="1646" spans="1:14" x14ac:dyDescent="0.25">
      <c r="A1646">
        <v>847.09590900000001</v>
      </c>
      <c r="B1646" s="1">
        <f>DATE(2012,8,25) + TIME(2,18,6)</f>
        <v>41146.095902777779</v>
      </c>
      <c r="C1646">
        <v>80</v>
      </c>
      <c r="D1646">
        <v>79.970428467000005</v>
      </c>
      <c r="E1646">
        <v>50</v>
      </c>
      <c r="F1646">
        <v>48.346637725999997</v>
      </c>
      <c r="G1646">
        <v>1339.2946777</v>
      </c>
      <c r="H1646">
        <v>1337.1461182</v>
      </c>
      <c r="I1646">
        <v>1325.7169189000001</v>
      </c>
      <c r="J1646">
        <v>1323.3472899999999</v>
      </c>
      <c r="K1646">
        <v>2400</v>
      </c>
      <c r="L1646">
        <v>0</v>
      </c>
      <c r="M1646">
        <v>0</v>
      </c>
      <c r="N1646">
        <v>2400</v>
      </c>
    </row>
    <row r="1647" spans="1:14" x14ac:dyDescent="0.25">
      <c r="A1647">
        <v>848.94152799999995</v>
      </c>
      <c r="B1647" s="1">
        <f>DATE(2012,8,26) + TIME(22,35,48)</f>
        <v>41147.941527777781</v>
      </c>
      <c r="C1647">
        <v>80</v>
      </c>
      <c r="D1647">
        <v>79.970436096</v>
      </c>
      <c r="E1647">
        <v>50</v>
      </c>
      <c r="F1647">
        <v>48.710411071999999</v>
      </c>
      <c r="G1647">
        <v>1339.2895507999999</v>
      </c>
      <c r="H1647">
        <v>1337.1433105000001</v>
      </c>
      <c r="I1647">
        <v>1325.7099608999999</v>
      </c>
      <c r="J1647">
        <v>1323.3341064000001</v>
      </c>
      <c r="K1647">
        <v>2400</v>
      </c>
      <c r="L1647">
        <v>0</v>
      </c>
      <c r="M1647">
        <v>0</v>
      </c>
      <c r="N1647">
        <v>2400</v>
      </c>
    </row>
    <row r="1648" spans="1:14" x14ac:dyDescent="0.25">
      <c r="A1648">
        <v>850.85370699999999</v>
      </c>
      <c r="B1648" s="1">
        <f>DATE(2012,8,28) + TIME(20,29,20)</f>
        <v>41149.853703703702</v>
      </c>
      <c r="C1648">
        <v>80</v>
      </c>
      <c r="D1648">
        <v>79.970443725999999</v>
      </c>
      <c r="E1648">
        <v>50</v>
      </c>
      <c r="F1648">
        <v>49.113441467000001</v>
      </c>
      <c r="G1648">
        <v>1339.2845459</v>
      </c>
      <c r="H1648">
        <v>1337.1405029</v>
      </c>
      <c r="I1648">
        <v>1325.7034911999999</v>
      </c>
      <c r="J1648">
        <v>1323.3222656</v>
      </c>
      <c r="K1648">
        <v>2400</v>
      </c>
      <c r="L1648">
        <v>0</v>
      </c>
      <c r="M1648">
        <v>0</v>
      </c>
      <c r="N1648">
        <v>2400</v>
      </c>
    </row>
    <row r="1649" spans="1:14" x14ac:dyDescent="0.25">
      <c r="A1649">
        <v>852.79322200000001</v>
      </c>
      <c r="B1649" s="1">
        <f>DATE(2012,8,30) + TIME(19,2,14)</f>
        <v>41151.793217592596</v>
      </c>
      <c r="C1649">
        <v>80</v>
      </c>
      <c r="D1649">
        <v>79.970458984000004</v>
      </c>
      <c r="E1649">
        <v>50</v>
      </c>
      <c r="F1649">
        <v>49.557476043999998</v>
      </c>
      <c r="G1649">
        <v>1339.2792969</v>
      </c>
      <c r="H1649">
        <v>1337.1376952999999</v>
      </c>
      <c r="I1649">
        <v>1325.6977539</v>
      </c>
      <c r="J1649">
        <v>1323.3116454999999</v>
      </c>
      <c r="K1649">
        <v>2400</v>
      </c>
      <c r="L1649">
        <v>0</v>
      </c>
      <c r="M1649">
        <v>0</v>
      </c>
      <c r="N1649">
        <v>2400</v>
      </c>
    </row>
    <row r="1650" spans="1:14" x14ac:dyDescent="0.25">
      <c r="A1650">
        <v>854</v>
      </c>
      <c r="B1650" s="1">
        <f>DATE(2012,9,1) + TIME(0,0,0)</f>
        <v>41153</v>
      </c>
      <c r="C1650">
        <v>80</v>
      </c>
      <c r="D1650">
        <v>79.970451354999994</v>
      </c>
      <c r="E1650">
        <v>50</v>
      </c>
      <c r="F1650">
        <v>49.968803405999999</v>
      </c>
      <c r="G1650">
        <v>1339.2745361</v>
      </c>
      <c r="H1650">
        <v>1337.1351318</v>
      </c>
      <c r="I1650">
        <v>1325.6942139</v>
      </c>
      <c r="J1650">
        <v>1323.3031006000001</v>
      </c>
      <c r="K1650">
        <v>2400</v>
      </c>
      <c r="L1650">
        <v>0</v>
      </c>
      <c r="M1650">
        <v>0</v>
      </c>
      <c r="N1650">
        <v>2400</v>
      </c>
    </row>
    <row r="1651" spans="1:14" x14ac:dyDescent="0.25">
      <c r="A1651">
        <v>856.00991299999998</v>
      </c>
      <c r="B1651" s="1">
        <f>DATE(2012,9,3) + TIME(0,14,16)</f>
        <v>41155.00990740741</v>
      </c>
      <c r="C1651">
        <v>80</v>
      </c>
      <c r="D1651">
        <v>79.970474242999998</v>
      </c>
      <c r="E1651">
        <v>50</v>
      </c>
      <c r="F1651">
        <v>50.367618561</v>
      </c>
      <c r="G1651">
        <v>1339.270874</v>
      </c>
      <c r="H1651">
        <v>1337.1329346</v>
      </c>
      <c r="I1651">
        <v>1325.6885986</v>
      </c>
      <c r="J1651">
        <v>1323.2969971</v>
      </c>
      <c r="K1651">
        <v>2400</v>
      </c>
      <c r="L1651">
        <v>0</v>
      </c>
      <c r="M1651">
        <v>0</v>
      </c>
      <c r="N1651">
        <v>2400</v>
      </c>
    </row>
    <row r="1652" spans="1:14" x14ac:dyDescent="0.25">
      <c r="A1652">
        <v>858.15580199999999</v>
      </c>
      <c r="B1652" s="1">
        <f>DATE(2012,9,5) + TIME(3,44,21)</f>
        <v>41157.155798611115</v>
      </c>
      <c r="C1652">
        <v>80</v>
      </c>
      <c r="D1652">
        <v>79.970497131000002</v>
      </c>
      <c r="E1652">
        <v>50</v>
      </c>
      <c r="F1652">
        <v>50.862285614000001</v>
      </c>
      <c r="G1652">
        <v>1339.2657471</v>
      </c>
      <c r="H1652">
        <v>1337.1301269999999</v>
      </c>
      <c r="I1652">
        <v>1325.6848144999999</v>
      </c>
      <c r="J1652">
        <v>1323.2895507999999</v>
      </c>
      <c r="K1652">
        <v>2400</v>
      </c>
      <c r="L1652">
        <v>0</v>
      </c>
      <c r="M1652">
        <v>0</v>
      </c>
      <c r="N1652">
        <v>2400</v>
      </c>
    </row>
    <row r="1653" spans="1:14" x14ac:dyDescent="0.25">
      <c r="A1653">
        <v>860.36930299999995</v>
      </c>
      <c r="B1653" s="1">
        <f>DATE(2012,9,7) + TIME(8,51,47)</f>
        <v>41159.369293981479</v>
      </c>
      <c r="C1653">
        <v>80</v>
      </c>
      <c r="D1653">
        <v>79.970512389999996</v>
      </c>
      <c r="E1653">
        <v>50</v>
      </c>
      <c r="F1653">
        <v>51.404716491999999</v>
      </c>
      <c r="G1653">
        <v>1339.260376</v>
      </c>
      <c r="H1653">
        <v>1337.1271973</v>
      </c>
      <c r="I1653">
        <v>1325.6811522999999</v>
      </c>
      <c r="J1653">
        <v>1323.2830810999999</v>
      </c>
      <c r="K1653">
        <v>2400</v>
      </c>
      <c r="L1653">
        <v>0</v>
      </c>
      <c r="M1653">
        <v>0</v>
      </c>
      <c r="N1653">
        <v>2400</v>
      </c>
    </row>
    <row r="1654" spans="1:14" x14ac:dyDescent="0.25">
      <c r="A1654">
        <v>862.64047800000003</v>
      </c>
      <c r="B1654" s="1">
        <f>DATE(2012,9,9) + TIME(15,22,17)</f>
        <v>41161.640474537038</v>
      </c>
      <c r="C1654">
        <v>80</v>
      </c>
      <c r="D1654">
        <v>79.970527649000005</v>
      </c>
      <c r="E1654">
        <v>50</v>
      </c>
      <c r="F1654">
        <v>51.966934203999998</v>
      </c>
      <c r="G1654">
        <v>1339.2548827999999</v>
      </c>
      <c r="H1654">
        <v>1337.1240233999999</v>
      </c>
      <c r="I1654">
        <v>1325.6779785000001</v>
      </c>
      <c r="J1654">
        <v>1323.2774658000001</v>
      </c>
      <c r="K1654">
        <v>2400</v>
      </c>
      <c r="L1654">
        <v>0</v>
      </c>
      <c r="M1654">
        <v>0</v>
      </c>
      <c r="N1654">
        <v>2400</v>
      </c>
    </row>
    <row r="1655" spans="1:14" x14ac:dyDescent="0.25">
      <c r="A1655">
        <v>864.95567900000003</v>
      </c>
      <c r="B1655" s="1">
        <f>DATE(2012,9,11) + TIME(22,56,10)</f>
        <v>41163.955671296295</v>
      </c>
      <c r="C1655">
        <v>80</v>
      </c>
      <c r="D1655">
        <v>79.970542907999999</v>
      </c>
      <c r="E1655">
        <v>50</v>
      </c>
      <c r="F1655">
        <v>52.534641266000001</v>
      </c>
      <c r="G1655">
        <v>1339.2493896000001</v>
      </c>
      <c r="H1655">
        <v>1337.1209716999999</v>
      </c>
      <c r="I1655">
        <v>1325.6751709</v>
      </c>
      <c r="J1655">
        <v>1323.2728271000001</v>
      </c>
      <c r="K1655">
        <v>2400</v>
      </c>
      <c r="L1655">
        <v>0</v>
      </c>
      <c r="M1655">
        <v>0</v>
      </c>
      <c r="N1655">
        <v>2400</v>
      </c>
    </row>
    <row r="1656" spans="1:14" x14ac:dyDescent="0.25">
      <c r="A1656">
        <v>867.33448799999996</v>
      </c>
      <c r="B1656" s="1">
        <f>DATE(2012,9,14) + TIME(8,1,39)</f>
        <v>41166.334479166668</v>
      </c>
      <c r="C1656">
        <v>80</v>
      </c>
      <c r="D1656">
        <v>79.970558166999993</v>
      </c>
      <c r="E1656">
        <v>50</v>
      </c>
      <c r="F1656">
        <v>53.097923279</v>
      </c>
      <c r="G1656">
        <v>1339.2438964999999</v>
      </c>
      <c r="H1656">
        <v>1337.1179199000001</v>
      </c>
      <c r="I1656">
        <v>1325.6729736</v>
      </c>
      <c r="J1656">
        <v>1323.269043</v>
      </c>
      <c r="K1656">
        <v>2400</v>
      </c>
      <c r="L1656">
        <v>0</v>
      </c>
      <c r="M1656">
        <v>0</v>
      </c>
      <c r="N1656">
        <v>2400</v>
      </c>
    </row>
    <row r="1657" spans="1:14" x14ac:dyDescent="0.25">
      <c r="A1657">
        <v>869.76069700000005</v>
      </c>
      <c r="B1657" s="1">
        <f>DATE(2012,9,16) + TIME(18,15,24)</f>
        <v>41168.760694444441</v>
      </c>
      <c r="C1657">
        <v>80</v>
      </c>
      <c r="D1657">
        <v>79.970581054999997</v>
      </c>
      <c r="E1657">
        <v>50</v>
      </c>
      <c r="F1657">
        <v>53.653995514000002</v>
      </c>
      <c r="G1657">
        <v>1339.2382812000001</v>
      </c>
      <c r="H1657">
        <v>1337.1147461</v>
      </c>
      <c r="I1657">
        <v>1325.6713867000001</v>
      </c>
      <c r="J1657">
        <v>1323.2661132999999</v>
      </c>
      <c r="K1657">
        <v>2400</v>
      </c>
      <c r="L1657">
        <v>0</v>
      </c>
      <c r="M1657">
        <v>0</v>
      </c>
      <c r="N1657">
        <v>2400</v>
      </c>
    </row>
    <row r="1658" spans="1:14" x14ac:dyDescent="0.25">
      <c r="A1658">
        <v>872.24131699999998</v>
      </c>
      <c r="B1658" s="1">
        <f>DATE(2012,9,19) + TIME(5,47,29)</f>
        <v>41171.241307870368</v>
      </c>
      <c r="C1658">
        <v>80</v>
      </c>
      <c r="D1658">
        <v>79.970603943</v>
      </c>
      <c r="E1658">
        <v>50</v>
      </c>
      <c r="F1658">
        <v>54.201404572000001</v>
      </c>
      <c r="G1658">
        <v>1339.2327881000001</v>
      </c>
      <c r="H1658">
        <v>1337.1116943</v>
      </c>
      <c r="I1658">
        <v>1325.6702881000001</v>
      </c>
      <c r="J1658">
        <v>1323.2640381000001</v>
      </c>
      <c r="K1658">
        <v>2400</v>
      </c>
      <c r="L1658">
        <v>0</v>
      </c>
      <c r="M1658">
        <v>0</v>
      </c>
      <c r="N1658">
        <v>2400</v>
      </c>
    </row>
    <row r="1659" spans="1:14" x14ac:dyDescent="0.25">
      <c r="A1659">
        <v>874.78114600000004</v>
      </c>
      <c r="B1659" s="1">
        <f>DATE(2012,9,21) + TIME(18,44,51)</f>
        <v>41173.781145833331</v>
      </c>
      <c r="C1659">
        <v>80</v>
      </c>
      <c r="D1659">
        <v>79.970619201999995</v>
      </c>
      <c r="E1659">
        <v>50</v>
      </c>
      <c r="F1659">
        <v>54.739437103</v>
      </c>
      <c r="G1659">
        <v>1339.2272949000001</v>
      </c>
      <c r="H1659">
        <v>1337.1085204999999</v>
      </c>
      <c r="I1659">
        <v>1325.6695557</v>
      </c>
      <c r="J1659">
        <v>1323.2625731999999</v>
      </c>
      <c r="K1659">
        <v>2400</v>
      </c>
      <c r="L1659">
        <v>0</v>
      </c>
      <c r="M1659">
        <v>0</v>
      </c>
      <c r="N1659">
        <v>2400</v>
      </c>
    </row>
    <row r="1660" spans="1:14" x14ac:dyDescent="0.25">
      <c r="A1660">
        <v>877.37420799999995</v>
      </c>
      <c r="B1660" s="1">
        <f>DATE(2012,9,24) + TIME(8,58,51)</f>
        <v>41176.374201388891</v>
      </c>
      <c r="C1660">
        <v>80</v>
      </c>
      <c r="D1660">
        <v>79.970642089999998</v>
      </c>
      <c r="E1660">
        <v>50</v>
      </c>
      <c r="F1660">
        <v>55.267360687</v>
      </c>
      <c r="G1660">
        <v>1339.2218018000001</v>
      </c>
      <c r="H1660">
        <v>1337.1054687999999</v>
      </c>
      <c r="I1660">
        <v>1325.6694336</v>
      </c>
      <c r="J1660">
        <v>1323.2617187999999</v>
      </c>
      <c r="K1660">
        <v>2400</v>
      </c>
      <c r="L1660">
        <v>0</v>
      </c>
      <c r="M1660">
        <v>0</v>
      </c>
      <c r="N1660">
        <v>2400</v>
      </c>
    </row>
    <row r="1661" spans="1:14" x14ac:dyDescent="0.25">
      <c r="A1661">
        <v>880.02375300000006</v>
      </c>
      <c r="B1661" s="1">
        <f>DATE(2012,9,27) + TIME(0,34,12)</f>
        <v>41179.02375</v>
      </c>
      <c r="C1661">
        <v>80</v>
      </c>
      <c r="D1661">
        <v>79.970664978000002</v>
      </c>
      <c r="E1661">
        <v>50</v>
      </c>
      <c r="F1661">
        <v>55.781822204999997</v>
      </c>
      <c r="G1661">
        <v>1339.2163086</v>
      </c>
      <c r="H1661">
        <v>1337.1024170000001</v>
      </c>
      <c r="I1661">
        <v>1325.6695557</v>
      </c>
      <c r="J1661">
        <v>1323.2613524999999</v>
      </c>
      <c r="K1661">
        <v>2400</v>
      </c>
      <c r="L1661">
        <v>0</v>
      </c>
      <c r="M1661">
        <v>0</v>
      </c>
      <c r="N1661">
        <v>2400</v>
      </c>
    </row>
    <row r="1662" spans="1:14" x14ac:dyDescent="0.25">
      <c r="A1662">
        <v>882.73577599999999</v>
      </c>
      <c r="B1662" s="1">
        <f>DATE(2012,9,29) + TIME(17,39,31)</f>
        <v>41181.735775462963</v>
      </c>
      <c r="C1662">
        <v>80</v>
      </c>
      <c r="D1662">
        <v>79.970695496000005</v>
      </c>
      <c r="E1662">
        <v>50</v>
      </c>
      <c r="F1662">
        <v>56.283847809000001</v>
      </c>
      <c r="G1662">
        <v>1339.2108154</v>
      </c>
      <c r="H1662">
        <v>1337.0992432</v>
      </c>
      <c r="I1662">
        <v>1325.6700439000001</v>
      </c>
      <c r="J1662">
        <v>1323.2613524999999</v>
      </c>
      <c r="K1662">
        <v>2400</v>
      </c>
      <c r="L1662">
        <v>0</v>
      </c>
      <c r="M1662">
        <v>0</v>
      </c>
      <c r="N1662">
        <v>2400</v>
      </c>
    </row>
    <row r="1663" spans="1:14" x14ac:dyDescent="0.25">
      <c r="A1663">
        <v>884</v>
      </c>
      <c r="B1663" s="1">
        <f>DATE(2012,10,1) + TIME(0,0,0)</f>
        <v>41183</v>
      </c>
      <c r="C1663">
        <v>80</v>
      </c>
      <c r="D1663">
        <v>79.970687866000006</v>
      </c>
      <c r="E1663">
        <v>50</v>
      </c>
      <c r="F1663">
        <v>56.688140869000001</v>
      </c>
      <c r="G1663">
        <v>1339.2060547000001</v>
      </c>
      <c r="H1663">
        <v>1337.0968018000001</v>
      </c>
      <c r="I1663">
        <v>1325.6729736</v>
      </c>
      <c r="J1663">
        <v>1323.2626952999999</v>
      </c>
      <c r="K1663">
        <v>2400</v>
      </c>
      <c r="L1663">
        <v>0</v>
      </c>
      <c r="M1663">
        <v>0</v>
      </c>
      <c r="N1663">
        <v>2400</v>
      </c>
    </row>
    <row r="1664" spans="1:14" x14ac:dyDescent="0.25">
      <c r="A1664">
        <v>886.76124600000003</v>
      </c>
      <c r="B1664" s="1">
        <f>DATE(2012,10,3) + TIME(18,16,11)</f>
        <v>41185.761238425926</v>
      </c>
      <c r="C1664">
        <v>80</v>
      </c>
      <c r="D1664">
        <v>79.970726013000004</v>
      </c>
      <c r="E1664">
        <v>50</v>
      </c>
      <c r="F1664">
        <v>57.017177582000002</v>
      </c>
      <c r="G1664">
        <v>1339.2027588000001</v>
      </c>
      <c r="H1664">
        <v>1337.0946045000001</v>
      </c>
      <c r="I1664">
        <v>1325.6711425999999</v>
      </c>
      <c r="J1664">
        <v>1323.2639160000001</v>
      </c>
      <c r="K1664">
        <v>2400</v>
      </c>
      <c r="L1664">
        <v>0</v>
      </c>
      <c r="M1664">
        <v>0</v>
      </c>
      <c r="N1664">
        <v>2400</v>
      </c>
    </row>
    <row r="1665" spans="1:14" x14ac:dyDescent="0.25">
      <c r="A1665">
        <v>889.63495599999999</v>
      </c>
      <c r="B1665" s="1">
        <f>DATE(2012,10,6) + TIME(15,14,20)</f>
        <v>41188.634953703702</v>
      </c>
      <c r="C1665">
        <v>80</v>
      </c>
      <c r="D1665">
        <v>79.970756531000006</v>
      </c>
      <c r="E1665">
        <v>50</v>
      </c>
      <c r="F1665">
        <v>57.452793120999999</v>
      </c>
      <c r="G1665">
        <v>1339.1976318</v>
      </c>
      <c r="H1665">
        <v>1337.0917969</v>
      </c>
      <c r="I1665">
        <v>1325.6719971</v>
      </c>
      <c r="J1665">
        <v>1323.2628173999999</v>
      </c>
      <c r="K1665">
        <v>2400</v>
      </c>
      <c r="L1665">
        <v>0</v>
      </c>
      <c r="M1665">
        <v>0</v>
      </c>
      <c r="N1665">
        <v>2400</v>
      </c>
    </row>
    <row r="1666" spans="1:14" x14ac:dyDescent="0.25">
      <c r="A1666">
        <v>892.56451800000002</v>
      </c>
      <c r="B1666" s="1">
        <f>DATE(2012,10,9) + TIME(13,32,54)</f>
        <v>41191.564513888887</v>
      </c>
      <c r="C1666">
        <v>80</v>
      </c>
      <c r="D1666">
        <v>79.970787048000005</v>
      </c>
      <c r="E1666">
        <v>50</v>
      </c>
      <c r="F1666">
        <v>57.898532867</v>
      </c>
      <c r="G1666">
        <v>1339.1921387</v>
      </c>
      <c r="H1666">
        <v>1337.0887451000001</v>
      </c>
      <c r="I1666">
        <v>1325.6732178</v>
      </c>
      <c r="J1666">
        <v>1323.2634277</v>
      </c>
      <c r="K1666">
        <v>2400</v>
      </c>
      <c r="L1666">
        <v>0</v>
      </c>
      <c r="M1666">
        <v>0</v>
      </c>
      <c r="N1666">
        <v>2400</v>
      </c>
    </row>
    <row r="1667" spans="1:14" x14ac:dyDescent="0.25">
      <c r="A1667">
        <v>895.53905599999996</v>
      </c>
      <c r="B1667" s="1">
        <f>DATE(2012,10,12) + TIME(12,56,14)</f>
        <v>41194.539050925923</v>
      </c>
      <c r="C1667">
        <v>80</v>
      </c>
      <c r="D1667">
        <v>79.970817565999994</v>
      </c>
      <c r="E1667">
        <v>50</v>
      </c>
      <c r="F1667">
        <v>58.332145691000001</v>
      </c>
      <c r="G1667">
        <v>1339.1867675999999</v>
      </c>
      <c r="H1667">
        <v>1337.0856934000001</v>
      </c>
      <c r="I1667">
        <v>1325.6745605000001</v>
      </c>
      <c r="J1667">
        <v>1323.2644043</v>
      </c>
      <c r="K1667">
        <v>2400</v>
      </c>
      <c r="L1667">
        <v>0</v>
      </c>
      <c r="M1667">
        <v>0</v>
      </c>
      <c r="N1667">
        <v>2400</v>
      </c>
    </row>
    <row r="1668" spans="1:14" x14ac:dyDescent="0.25">
      <c r="A1668">
        <v>898.61014499999999</v>
      </c>
      <c r="B1668" s="1">
        <f>DATE(2012,10,15) + TIME(14,38,36)</f>
        <v>41197.610138888886</v>
      </c>
      <c r="C1668">
        <v>80</v>
      </c>
      <c r="D1668">
        <v>79.970848083000007</v>
      </c>
      <c r="E1668">
        <v>50</v>
      </c>
      <c r="F1668">
        <v>58.749835967999999</v>
      </c>
      <c r="G1668">
        <v>1339.1815185999999</v>
      </c>
      <c r="H1668">
        <v>1337.0826416</v>
      </c>
      <c r="I1668">
        <v>1325.6761475000001</v>
      </c>
      <c r="J1668">
        <v>1323.2653809000001</v>
      </c>
      <c r="K1668">
        <v>2400</v>
      </c>
      <c r="L1668">
        <v>0</v>
      </c>
      <c r="M1668">
        <v>0</v>
      </c>
      <c r="N1668">
        <v>2400</v>
      </c>
    </row>
    <row r="1669" spans="1:14" x14ac:dyDescent="0.25">
      <c r="A1669">
        <v>901.73866599999997</v>
      </c>
      <c r="B1669" s="1">
        <f>DATE(2012,10,18) + TIME(17,43,40)</f>
        <v>41200.738657407404</v>
      </c>
      <c r="C1669">
        <v>80</v>
      </c>
      <c r="D1669">
        <v>79.970878600999995</v>
      </c>
      <c r="E1669">
        <v>50</v>
      </c>
      <c r="F1669">
        <v>59.155029296999999</v>
      </c>
      <c r="G1669">
        <v>1339.1761475000001</v>
      </c>
      <c r="H1669">
        <v>1337.0797118999999</v>
      </c>
      <c r="I1669">
        <v>1325.6777344</v>
      </c>
      <c r="J1669">
        <v>1323.2666016000001</v>
      </c>
      <c r="K1669">
        <v>2400</v>
      </c>
      <c r="L1669">
        <v>0</v>
      </c>
      <c r="M1669">
        <v>0</v>
      </c>
      <c r="N1669">
        <v>2400</v>
      </c>
    </row>
    <row r="1670" spans="1:14" x14ac:dyDescent="0.25">
      <c r="A1670">
        <v>904.919352</v>
      </c>
      <c r="B1670" s="1">
        <f>DATE(2012,10,21) + TIME(22,3,52)</f>
        <v>41203.919351851851</v>
      </c>
      <c r="C1670">
        <v>80</v>
      </c>
      <c r="D1670">
        <v>79.970909118999998</v>
      </c>
      <c r="E1670">
        <v>50</v>
      </c>
      <c r="F1670">
        <v>59.542789458999998</v>
      </c>
      <c r="G1670">
        <v>1339.1708983999999</v>
      </c>
      <c r="H1670">
        <v>1337.0766602000001</v>
      </c>
      <c r="I1670">
        <v>1325.6794434000001</v>
      </c>
      <c r="J1670">
        <v>1323.2678223</v>
      </c>
      <c r="K1670">
        <v>2400</v>
      </c>
      <c r="L1670">
        <v>0</v>
      </c>
      <c r="M1670">
        <v>0</v>
      </c>
      <c r="N1670">
        <v>2400</v>
      </c>
    </row>
    <row r="1671" spans="1:14" x14ac:dyDescent="0.25">
      <c r="A1671">
        <v>908.19758200000001</v>
      </c>
      <c r="B1671" s="1">
        <f>DATE(2012,10,25) + TIME(4,44,31)</f>
        <v>41207.197581018518</v>
      </c>
      <c r="C1671">
        <v>80</v>
      </c>
      <c r="D1671">
        <v>79.970947265999996</v>
      </c>
      <c r="E1671">
        <v>50</v>
      </c>
      <c r="F1671">
        <v>59.918731688999998</v>
      </c>
      <c r="G1671">
        <v>1339.1656493999999</v>
      </c>
      <c r="H1671">
        <v>1337.0737305</v>
      </c>
      <c r="I1671">
        <v>1325.6813964999999</v>
      </c>
      <c r="J1671">
        <v>1323.2691649999999</v>
      </c>
      <c r="K1671">
        <v>2400</v>
      </c>
      <c r="L1671">
        <v>0</v>
      </c>
      <c r="M1671">
        <v>0</v>
      </c>
      <c r="N1671">
        <v>2400</v>
      </c>
    </row>
    <row r="1672" spans="1:14" x14ac:dyDescent="0.25">
      <c r="A1672">
        <v>911.54250999999999</v>
      </c>
      <c r="B1672" s="1">
        <f>DATE(2012,10,28) + TIME(13,1,12)</f>
        <v>41210.542500000003</v>
      </c>
      <c r="C1672">
        <v>80</v>
      </c>
      <c r="D1672">
        <v>79.970977782999995</v>
      </c>
      <c r="E1672">
        <v>50</v>
      </c>
      <c r="F1672">
        <v>60.274345398000001</v>
      </c>
      <c r="G1672">
        <v>1339.1602783000001</v>
      </c>
      <c r="H1672">
        <v>1337.0708007999999</v>
      </c>
      <c r="I1672">
        <v>1325.6833495999999</v>
      </c>
      <c r="J1672">
        <v>1323.2705077999999</v>
      </c>
      <c r="K1672">
        <v>2400</v>
      </c>
      <c r="L1672">
        <v>0</v>
      </c>
      <c r="M1672">
        <v>0</v>
      </c>
      <c r="N1672">
        <v>2400</v>
      </c>
    </row>
    <row r="1673" spans="1:14" x14ac:dyDescent="0.25">
      <c r="A1673">
        <v>915</v>
      </c>
      <c r="B1673" s="1">
        <f>DATE(2012,11,1) + TIME(0,0,0)</f>
        <v>41214</v>
      </c>
      <c r="C1673">
        <v>80</v>
      </c>
      <c r="D1673">
        <v>79.971015929999993</v>
      </c>
      <c r="E1673">
        <v>50</v>
      </c>
      <c r="F1673">
        <v>60.623931884999998</v>
      </c>
      <c r="G1673">
        <v>1339.1551514</v>
      </c>
      <c r="H1673">
        <v>1337.0678711</v>
      </c>
      <c r="I1673">
        <v>1325.6854248</v>
      </c>
      <c r="J1673">
        <v>1323.2719727000001</v>
      </c>
      <c r="K1673">
        <v>2400</v>
      </c>
      <c r="L1673">
        <v>0</v>
      </c>
      <c r="M1673">
        <v>0</v>
      </c>
      <c r="N1673">
        <v>2400</v>
      </c>
    </row>
    <row r="1674" spans="1:14" x14ac:dyDescent="0.25">
      <c r="A1674">
        <v>915.000001</v>
      </c>
      <c r="B1674" s="1">
        <f>DATE(2012,11,1) + TIME(0,0,0)</f>
        <v>41214</v>
      </c>
      <c r="C1674">
        <v>80</v>
      </c>
      <c r="D1674">
        <v>79.970977782999995</v>
      </c>
      <c r="E1674">
        <v>50</v>
      </c>
      <c r="F1674">
        <v>60.623947143999999</v>
      </c>
      <c r="G1674">
        <v>1337.0570068</v>
      </c>
      <c r="H1674">
        <v>1336.3856201000001</v>
      </c>
      <c r="I1674">
        <v>1328.2390137</v>
      </c>
      <c r="J1674">
        <v>1325.7003173999999</v>
      </c>
      <c r="K1674">
        <v>0</v>
      </c>
      <c r="L1674">
        <v>2400</v>
      </c>
      <c r="M1674">
        <v>2400</v>
      </c>
      <c r="N1674">
        <v>0</v>
      </c>
    </row>
    <row r="1675" spans="1:14" x14ac:dyDescent="0.25">
      <c r="A1675">
        <v>915.00000399999999</v>
      </c>
      <c r="B1675" s="1">
        <f>DATE(2012,11,1) + TIME(0,0,0)</f>
        <v>41214</v>
      </c>
      <c r="C1675">
        <v>80</v>
      </c>
      <c r="D1675">
        <v>79.970878600999995</v>
      </c>
      <c r="E1675">
        <v>50</v>
      </c>
      <c r="F1675">
        <v>60.623977660999998</v>
      </c>
      <c r="G1675">
        <v>1337.0251464999999</v>
      </c>
      <c r="H1675">
        <v>1336.3551024999999</v>
      </c>
      <c r="I1675">
        <v>1328.2705077999999</v>
      </c>
      <c r="J1675">
        <v>1325.7443848</v>
      </c>
      <c r="K1675">
        <v>0</v>
      </c>
      <c r="L1675">
        <v>2400</v>
      </c>
      <c r="M1675">
        <v>2400</v>
      </c>
      <c r="N1675">
        <v>0</v>
      </c>
    </row>
    <row r="1676" spans="1:14" x14ac:dyDescent="0.25">
      <c r="A1676">
        <v>915.00001299999997</v>
      </c>
      <c r="B1676" s="1">
        <f>DATE(2012,11,1) + TIME(0,0,1)</f>
        <v>41214.000011574077</v>
      </c>
      <c r="C1676">
        <v>80</v>
      </c>
      <c r="D1676">
        <v>79.970588684000006</v>
      </c>
      <c r="E1676">
        <v>50</v>
      </c>
      <c r="F1676">
        <v>60.624069214000002</v>
      </c>
      <c r="G1676">
        <v>1336.9355469</v>
      </c>
      <c r="H1676">
        <v>1336.2689209</v>
      </c>
      <c r="I1676">
        <v>1328.3615723</v>
      </c>
      <c r="J1676">
        <v>1325.8696289</v>
      </c>
      <c r="K1676">
        <v>0</v>
      </c>
      <c r="L1676">
        <v>2400</v>
      </c>
      <c r="M1676">
        <v>2400</v>
      </c>
      <c r="N1676">
        <v>0</v>
      </c>
    </row>
    <row r="1677" spans="1:14" x14ac:dyDescent="0.25">
      <c r="A1677">
        <v>915.00004000000001</v>
      </c>
      <c r="B1677" s="1">
        <f>DATE(2012,11,1) + TIME(0,0,3)</f>
        <v>41214.000034722223</v>
      </c>
      <c r="C1677">
        <v>80</v>
      </c>
      <c r="D1677">
        <v>79.969856261999993</v>
      </c>
      <c r="E1677">
        <v>50</v>
      </c>
      <c r="F1677">
        <v>60.624259948999999</v>
      </c>
      <c r="G1677">
        <v>1336.7084961</v>
      </c>
      <c r="H1677">
        <v>1336.0484618999999</v>
      </c>
      <c r="I1677">
        <v>1328.6074219</v>
      </c>
      <c r="J1677">
        <v>1326.1940918</v>
      </c>
      <c r="K1677">
        <v>0</v>
      </c>
      <c r="L1677">
        <v>2400</v>
      </c>
      <c r="M1677">
        <v>2400</v>
      </c>
      <c r="N1677">
        <v>0</v>
      </c>
    </row>
    <row r="1678" spans="1:14" x14ac:dyDescent="0.25">
      <c r="A1678">
        <v>915.00012100000004</v>
      </c>
      <c r="B1678" s="1">
        <f>DATE(2012,11,1) + TIME(0,0,10)</f>
        <v>41214.000115740739</v>
      </c>
      <c r="C1678">
        <v>80</v>
      </c>
      <c r="D1678">
        <v>79.968360900999997</v>
      </c>
      <c r="E1678">
        <v>50</v>
      </c>
      <c r="F1678">
        <v>60.624359130999999</v>
      </c>
      <c r="G1678">
        <v>1336.2454834</v>
      </c>
      <c r="H1678">
        <v>1335.5893555</v>
      </c>
      <c r="I1678">
        <v>1329.177124</v>
      </c>
      <c r="J1678">
        <v>1326.8843993999999</v>
      </c>
      <c r="K1678">
        <v>0</v>
      </c>
      <c r="L1678">
        <v>2400</v>
      </c>
      <c r="M1678">
        <v>2400</v>
      </c>
      <c r="N1678">
        <v>0</v>
      </c>
    </row>
    <row r="1679" spans="1:14" x14ac:dyDescent="0.25">
      <c r="A1679">
        <v>915.00036399999999</v>
      </c>
      <c r="B1679" s="1">
        <f>DATE(2012,11,1) + TIME(0,0,31)</f>
        <v>41214.000358796293</v>
      </c>
      <c r="C1679">
        <v>80</v>
      </c>
      <c r="D1679">
        <v>79.966117858999993</v>
      </c>
      <c r="E1679">
        <v>50</v>
      </c>
      <c r="F1679">
        <v>60.622180939000003</v>
      </c>
      <c r="G1679">
        <v>1335.5528564000001</v>
      </c>
      <c r="H1679">
        <v>1334.8831786999999</v>
      </c>
      <c r="I1679">
        <v>1330.1872559000001</v>
      </c>
      <c r="J1679">
        <v>1327.9604492000001</v>
      </c>
      <c r="K1679">
        <v>0</v>
      </c>
      <c r="L1679">
        <v>2400</v>
      </c>
      <c r="M1679">
        <v>2400</v>
      </c>
      <c r="N1679">
        <v>0</v>
      </c>
    </row>
    <row r="1680" spans="1:14" x14ac:dyDescent="0.25">
      <c r="A1680">
        <v>915.00109299999997</v>
      </c>
      <c r="B1680" s="1">
        <f>DATE(2012,11,1) + TIME(0,1,34)</f>
        <v>41214.001087962963</v>
      </c>
      <c r="C1680">
        <v>80</v>
      </c>
      <c r="D1680">
        <v>79.963470459000007</v>
      </c>
      <c r="E1680">
        <v>50</v>
      </c>
      <c r="F1680">
        <v>60.611434936999999</v>
      </c>
      <c r="G1680">
        <v>1334.7521973</v>
      </c>
      <c r="H1680">
        <v>1334.0509033000001</v>
      </c>
      <c r="I1680">
        <v>1331.5144043</v>
      </c>
      <c r="J1680">
        <v>1329.2655029</v>
      </c>
      <c r="K1680">
        <v>0</v>
      </c>
      <c r="L1680">
        <v>2400</v>
      </c>
      <c r="M1680">
        <v>2400</v>
      </c>
      <c r="N1680">
        <v>0</v>
      </c>
    </row>
    <row r="1681" spans="1:14" x14ac:dyDescent="0.25">
      <c r="A1681">
        <v>915.00328000000002</v>
      </c>
      <c r="B1681" s="1">
        <f>DATE(2012,11,1) + TIME(0,4,43)</f>
        <v>41214.003275462965</v>
      </c>
      <c r="C1681">
        <v>80</v>
      </c>
      <c r="D1681">
        <v>79.960517882999994</v>
      </c>
      <c r="E1681">
        <v>50</v>
      </c>
      <c r="F1681">
        <v>60.573192595999998</v>
      </c>
      <c r="G1681">
        <v>1333.9111327999999</v>
      </c>
      <c r="H1681">
        <v>1333.1673584</v>
      </c>
      <c r="I1681">
        <v>1332.9367675999999</v>
      </c>
      <c r="J1681">
        <v>1330.6448975000001</v>
      </c>
      <c r="K1681">
        <v>0</v>
      </c>
      <c r="L1681">
        <v>2400</v>
      </c>
      <c r="M1681">
        <v>2400</v>
      </c>
      <c r="N1681">
        <v>0</v>
      </c>
    </row>
    <row r="1682" spans="1:14" x14ac:dyDescent="0.25">
      <c r="A1682">
        <v>915.00984100000005</v>
      </c>
      <c r="B1682" s="1">
        <f>DATE(2012,11,1) + TIME(0,14,10)</f>
        <v>41214.009837962964</v>
      </c>
      <c r="C1682">
        <v>80</v>
      </c>
      <c r="D1682">
        <v>79.956863403</v>
      </c>
      <c r="E1682">
        <v>50</v>
      </c>
      <c r="F1682">
        <v>60.452087401999997</v>
      </c>
      <c r="G1682">
        <v>1333.0211182</v>
      </c>
      <c r="H1682">
        <v>1332.2216797000001</v>
      </c>
      <c r="I1682">
        <v>1334.3690185999999</v>
      </c>
      <c r="J1682">
        <v>1332.0354004000001</v>
      </c>
      <c r="K1682">
        <v>0</v>
      </c>
      <c r="L1682">
        <v>2400</v>
      </c>
      <c r="M1682">
        <v>2400</v>
      </c>
      <c r="N1682">
        <v>0</v>
      </c>
    </row>
    <row r="1683" spans="1:14" x14ac:dyDescent="0.25">
      <c r="A1683">
        <v>915.02952400000004</v>
      </c>
      <c r="B1683" s="1">
        <f>DATE(2012,11,1) + TIME(0,42,30)</f>
        <v>41214.029513888891</v>
      </c>
      <c r="C1683">
        <v>80</v>
      </c>
      <c r="D1683">
        <v>79.951316833000007</v>
      </c>
      <c r="E1683">
        <v>50</v>
      </c>
      <c r="F1683">
        <v>60.090015411000003</v>
      </c>
      <c r="G1683">
        <v>1332.0672606999999</v>
      </c>
      <c r="H1683">
        <v>1331.2033690999999</v>
      </c>
      <c r="I1683">
        <v>1335.7861327999999</v>
      </c>
      <c r="J1683">
        <v>1333.4019774999999</v>
      </c>
      <c r="K1683">
        <v>0</v>
      </c>
      <c r="L1683">
        <v>2400</v>
      </c>
      <c r="M1683">
        <v>2400</v>
      </c>
      <c r="N1683">
        <v>0</v>
      </c>
    </row>
    <row r="1684" spans="1:14" x14ac:dyDescent="0.25">
      <c r="A1684">
        <v>915.05364399999996</v>
      </c>
      <c r="B1684" s="1">
        <f>DATE(2012,11,1) + TIME(1,17,14)</f>
        <v>41214.05363425926</v>
      </c>
      <c r="C1684">
        <v>80</v>
      </c>
      <c r="D1684">
        <v>79.946342467999997</v>
      </c>
      <c r="E1684">
        <v>50</v>
      </c>
      <c r="F1684">
        <v>59.659896850999999</v>
      </c>
      <c r="G1684">
        <v>1331.4871826000001</v>
      </c>
      <c r="H1684">
        <v>1330.5834961</v>
      </c>
      <c r="I1684">
        <v>1336.5979004000001</v>
      </c>
      <c r="J1684">
        <v>1334.1785889</v>
      </c>
      <c r="K1684">
        <v>0</v>
      </c>
      <c r="L1684">
        <v>2400</v>
      </c>
      <c r="M1684">
        <v>2400</v>
      </c>
      <c r="N1684">
        <v>0</v>
      </c>
    </row>
    <row r="1685" spans="1:14" x14ac:dyDescent="0.25">
      <c r="A1685">
        <v>915.07932800000003</v>
      </c>
      <c r="B1685" s="1">
        <f>DATE(2012,11,1) + TIME(1,54,13)</f>
        <v>41214.079317129632</v>
      </c>
      <c r="C1685">
        <v>80</v>
      </c>
      <c r="D1685">
        <v>79.941795349000003</v>
      </c>
      <c r="E1685">
        <v>50</v>
      </c>
      <c r="F1685">
        <v>59.220729828000003</v>
      </c>
      <c r="G1685">
        <v>1331.1179199000001</v>
      </c>
      <c r="H1685">
        <v>1330.1892089999999</v>
      </c>
      <c r="I1685">
        <v>1337.0952147999999</v>
      </c>
      <c r="J1685">
        <v>1334.6518555</v>
      </c>
      <c r="K1685">
        <v>0</v>
      </c>
      <c r="L1685">
        <v>2400</v>
      </c>
      <c r="M1685">
        <v>2400</v>
      </c>
      <c r="N1685">
        <v>0</v>
      </c>
    </row>
    <row r="1686" spans="1:14" x14ac:dyDescent="0.25">
      <c r="A1686">
        <v>915.10647700000004</v>
      </c>
      <c r="B1686" s="1">
        <f>DATE(2012,11,1) + TIME(2,33,19)</f>
        <v>41214.106469907405</v>
      </c>
      <c r="C1686">
        <v>80</v>
      </c>
      <c r="D1686">
        <v>79.937408446999996</v>
      </c>
      <c r="E1686">
        <v>50</v>
      </c>
      <c r="F1686">
        <v>58.778507232999999</v>
      </c>
      <c r="G1686">
        <v>1330.8604736</v>
      </c>
      <c r="H1686">
        <v>1329.9151611</v>
      </c>
      <c r="I1686">
        <v>1337.4315185999999</v>
      </c>
      <c r="J1686">
        <v>1334.9716797000001</v>
      </c>
      <c r="K1686">
        <v>0</v>
      </c>
      <c r="L1686">
        <v>2400</v>
      </c>
      <c r="M1686">
        <v>2400</v>
      </c>
      <c r="N1686">
        <v>0</v>
      </c>
    </row>
    <row r="1687" spans="1:14" x14ac:dyDescent="0.25">
      <c r="A1687">
        <v>915.13506900000004</v>
      </c>
      <c r="B1687" s="1">
        <f>DATE(2012,11,1) + TIME(3,14,29)</f>
        <v>41214.135057870371</v>
      </c>
      <c r="C1687">
        <v>80</v>
      </c>
      <c r="D1687">
        <v>79.933036803999997</v>
      </c>
      <c r="E1687">
        <v>50</v>
      </c>
      <c r="F1687">
        <v>58.336963654000002</v>
      </c>
      <c r="G1687">
        <v>1330.6702881000001</v>
      </c>
      <c r="H1687">
        <v>1329.7131348</v>
      </c>
      <c r="I1687">
        <v>1337.6732178</v>
      </c>
      <c r="J1687">
        <v>1335.2015381000001</v>
      </c>
      <c r="K1687">
        <v>0</v>
      </c>
      <c r="L1687">
        <v>2400</v>
      </c>
      <c r="M1687">
        <v>2400</v>
      </c>
      <c r="N1687">
        <v>0</v>
      </c>
    </row>
    <row r="1688" spans="1:14" x14ac:dyDescent="0.25">
      <c r="A1688">
        <v>915.16510300000004</v>
      </c>
      <c r="B1688" s="1">
        <f>DATE(2012,11,1) + TIME(3,57,44)</f>
        <v>41214.165092592593</v>
      </c>
      <c r="C1688">
        <v>80</v>
      </c>
      <c r="D1688">
        <v>79.928634643999999</v>
      </c>
      <c r="E1688">
        <v>50</v>
      </c>
      <c r="F1688">
        <v>57.898944855000003</v>
      </c>
      <c r="G1688">
        <v>1330.5239257999999</v>
      </c>
      <c r="H1688">
        <v>1329.5579834</v>
      </c>
      <c r="I1688">
        <v>1337.8537598</v>
      </c>
      <c r="J1688">
        <v>1335.3737793</v>
      </c>
      <c r="K1688">
        <v>0</v>
      </c>
      <c r="L1688">
        <v>2400</v>
      </c>
      <c r="M1688">
        <v>2400</v>
      </c>
      <c r="N1688">
        <v>0</v>
      </c>
    </row>
    <row r="1689" spans="1:14" x14ac:dyDescent="0.25">
      <c r="A1689">
        <v>915.19663400000002</v>
      </c>
      <c r="B1689" s="1">
        <f>DATE(2012,11,1) + TIME(4,43,9)</f>
        <v>41214.196631944447</v>
      </c>
      <c r="C1689">
        <v>80</v>
      </c>
      <c r="D1689">
        <v>79.924140929999993</v>
      </c>
      <c r="E1689">
        <v>50</v>
      </c>
      <c r="F1689">
        <v>57.466094970999997</v>
      </c>
      <c r="G1689">
        <v>1330.4073486</v>
      </c>
      <c r="H1689">
        <v>1329.4345702999999</v>
      </c>
      <c r="I1689">
        <v>1337.9925536999999</v>
      </c>
      <c r="J1689">
        <v>1335.5064697</v>
      </c>
      <c r="K1689">
        <v>0</v>
      </c>
      <c r="L1689">
        <v>2400</v>
      </c>
      <c r="M1689">
        <v>2400</v>
      </c>
      <c r="N1689">
        <v>0</v>
      </c>
    </row>
    <row r="1690" spans="1:14" x14ac:dyDescent="0.25">
      <c r="A1690">
        <v>915.22973100000002</v>
      </c>
      <c r="B1690" s="1">
        <f>DATE(2012,11,1) + TIME(5,30,48)</f>
        <v>41214.229722222219</v>
      </c>
      <c r="C1690">
        <v>80</v>
      </c>
      <c r="D1690">
        <v>79.919532775999997</v>
      </c>
      <c r="E1690">
        <v>50</v>
      </c>
      <c r="F1690">
        <v>57.039737701</v>
      </c>
      <c r="G1690">
        <v>1330.3120117000001</v>
      </c>
      <c r="H1690">
        <v>1329.3338623</v>
      </c>
      <c r="I1690">
        <v>1338.1014404</v>
      </c>
      <c r="J1690">
        <v>1335.6108397999999</v>
      </c>
      <c r="K1690">
        <v>0</v>
      </c>
      <c r="L1690">
        <v>2400</v>
      </c>
      <c r="M1690">
        <v>2400</v>
      </c>
      <c r="N1690">
        <v>0</v>
      </c>
    </row>
    <row r="1691" spans="1:14" x14ac:dyDescent="0.25">
      <c r="A1691">
        <v>915.26447800000005</v>
      </c>
      <c r="B1691" s="1">
        <f>DATE(2012,11,1) + TIME(6,20,50)</f>
        <v>41214.264467592591</v>
      </c>
      <c r="C1691">
        <v>80</v>
      </c>
      <c r="D1691">
        <v>79.914794921999999</v>
      </c>
      <c r="E1691">
        <v>50</v>
      </c>
      <c r="F1691">
        <v>56.620925903</v>
      </c>
      <c r="G1691">
        <v>1330.2324219</v>
      </c>
      <c r="H1691">
        <v>1329.2496338000001</v>
      </c>
      <c r="I1691">
        <v>1338.1879882999999</v>
      </c>
      <c r="J1691">
        <v>1335.6939697</v>
      </c>
      <c r="K1691">
        <v>0</v>
      </c>
      <c r="L1691">
        <v>2400</v>
      </c>
      <c r="M1691">
        <v>2400</v>
      </c>
      <c r="N1691">
        <v>0</v>
      </c>
    </row>
    <row r="1692" spans="1:14" x14ac:dyDescent="0.25">
      <c r="A1692">
        <v>915.30097599999999</v>
      </c>
      <c r="B1692" s="1">
        <f>DATE(2012,11,1) + TIME(7,13,24)</f>
        <v>41214.30097222222</v>
      </c>
      <c r="C1692">
        <v>80</v>
      </c>
      <c r="D1692">
        <v>79.909904479999994</v>
      </c>
      <c r="E1692">
        <v>50</v>
      </c>
      <c r="F1692">
        <v>56.210502624999997</v>
      </c>
      <c r="G1692">
        <v>1330.1647949000001</v>
      </c>
      <c r="H1692">
        <v>1329.1778564000001</v>
      </c>
      <c r="I1692">
        <v>1338.2574463000001</v>
      </c>
      <c r="J1692">
        <v>1335.7608643000001</v>
      </c>
      <c r="K1692">
        <v>0</v>
      </c>
      <c r="L1692">
        <v>2400</v>
      </c>
      <c r="M1692">
        <v>2400</v>
      </c>
      <c r="N1692">
        <v>0</v>
      </c>
    </row>
    <row r="1693" spans="1:14" x14ac:dyDescent="0.25">
      <c r="A1693">
        <v>915.33934199999999</v>
      </c>
      <c r="B1693" s="1">
        <f>DATE(2012,11,1) + TIME(8,8,39)</f>
        <v>41214.33934027778</v>
      </c>
      <c r="C1693">
        <v>80</v>
      </c>
      <c r="D1693">
        <v>79.904838561999995</v>
      </c>
      <c r="E1693">
        <v>50</v>
      </c>
      <c r="F1693">
        <v>55.809165954999997</v>
      </c>
      <c r="G1693">
        <v>1330.1065673999999</v>
      </c>
      <c r="H1693">
        <v>1329.1158447</v>
      </c>
      <c r="I1693">
        <v>1338.3133545000001</v>
      </c>
      <c r="J1693">
        <v>1335.8148193</v>
      </c>
      <c r="K1693">
        <v>0</v>
      </c>
      <c r="L1693">
        <v>2400</v>
      </c>
      <c r="M1693">
        <v>2400</v>
      </c>
      <c r="N1693">
        <v>0</v>
      </c>
    </row>
    <row r="1694" spans="1:14" x14ac:dyDescent="0.25">
      <c r="A1694">
        <v>915.37971200000004</v>
      </c>
      <c r="B1694" s="1">
        <f>DATE(2012,11,1) + TIME(9,6,47)</f>
        <v>41214.379710648151</v>
      </c>
      <c r="C1694">
        <v>80</v>
      </c>
      <c r="D1694">
        <v>79.899581909000005</v>
      </c>
      <c r="E1694">
        <v>50</v>
      </c>
      <c r="F1694">
        <v>55.417526244999998</v>
      </c>
      <c r="G1694">
        <v>1330.0555420000001</v>
      </c>
      <c r="H1694">
        <v>1329.0614014</v>
      </c>
      <c r="I1694">
        <v>1338.3582764</v>
      </c>
      <c r="J1694">
        <v>1335.8581543</v>
      </c>
      <c r="K1694">
        <v>0</v>
      </c>
      <c r="L1694">
        <v>2400</v>
      </c>
      <c r="M1694">
        <v>2400</v>
      </c>
      <c r="N1694">
        <v>0</v>
      </c>
    </row>
    <row r="1695" spans="1:14" x14ac:dyDescent="0.25">
      <c r="A1695">
        <v>915.422237</v>
      </c>
      <c r="B1695" s="1">
        <f>DATE(2012,11,1) + TIME(10,8,1)</f>
        <v>41214.422233796293</v>
      </c>
      <c r="C1695">
        <v>80</v>
      </c>
      <c r="D1695">
        <v>79.894119262999993</v>
      </c>
      <c r="E1695">
        <v>50</v>
      </c>
      <c r="F1695">
        <v>55.036128998000002</v>
      </c>
      <c r="G1695">
        <v>1330.0107422000001</v>
      </c>
      <c r="H1695">
        <v>1329.0130615</v>
      </c>
      <c r="I1695">
        <v>1338.394043</v>
      </c>
      <c r="J1695">
        <v>1335.8927002</v>
      </c>
      <c r="K1695">
        <v>0</v>
      </c>
      <c r="L1695">
        <v>2400</v>
      </c>
      <c r="M1695">
        <v>2400</v>
      </c>
      <c r="N1695">
        <v>0</v>
      </c>
    </row>
    <row r="1696" spans="1:14" x14ac:dyDescent="0.25">
      <c r="A1696">
        <v>915.46708799999999</v>
      </c>
      <c r="B1696" s="1">
        <f>DATE(2012,11,1) + TIME(11,12,36)</f>
        <v>41214.467083333337</v>
      </c>
      <c r="C1696">
        <v>80</v>
      </c>
      <c r="D1696">
        <v>79.888427734000004</v>
      </c>
      <c r="E1696">
        <v>50</v>
      </c>
      <c r="F1696">
        <v>54.665496826000002</v>
      </c>
      <c r="G1696">
        <v>1329.9708252</v>
      </c>
      <c r="H1696">
        <v>1328.9698486</v>
      </c>
      <c r="I1696">
        <v>1338.4222411999999</v>
      </c>
      <c r="J1696">
        <v>1335.9199219</v>
      </c>
      <c r="K1696">
        <v>0</v>
      </c>
      <c r="L1696">
        <v>2400</v>
      </c>
      <c r="M1696">
        <v>2400</v>
      </c>
      <c r="N1696">
        <v>0</v>
      </c>
    </row>
    <row r="1697" spans="1:14" x14ac:dyDescent="0.25">
      <c r="A1697">
        <v>915.51445999999999</v>
      </c>
      <c r="B1697" s="1">
        <f>DATE(2012,11,1) + TIME(12,20,49)</f>
        <v>41214.514456018522</v>
      </c>
      <c r="C1697">
        <v>80</v>
      </c>
      <c r="D1697">
        <v>79.882492064999994</v>
      </c>
      <c r="E1697">
        <v>50</v>
      </c>
      <c r="F1697">
        <v>54.306121826000002</v>
      </c>
      <c r="G1697">
        <v>1329.9349365</v>
      </c>
      <c r="H1697">
        <v>1328.9307861</v>
      </c>
      <c r="I1697">
        <v>1338.4440918</v>
      </c>
      <c r="J1697">
        <v>1335.940918</v>
      </c>
      <c r="K1697">
        <v>0</v>
      </c>
      <c r="L1697">
        <v>2400</v>
      </c>
      <c r="M1697">
        <v>2400</v>
      </c>
      <c r="N1697">
        <v>0</v>
      </c>
    </row>
    <row r="1698" spans="1:14" x14ac:dyDescent="0.25">
      <c r="A1698">
        <v>915.56456000000003</v>
      </c>
      <c r="B1698" s="1">
        <f>DATE(2012,11,1) + TIME(13,32,57)</f>
        <v>41214.56454861111</v>
      </c>
      <c r="C1698">
        <v>80</v>
      </c>
      <c r="D1698">
        <v>79.876296996999997</v>
      </c>
      <c r="E1698">
        <v>50</v>
      </c>
      <c r="F1698">
        <v>53.958541869999998</v>
      </c>
      <c r="G1698">
        <v>1329.9027100000001</v>
      </c>
      <c r="H1698">
        <v>1328.8952637</v>
      </c>
      <c r="I1698">
        <v>1338.4605713000001</v>
      </c>
      <c r="J1698">
        <v>1335.956543</v>
      </c>
      <c r="K1698">
        <v>0</v>
      </c>
      <c r="L1698">
        <v>2400</v>
      </c>
      <c r="M1698">
        <v>2400</v>
      </c>
      <c r="N1698">
        <v>0</v>
      </c>
    </row>
    <row r="1699" spans="1:14" x14ac:dyDescent="0.25">
      <c r="A1699">
        <v>915.61761899999999</v>
      </c>
      <c r="B1699" s="1">
        <f>DATE(2012,11,1) + TIME(14,49,22)</f>
        <v>41214.617615740739</v>
      </c>
      <c r="C1699">
        <v>80</v>
      </c>
      <c r="D1699">
        <v>79.869812011999997</v>
      </c>
      <c r="E1699">
        <v>50</v>
      </c>
      <c r="F1699">
        <v>53.623294829999999</v>
      </c>
      <c r="G1699">
        <v>1329.8734131000001</v>
      </c>
      <c r="H1699">
        <v>1328.8626709</v>
      </c>
      <c r="I1699">
        <v>1338.4722899999999</v>
      </c>
      <c r="J1699">
        <v>1335.9676514</v>
      </c>
      <c r="K1699">
        <v>0</v>
      </c>
      <c r="L1699">
        <v>2400</v>
      </c>
      <c r="M1699">
        <v>2400</v>
      </c>
      <c r="N1699">
        <v>0</v>
      </c>
    </row>
    <row r="1700" spans="1:14" x14ac:dyDescent="0.25">
      <c r="A1700">
        <v>915.67392900000004</v>
      </c>
      <c r="B1700" s="1">
        <f>DATE(2012,11,1) + TIME(16,10,27)</f>
        <v>41214.67392361111</v>
      </c>
      <c r="C1700">
        <v>80</v>
      </c>
      <c r="D1700">
        <v>79.863014221</v>
      </c>
      <c r="E1700">
        <v>50</v>
      </c>
      <c r="F1700">
        <v>53.300746918000002</v>
      </c>
      <c r="G1700">
        <v>1329.8466797000001</v>
      </c>
      <c r="H1700">
        <v>1328.8326416</v>
      </c>
      <c r="I1700">
        <v>1338.4802245999999</v>
      </c>
      <c r="J1700">
        <v>1335.9750977000001</v>
      </c>
      <c r="K1700">
        <v>0</v>
      </c>
      <c r="L1700">
        <v>2400</v>
      </c>
      <c r="M1700">
        <v>2400</v>
      </c>
      <c r="N1700">
        <v>0</v>
      </c>
    </row>
    <row r="1701" spans="1:14" x14ac:dyDescent="0.25">
      <c r="A1701">
        <v>915.73379699999998</v>
      </c>
      <c r="B1701" s="1">
        <f>DATE(2012,11,1) + TIME(17,36,40)</f>
        <v>41214.733796296299</v>
      </c>
      <c r="C1701">
        <v>80</v>
      </c>
      <c r="D1701">
        <v>79.855880737000007</v>
      </c>
      <c r="E1701">
        <v>50</v>
      </c>
      <c r="F1701">
        <v>52.991378783999998</v>
      </c>
      <c r="G1701">
        <v>1329.8222656</v>
      </c>
      <c r="H1701">
        <v>1328.8048096</v>
      </c>
      <c r="I1701">
        <v>1338.4848632999999</v>
      </c>
      <c r="J1701">
        <v>1335.9792480000001</v>
      </c>
      <c r="K1701">
        <v>0</v>
      </c>
      <c r="L1701">
        <v>2400</v>
      </c>
      <c r="M1701">
        <v>2400</v>
      </c>
      <c r="N1701">
        <v>0</v>
      </c>
    </row>
    <row r="1702" spans="1:14" x14ac:dyDescent="0.25">
      <c r="A1702">
        <v>915.79757400000005</v>
      </c>
      <c r="B1702" s="1">
        <f>DATE(2012,11,1) + TIME(19,8,30)</f>
        <v>41214.797569444447</v>
      </c>
      <c r="C1702">
        <v>80</v>
      </c>
      <c r="D1702">
        <v>79.848373413000004</v>
      </c>
      <c r="E1702">
        <v>50</v>
      </c>
      <c r="F1702">
        <v>52.695674896</v>
      </c>
      <c r="G1702">
        <v>1329.7996826000001</v>
      </c>
      <c r="H1702">
        <v>1328.7786865</v>
      </c>
      <c r="I1702">
        <v>1338.4869385</v>
      </c>
      <c r="J1702">
        <v>1335.9807129000001</v>
      </c>
      <c r="K1702">
        <v>0</v>
      </c>
      <c r="L1702">
        <v>2400</v>
      </c>
      <c r="M1702">
        <v>2400</v>
      </c>
      <c r="N1702">
        <v>0</v>
      </c>
    </row>
    <row r="1703" spans="1:14" x14ac:dyDescent="0.25">
      <c r="A1703">
        <v>915.86566000000005</v>
      </c>
      <c r="B1703" s="1">
        <f>DATE(2012,11,1) + TIME(20,46,33)</f>
        <v>41214.865659722222</v>
      </c>
      <c r="C1703">
        <v>80</v>
      </c>
      <c r="D1703">
        <v>79.84046936</v>
      </c>
      <c r="E1703">
        <v>50</v>
      </c>
      <c r="F1703">
        <v>52.414112091</v>
      </c>
      <c r="G1703">
        <v>1329.7786865</v>
      </c>
      <c r="H1703">
        <v>1328.7541504000001</v>
      </c>
      <c r="I1703">
        <v>1338.4866943</v>
      </c>
      <c r="J1703">
        <v>1335.9801024999999</v>
      </c>
      <c r="K1703">
        <v>0</v>
      </c>
      <c r="L1703">
        <v>2400</v>
      </c>
      <c r="M1703">
        <v>2400</v>
      </c>
      <c r="N1703">
        <v>0</v>
      </c>
    </row>
    <row r="1704" spans="1:14" x14ac:dyDescent="0.25">
      <c r="A1704">
        <v>915.93850899999995</v>
      </c>
      <c r="B1704" s="1">
        <f>DATE(2012,11,1) + TIME(22,31,27)</f>
        <v>41214.938506944447</v>
      </c>
      <c r="C1704">
        <v>80</v>
      </c>
      <c r="D1704">
        <v>79.832115173000005</v>
      </c>
      <c r="E1704">
        <v>50</v>
      </c>
      <c r="F1704">
        <v>52.147163390999999</v>
      </c>
      <c r="G1704">
        <v>1329.7591553</v>
      </c>
      <c r="H1704">
        <v>1328.730957</v>
      </c>
      <c r="I1704">
        <v>1338.4849853999999</v>
      </c>
      <c r="J1704">
        <v>1335.9779053</v>
      </c>
      <c r="K1704">
        <v>0</v>
      </c>
      <c r="L1704">
        <v>2400</v>
      </c>
      <c r="M1704">
        <v>2400</v>
      </c>
      <c r="N1704">
        <v>0</v>
      </c>
    </row>
    <row r="1705" spans="1:14" x14ac:dyDescent="0.25">
      <c r="A1705">
        <v>916.01664000000005</v>
      </c>
      <c r="B1705" s="1">
        <f>DATE(2012,11,2) + TIME(0,23,57)</f>
        <v>41215.016631944447</v>
      </c>
      <c r="C1705">
        <v>80</v>
      </c>
      <c r="D1705">
        <v>79.823280334000003</v>
      </c>
      <c r="E1705">
        <v>50</v>
      </c>
      <c r="F1705">
        <v>51.895290375000002</v>
      </c>
      <c r="G1705">
        <v>1329.7408447</v>
      </c>
      <c r="H1705">
        <v>1328.7088623</v>
      </c>
      <c r="I1705">
        <v>1338.4818115</v>
      </c>
      <c r="J1705">
        <v>1335.9744873</v>
      </c>
      <c r="K1705">
        <v>0</v>
      </c>
      <c r="L1705">
        <v>2400</v>
      </c>
      <c r="M1705">
        <v>2400</v>
      </c>
      <c r="N1705">
        <v>0</v>
      </c>
    </row>
    <row r="1706" spans="1:14" x14ac:dyDescent="0.25">
      <c r="A1706">
        <v>916.10065299999997</v>
      </c>
      <c r="B1706" s="1">
        <f>DATE(2012,11,2) + TIME(2,24,56)</f>
        <v>41215.100648148145</v>
      </c>
      <c r="C1706">
        <v>80</v>
      </c>
      <c r="D1706">
        <v>79.813903808999996</v>
      </c>
      <c r="E1706">
        <v>50</v>
      </c>
      <c r="F1706">
        <v>51.658927917</v>
      </c>
      <c r="G1706">
        <v>1329.7235106999999</v>
      </c>
      <c r="H1706">
        <v>1328.6875</v>
      </c>
      <c r="I1706">
        <v>1338.4779053</v>
      </c>
      <c r="J1706">
        <v>1335.9700928</v>
      </c>
      <c r="K1706">
        <v>0</v>
      </c>
      <c r="L1706">
        <v>2400</v>
      </c>
      <c r="M1706">
        <v>2400</v>
      </c>
      <c r="N1706">
        <v>0</v>
      </c>
    </row>
    <row r="1707" spans="1:14" x14ac:dyDescent="0.25">
      <c r="A1707">
        <v>916.191238</v>
      </c>
      <c r="B1707" s="1">
        <f>DATE(2012,11,2) + TIME(4,35,23)</f>
        <v>41215.191238425927</v>
      </c>
      <c r="C1707">
        <v>80</v>
      </c>
      <c r="D1707">
        <v>79.803947449000006</v>
      </c>
      <c r="E1707">
        <v>50</v>
      </c>
      <c r="F1707">
        <v>51.438484191999997</v>
      </c>
      <c r="G1707">
        <v>1329.7069091999999</v>
      </c>
      <c r="H1707">
        <v>1328.6668701000001</v>
      </c>
      <c r="I1707">
        <v>1338.4733887</v>
      </c>
      <c r="J1707">
        <v>1335.9652100000001</v>
      </c>
      <c r="K1707">
        <v>0</v>
      </c>
      <c r="L1707">
        <v>2400</v>
      </c>
      <c r="M1707">
        <v>2400</v>
      </c>
      <c r="N1707">
        <v>0</v>
      </c>
    </row>
    <row r="1708" spans="1:14" x14ac:dyDescent="0.25">
      <c r="A1708">
        <v>916.28919499999995</v>
      </c>
      <c r="B1708" s="1">
        <f>DATE(2012,11,2) + TIME(6,56,26)</f>
        <v>41215.289189814815</v>
      </c>
      <c r="C1708">
        <v>80</v>
      </c>
      <c r="D1708">
        <v>79.793327332000004</v>
      </c>
      <c r="E1708">
        <v>50</v>
      </c>
      <c r="F1708">
        <v>51.234325409</v>
      </c>
      <c r="G1708">
        <v>1329.6910399999999</v>
      </c>
      <c r="H1708">
        <v>1328.6467285000001</v>
      </c>
      <c r="I1708">
        <v>1338.4685059000001</v>
      </c>
      <c r="J1708">
        <v>1335.9602050999999</v>
      </c>
      <c r="K1708">
        <v>0</v>
      </c>
      <c r="L1708">
        <v>2400</v>
      </c>
      <c r="M1708">
        <v>2400</v>
      </c>
      <c r="N1708">
        <v>0</v>
      </c>
    </row>
    <row r="1709" spans="1:14" x14ac:dyDescent="0.25">
      <c r="A1709">
        <v>916.39547300000004</v>
      </c>
      <c r="B1709" s="1">
        <f>DATE(2012,11,2) + TIME(9,29,28)</f>
        <v>41215.395462962966</v>
      </c>
      <c r="C1709">
        <v>80</v>
      </c>
      <c r="D1709">
        <v>79.781982421999999</v>
      </c>
      <c r="E1709">
        <v>50</v>
      </c>
      <c r="F1709">
        <v>51.046714782999999</v>
      </c>
      <c r="G1709">
        <v>1329.6756591999999</v>
      </c>
      <c r="H1709">
        <v>1328.6269531</v>
      </c>
      <c r="I1709">
        <v>1338.4636230000001</v>
      </c>
      <c r="J1709">
        <v>1335.9550781</v>
      </c>
      <c r="K1709">
        <v>0</v>
      </c>
      <c r="L1709">
        <v>2400</v>
      </c>
      <c r="M1709">
        <v>2400</v>
      </c>
      <c r="N1709">
        <v>0</v>
      </c>
    </row>
    <row r="1710" spans="1:14" x14ac:dyDescent="0.25">
      <c r="A1710">
        <v>916.51115800000002</v>
      </c>
      <c r="B1710" s="1">
        <f>DATE(2012,11,2) + TIME(12,16,4)</f>
        <v>41215.511157407411</v>
      </c>
      <c r="C1710">
        <v>80</v>
      </c>
      <c r="D1710">
        <v>79.769821167000003</v>
      </c>
      <c r="E1710">
        <v>50</v>
      </c>
      <c r="F1710">
        <v>50.875892639</v>
      </c>
      <c r="G1710">
        <v>1329.6607666</v>
      </c>
      <c r="H1710">
        <v>1328.6072998</v>
      </c>
      <c r="I1710">
        <v>1338.4588623</v>
      </c>
      <c r="J1710">
        <v>1335.9501952999999</v>
      </c>
      <c r="K1710">
        <v>0</v>
      </c>
      <c r="L1710">
        <v>2400</v>
      </c>
      <c r="M1710">
        <v>2400</v>
      </c>
      <c r="N1710">
        <v>0</v>
      </c>
    </row>
    <row r="1711" spans="1:14" x14ac:dyDescent="0.25">
      <c r="A1711">
        <v>916.63752199999999</v>
      </c>
      <c r="B1711" s="1">
        <f>DATE(2012,11,2) + TIME(15,18,1)</f>
        <v>41215.637511574074</v>
      </c>
      <c r="C1711">
        <v>80</v>
      </c>
      <c r="D1711">
        <v>79.756744385000005</v>
      </c>
      <c r="E1711">
        <v>50</v>
      </c>
      <c r="F1711">
        <v>50.721977234000001</v>
      </c>
      <c r="G1711">
        <v>1329.6459961</v>
      </c>
      <c r="H1711">
        <v>1328.5875243999999</v>
      </c>
      <c r="I1711">
        <v>1338.4543457</v>
      </c>
      <c r="J1711">
        <v>1335.9456786999999</v>
      </c>
      <c r="K1711">
        <v>0</v>
      </c>
      <c r="L1711">
        <v>2400</v>
      </c>
      <c r="M1711">
        <v>2400</v>
      </c>
      <c r="N1711">
        <v>0</v>
      </c>
    </row>
    <row r="1712" spans="1:14" x14ac:dyDescent="0.25">
      <c r="A1712">
        <v>916.77403200000003</v>
      </c>
      <c r="B1712" s="1">
        <f>DATE(2012,11,2) + TIME(18,34,36)</f>
        <v>41215.774027777778</v>
      </c>
      <c r="C1712">
        <v>80</v>
      </c>
      <c r="D1712">
        <v>79.742820739999999</v>
      </c>
      <c r="E1712">
        <v>50</v>
      </c>
      <c r="F1712">
        <v>50.586589813000003</v>
      </c>
      <c r="G1712">
        <v>1329.6313477000001</v>
      </c>
      <c r="H1712">
        <v>1328.567749</v>
      </c>
      <c r="I1712">
        <v>1338.4501952999999</v>
      </c>
      <c r="J1712">
        <v>1335.9416504000001</v>
      </c>
      <c r="K1712">
        <v>0</v>
      </c>
      <c r="L1712">
        <v>2400</v>
      </c>
      <c r="M1712">
        <v>2400</v>
      </c>
      <c r="N1712">
        <v>0</v>
      </c>
    </row>
    <row r="1713" spans="1:14" x14ac:dyDescent="0.25">
      <c r="A1713">
        <v>916.91461300000003</v>
      </c>
      <c r="B1713" s="1">
        <f>DATE(2012,11,2) + TIME(21,57,2)</f>
        <v>41215.914606481485</v>
      </c>
      <c r="C1713">
        <v>80</v>
      </c>
      <c r="D1713">
        <v>79.728591918999996</v>
      </c>
      <c r="E1713">
        <v>50</v>
      </c>
      <c r="F1713">
        <v>50.473587035999998</v>
      </c>
      <c r="G1713">
        <v>1329.6169434000001</v>
      </c>
      <c r="H1713">
        <v>1328.5479736</v>
      </c>
      <c r="I1713">
        <v>1338.4471435999999</v>
      </c>
      <c r="J1713">
        <v>1335.9385986</v>
      </c>
      <c r="K1713">
        <v>0</v>
      </c>
      <c r="L1713">
        <v>2400</v>
      </c>
      <c r="M1713">
        <v>2400</v>
      </c>
      <c r="N1713">
        <v>0</v>
      </c>
    </row>
    <row r="1714" spans="1:14" x14ac:dyDescent="0.25">
      <c r="A1714">
        <v>917.05973300000005</v>
      </c>
      <c r="B1714" s="1">
        <f>DATE(2012,11,3) + TIME(1,26,0)</f>
        <v>41216.05972222222</v>
      </c>
      <c r="C1714">
        <v>80</v>
      </c>
      <c r="D1714">
        <v>79.714019774999997</v>
      </c>
      <c r="E1714">
        <v>50</v>
      </c>
      <c r="F1714">
        <v>50.379543304000002</v>
      </c>
      <c r="G1714">
        <v>1329.6031493999999</v>
      </c>
      <c r="H1714">
        <v>1328.5288086</v>
      </c>
      <c r="I1714">
        <v>1338.4443358999999</v>
      </c>
      <c r="J1714">
        <v>1335.9361572</v>
      </c>
      <c r="K1714">
        <v>0</v>
      </c>
      <c r="L1714">
        <v>2400</v>
      </c>
      <c r="M1714">
        <v>2400</v>
      </c>
      <c r="N1714">
        <v>0</v>
      </c>
    </row>
    <row r="1715" spans="1:14" x14ac:dyDescent="0.25">
      <c r="A1715">
        <v>917.20969100000002</v>
      </c>
      <c r="B1715" s="1">
        <f>DATE(2012,11,3) + TIME(5,1,57)</f>
        <v>41216.209687499999</v>
      </c>
      <c r="C1715">
        <v>80</v>
      </c>
      <c r="D1715">
        <v>79.699081421000002</v>
      </c>
      <c r="E1715">
        <v>50</v>
      </c>
      <c r="F1715">
        <v>50.301643372000001</v>
      </c>
      <c r="G1715">
        <v>1329.5897216999999</v>
      </c>
      <c r="H1715">
        <v>1328.5100098</v>
      </c>
      <c r="I1715">
        <v>1338.4416504000001</v>
      </c>
      <c r="J1715">
        <v>1335.9339600000001</v>
      </c>
      <c r="K1715">
        <v>0</v>
      </c>
      <c r="L1715">
        <v>2400</v>
      </c>
      <c r="M1715">
        <v>2400</v>
      </c>
      <c r="N1715">
        <v>0</v>
      </c>
    </row>
    <row r="1716" spans="1:14" x14ac:dyDescent="0.25">
      <c r="A1716">
        <v>917.36481900000001</v>
      </c>
      <c r="B1716" s="1">
        <f>DATE(2012,11,3) + TIME(8,45,20)</f>
        <v>41216.364814814813</v>
      </c>
      <c r="C1716">
        <v>80</v>
      </c>
      <c r="D1716">
        <v>79.683746338000006</v>
      </c>
      <c r="E1716">
        <v>50</v>
      </c>
      <c r="F1716">
        <v>50.237438202</v>
      </c>
      <c r="G1716">
        <v>1329.5765381000001</v>
      </c>
      <c r="H1716">
        <v>1328.4913329999999</v>
      </c>
      <c r="I1716">
        <v>1338.4390868999999</v>
      </c>
      <c r="J1716">
        <v>1335.9320068</v>
      </c>
      <c r="K1716">
        <v>0</v>
      </c>
      <c r="L1716">
        <v>2400</v>
      </c>
      <c r="M1716">
        <v>2400</v>
      </c>
      <c r="N1716">
        <v>0</v>
      </c>
    </row>
    <row r="1717" spans="1:14" x14ac:dyDescent="0.25">
      <c r="A1717">
        <v>917.52547200000004</v>
      </c>
      <c r="B1717" s="1">
        <f>DATE(2012,11,3) + TIME(12,36,40)</f>
        <v>41216.525462962964</v>
      </c>
      <c r="C1717">
        <v>80</v>
      </c>
      <c r="D1717">
        <v>79.667984008999994</v>
      </c>
      <c r="E1717">
        <v>50</v>
      </c>
      <c r="F1717">
        <v>50.184806823999999</v>
      </c>
      <c r="G1717">
        <v>1329.5634766000001</v>
      </c>
      <c r="H1717">
        <v>1328.4727783000001</v>
      </c>
      <c r="I1717">
        <v>1338.4364014</v>
      </c>
      <c r="J1717">
        <v>1335.9302978999999</v>
      </c>
      <c r="K1717">
        <v>0</v>
      </c>
      <c r="L1717">
        <v>2400</v>
      </c>
      <c r="M1717">
        <v>2400</v>
      </c>
      <c r="N1717">
        <v>0</v>
      </c>
    </row>
    <row r="1718" spans="1:14" x14ac:dyDescent="0.25">
      <c r="A1718">
        <v>917.69203600000003</v>
      </c>
      <c r="B1718" s="1">
        <f>DATE(2012,11,3) + TIME(16,36,31)</f>
        <v>41216.692025462966</v>
      </c>
      <c r="C1718">
        <v>80</v>
      </c>
      <c r="D1718">
        <v>79.651771545000003</v>
      </c>
      <c r="E1718">
        <v>50</v>
      </c>
      <c r="F1718">
        <v>50.141914368000002</v>
      </c>
      <c r="G1718">
        <v>1329.5505370999999</v>
      </c>
      <c r="H1718">
        <v>1328.4541016000001</v>
      </c>
      <c r="I1718">
        <v>1338.4338379000001</v>
      </c>
      <c r="J1718">
        <v>1335.9287108999999</v>
      </c>
      <c r="K1718">
        <v>0</v>
      </c>
      <c r="L1718">
        <v>2400</v>
      </c>
      <c r="M1718">
        <v>2400</v>
      </c>
      <c r="N1718">
        <v>0</v>
      </c>
    </row>
    <row r="1719" spans="1:14" x14ac:dyDescent="0.25">
      <c r="A1719">
        <v>917.86492899999996</v>
      </c>
      <c r="B1719" s="1">
        <f>DATE(2012,11,3) + TIME(20,45,29)</f>
        <v>41216.864918981482</v>
      </c>
      <c r="C1719">
        <v>80</v>
      </c>
      <c r="D1719">
        <v>79.635078429999993</v>
      </c>
      <c r="E1719">
        <v>50</v>
      </c>
      <c r="F1719">
        <v>50.107173920000001</v>
      </c>
      <c r="G1719">
        <v>1329.5375977000001</v>
      </c>
      <c r="H1719">
        <v>1328.4354248</v>
      </c>
      <c r="I1719">
        <v>1338.4310303</v>
      </c>
      <c r="J1719">
        <v>1335.927124</v>
      </c>
      <c r="K1719">
        <v>0</v>
      </c>
      <c r="L1719">
        <v>2400</v>
      </c>
      <c r="M1719">
        <v>2400</v>
      </c>
      <c r="N1719">
        <v>0</v>
      </c>
    </row>
    <row r="1720" spans="1:14" x14ac:dyDescent="0.25">
      <c r="A1720">
        <v>918.04460600000004</v>
      </c>
      <c r="B1720" s="1">
        <f>DATE(2012,11,4) + TIME(1,4,13)</f>
        <v>41217.044594907406</v>
      </c>
      <c r="C1720">
        <v>80</v>
      </c>
      <c r="D1720">
        <v>79.617858886999997</v>
      </c>
      <c r="E1720">
        <v>50</v>
      </c>
      <c r="F1720">
        <v>50.079219817999999</v>
      </c>
      <c r="G1720">
        <v>1329.5244141000001</v>
      </c>
      <c r="H1720">
        <v>1328.416626</v>
      </c>
      <c r="I1720">
        <v>1338.4279785000001</v>
      </c>
      <c r="J1720">
        <v>1335.9256591999999</v>
      </c>
      <c r="K1720">
        <v>0</v>
      </c>
      <c r="L1720">
        <v>2400</v>
      </c>
      <c r="M1720">
        <v>2400</v>
      </c>
      <c r="N1720">
        <v>0</v>
      </c>
    </row>
    <row r="1721" spans="1:14" x14ac:dyDescent="0.25">
      <c r="A1721">
        <v>918.23148300000003</v>
      </c>
      <c r="B1721" s="1">
        <f>DATE(2012,11,4) + TIME(5,33,20)</f>
        <v>41217.231481481482</v>
      </c>
      <c r="C1721">
        <v>80</v>
      </c>
      <c r="D1721">
        <v>79.600090026999993</v>
      </c>
      <c r="E1721">
        <v>50</v>
      </c>
      <c r="F1721">
        <v>50.056892394999998</v>
      </c>
      <c r="G1721">
        <v>1329.5112305</v>
      </c>
      <c r="H1721">
        <v>1328.3974608999999</v>
      </c>
      <c r="I1721">
        <v>1338.4249268000001</v>
      </c>
      <c r="J1721">
        <v>1335.9240723</v>
      </c>
      <c r="K1721">
        <v>0</v>
      </c>
      <c r="L1721">
        <v>2400</v>
      </c>
      <c r="M1721">
        <v>2400</v>
      </c>
      <c r="N1721">
        <v>0</v>
      </c>
    </row>
    <row r="1722" spans="1:14" x14ac:dyDescent="0.25">
      <c r="A1722">
        <v>918.42616999999996</v>
      </c>
      <c r="B1722" s="1">
        <f>DATE(2012,11,4) + TIME(10,13,41)</f>
        <v>41217.426168981481</v>
      </c>
      <c r="C1722">
        <v>80</v>
      </c>
      <c r="D1722">
        <v>79.581726074000002</v>
      </c>
      <c r="E1722">
        <v>50</v>
      </c>
      <c r="F1722">
        <v>50.039176941000001</v>
      </c>
      <c r="G1722">
        <v>1329.4978027</v>
      </c>
      <c r="H1722">
        <v>1328.3780518000001</v>
      </c>
      <c r="I1722">
        <v>1338.4215088000001</v>
      </c>
      <c r="J1722">
        <v>1335.9224853999999</v>
      </c>
      <c r="K1722">
        <v>0</v>
      </c>
      <c r="L1722">
        <v>2400</v>
      </c>
      <c r="M1722">
        <v>2400</v>
      </c>
      <c r="N1722">
        <v>0</v>
      </c>
    </row>
    <row r="1723" spans="1:14" x14ac:dyDescent="0.25">
      <c r="A1723">
        <v>918.62926700000003</v>
      </c>
      <c r="B1723" s="1">
        <f>DATE(2012,11,4) + TIME(15,6,8)</f>
        <v>41217.629259259258</v>
      </c>
      <c r="C1723">
        <v>80</v>
      </c>
      <c r="D1723">
        <v>79.562728882000002</v>
      </c>
      <c r="E1723">
        <v>50</v>
      </c>
      <c r="F1723">
        <v>50.025234222000002</v>
      </c>
      <c r="G1723">
        <v>1329.4841309000001</v>
      </c>
      <c r="H1723">
        <v>1328.3583983999999</v>
      </c>
      <c r="I1723">
        <v>1338.4179687999999</v>
      </c>
      <c r="J1723">
        <v>1335.9207764</v>
      </c>
      <c r="K1723">
        <v>0</v>
      </c>
      <c r="L1723">
        <v>2400</v>
      </c>
      <c r="M1723">
        <v>2400</v>
      </c>
      <c r="N1723">
        <v>0</v>
      </c>
    </row>
    <row r="1724" spans="1:14" x14ac:dyDescent="0.25">
      <c r="A1724">
        <v>918.84143100000006</v>
      </c>
      <c r="B1724" s="1">
        <f>DATE(2012,11,4) + TIME(20,11,39)</f>
        <v>41217.841423611113</v>
      </c>
      <c r="C1724">
        <v>80</v>
      </c>
      <c r="D1724">
        <v>79.543045043999996</v>
      </c>
      <c r="E1724">
        <v>50</v>
      </c>
      <c r="F1724">
        <v>50.014343261999997</v>
      </c>
      <c r="G1724">
        <v>1329.4702147999999</v>
      </c>
      <c r="H1724">
        <v>1328.3381348</v>
      </c>
      <c r="I1724">
        <v>1338.4140625</v>
      </c>
      <c r="J1724">
        <v>1335.9189452999999</v>
      </c>
      <c r="K1724">
        <v>0</v>
      </c>
      <c r="L1724">
        <v>2400</v>
      </c>
      <c r="M1724">
        <v>2400</v>
      </c>
      <c r="N1724">
        <v>0</v>
      </c>
    </row>
    <row r="1725" spans="1:14" x14ac:dyDescent="0.25">
      <c r="A1725">
        <v>919.06339200000002</v>
      </c>
      <c r="B1725" s="1">
        <f>DATE(2012,11,5) + TIME(1,31,17)</f>
        <v>41218.063391203701</v>
      </c>
      <c r="C1725">
        <v>80</v>
      </c>
      <c r="D1725">
        <v>79.522621154999996</v>
      </c>
      <c r="E1725">
        <v>50</v>
      </c>
      <c r="F1725">
        <v>50.005908966</v>
      </c>
      <c r="G1725">
        <v>1329.4559326000001</v>
      </c>
      <c r="H1725">
        <v>1328.3175048999999</v>
      </c>
      <c r="I1725">
        <v>1338.4100341999999</v>
      </c>
      <c r="J1725">
        <v>1335.9169922000001</v>
      </c>
      <c r="K1725">
        <v>0</v>
      </c>
      <c r="L1725">
        <v>2400</v>
      </c>
      <c r="M1725">
        <v>2400</v>
      </c>
      <c r="N1725">
        <v>0</v>
      </c>
    </row>
    <row r="1726" spans="1:14" x14ac:dyDescent="0.25">
      <c r="A1726">
        <v>919.29595600000005</v>
      </c>
      <c r="B1726" s="1">
        <f>DATE(2012,11,5) + TIME(7,6,10)</f>
        <v>41218.295949074076</v>
      </c>
      <c r="C1726">
        <v>80</v>
      </c>
      <c r="D1726">
        <v>79.501411438000005</v>
      </c>
      <c r="E1726">
        <v>50</v>
      </c>
      <c r="F1726">
        <v>49.999431610000002</v>
      </c>
      <c r="G1726">
        <v>1329.4412841999999</v>
      </c>
      <c r="H1726">
        <v>1328.2962646000001</v>
      </c>
      <c r="I1726">
        <v>1338.4057617000001</v>
      </c>
      <c r="J1726">
        <v>1335.9149170000001</v>
      </c>
      <c r="K1726">
        <v>0</v>
      </c>
      <c r="L1726">
        <v>2400</v>
      </c>
      <c r="M1726">
        <v>2400</v>
      </c>
      <c r="N1726">
        <v>0</v>
      </c>
    </row>
    <row r="1727" spans="1:14" x14ac:dyDescent="0.25">
      <c r="A1727">
        <v>919.54002600000001</v>
      </c>
      <c r="B1727" s="1">
        <f>DATE(2012,11,5) + TIME(12,57,38)</f>
        <v>41218.540023148147</v>
      </c>
      <c r="C1727">
        <v>80</v>
      </c>
      <c r="D1727">
        <v>79.479354857999994</v>
      </c>
      <c r="E1727">
        <v>50</v>
      </c>
      <c r="F1727">
        <v>49.994495391999997</v>
      </c>
      <c r="G1727">
        <v>1329.4261475000001</v>
      </c>
      <c r="H1727">
        <v>1328.2744141000001</v>
      </c>
      <c r="I1727">
        <v>1338.4012451000001</v>
      </c>
      <c r="J1727">
        <v>1335.9127197</v>
      </c>
      <c r="K1727">
        <v>0</v>
      </c>
      <c r="L1727">
        <v>2400</v>
      </c>
      <c r="M1727">
        <v>2400</v>
      </c>
      <c r="N1727">
        <v>0</v>
      </c>
    </row>
    <row r="1728" spans="1:14" x14ac:dyDescent="0.25">
      <c r="A1728">
        <v>919.79660999999999</v>
      </c>
      <c r="B1728" s="1">
        <f>DATE(2012,11,5) + TIME(19,7,7)</f>
        <v>41218.7966087963</v>
      </c>
      <c r="C1728">
        <v>80</v>
      </c>
      <c r="D1728">
        <v>79.456375121999997</v>
      </c>
      <c r="E1728">
        <v>50</v>
      </c>
      <c r="F1728">
        <v>49.990772247000002</v>
      </c>
      <c r="G1728">
        <v>1329.4105225000001</v>
      </c>
      <c r="H1728">
        <v>1328.2519531</v>
      </c>
      <c r="I1728">
        <v>1338.3964844</v>
      </c>
      <c r="J1728">
        <v>1335.9104004000001</v>
      </c>
      <c r="K1728">
        <v>0</v>
      </c>
      <c r="L1728">
        <v>2400</v>
      </c>
      <c r="M1728">
        <v>2400</v>
      </c>
      <c r="N1728">
        <v>0</v>
      </c>
    </row>
    <row r="1729" spans="1:14" x14ac:dyDescent="0.25">
      <c r="A1729">
        <v>920.06684099999995</v>
      </c>
      <c r="B1729" s="1">
        <f>DATE(2012,11,6) + TIME(1,36,15)</f>
        <v>41219.066840277781</v>
      </c>
      <c r="C1729">
        <v>80</v>
      </c>
      <c r="D1729">
        <v>79.432403563999998</v>
      </c>
      <c r="E1729">
        <v>50</v>
      </c>
      <c r="F1729">
        <v>49.987979889000002</v>
      </c>
      <c r="G1729">
        <v>1329.3944091999999</v>
      </c>
      <c r="H1729">
        <v>1328.2287598</v>
      </c>
      <c r="I1729">
        <v>1338.3914795000001</v>
      </c>
      <c r="J1729">
        <v>1335.9079589999999</v>
      </c>
      <c r="K1729">
        <v>0</v>
      </c>
      <c r="L1729">
        <v>2400</v>
      </c>
      <c r="M1729">
        <v>2400</v>
      </c>
      <c r="N1729">
        <v>0</v>
      </c>
    </row>
    <row r="1730" spans="1:14" x14ac:dyDescent="0.25">
      <c r="A1730">
        <v>920.35021200000006</v>
      </c>
      <c r="B1730" s="1">
        <f>DATE(2012,11,6) + TIME(8,24,18)</f>
        <v>41219.350208333337</v>
      </c>
      <c r="C1730">
        <v>80</v>
      </c>
      <c r="D1730">
        <v>79.407470703000001</v>
      </c>
      <c r="E1730">
        <v>50</v>
      </c>
      <c r="F1730">
        <v>49.985919952000003</v>
      </c>
      <c r="G1730">
        <v>1329.3776855000001</v>
      </c>
      <c r="H1730">
        <v>1328.2047118999999</v>
      </c>
      <c r="I1730">
        <v>1338.3862305</v>
      </c>
      <c r="J1730">
        <v>1335.9053954999999</v>
      </c>
      <c r="K1730">
        <v>0</v>
      </c>
      <c r="L1730">
        <v>2400</v>
      </c>
      <c r="M1730">
        <v>2400</v>
      </c>
      <c r="N1730">
        <v>0</v>
      </c>
    </row>
    <row r="1731" spans="1:14" x14ac:dyDescent="0.25">
      <c r="A1731">
        <v>920.64623300000005</v>
      </c>
      <c r="B1731" s="1">
        <f>DATE(2012,11,6) + TIME(15,30,34)</f>
        <v>41219.646226851852</v>
      </c>
      <c r="C1731">
        <v>80</v>
      </c>
      <c r="D1731">
        <v>79.381622313999998</v>
      </c>
      <c r="E1731">
        <v>50</v>
      </c>
      <c r="F1731">
        <v>49.984409331999998</v>
      </c>
      <c r="G1731">
        <v>1329.3604736</v>
      </c>
      <c r="H1731">
        <v>1328.1799315999999</v>
      </c>
      <c r="I1731">
        <v>1338.3808594</v>
      </c>
      <c r="J1731">
        <v>1335.9027100000001</v>
      </c>
      <c r="K1731">
        <v>0</v>
      </c>
      <c r="L1731">
        <v>2400</v>
      </c>
      <c r="M1731">
        <v>2400</v>
      </c>
      <c r="N1731">
        <v>0</v>
      </c>
    </row>
    <row r="1732" spans="1:14" x14ac:dyDescent="0.25">
      <c r="A1732">
        <v>920.95568800000001</v>
      </c>
      <c r="B1732" s="1">
        <f>DATE(2012,11,6) + TIME(22,56,11)</f>
        <v>41219.955682870372</v>
      </c>
      <c r="C1732">
        <v>80</v>
      </c>
      <c r="D1732">
        <v>79.354820251000007</v>
      </c>
      <c r="E1732">
        <v>50</v>
      </c>
      <c r="F1732">
        <v>49.983306884999998</v>
      </c>
      <c r="G1732">
        <v>1329.3427733999999</v>
      </c>
      <c r="H1732">
        <v>1328.1544189000001</v>
      </c>
      <c r="I1732">
        <v>1338.3753661999999</v>
      </c>
      <c r="J1732">
        <v>1335.8999022999999</v>
      </c>
      <c r="K1732">
        <v>0</v>
      </c>
      <c r="L1732">
        <v>2400</v>
      </c>
      <c r="M1732">
        <v>2400</v>
      </c>
      <c r="N1732">
        <v>0</v>
      </c>
    </row>
    <row r="1733" spans="1:14" x14ac:dyDescent="0.25">
      <c r="A1733">
        <v>921.27975100000003</v>
      </c>
      <c r="B1733" s="1">
        <f>DATE(2012,11,7) + TIME(6,42,50)</f>
        <v>41220.279745370368</v>
      </c>
      <c r="C1733">
        <v>80</v>
      </c>
      <c r="D1733">
        <v>79.326988220000004</v>
      </c>
      <c r="E1733">
        <v>50</v>
      </c>
      <c r="F1733">
        <v>49.982501984000002</v>
      </c>
      <c r="G1733">
        <v>1329.3244629000001</v>
      </c>
      <c r="H1733">
        <v>1328.1281738</v>
      </c>
      <c r="I1733">
        <v>1338.369751</v>
      </c>
      <c r="J1733">
        <v>1335.8969727000001</v>
      </c>
      <c r="K1733">
        <v>0</v>
      </c>
      <c r="L1733">
        <v>2400</v>
      </c>
      <c r="M1733">
        <v>2400</v>
      </c>
      <c r="N1733">
        <v>0</v>
      </c>
    </row>
    <row r="1734" spans="1:14" x14ac:dyDescent="0.25">
      <c r="A1734">
        <v>921.61978299999998</v>
      </c>
      <c r="B1734" s="1">
        <f>DATE(2012,11,7) + TIME(14,52,29)</f>
        <v>41220.619780092595</v>
      </c>
      <c r="C1734">
        <v>80</v>
      </c>
      <c r="D1734">
        <v>79.298065186000002</v>
      </c>
      <c r="E1734">
        <v>50</v>
      </c>
      <c r="F1734">
        <v>49.981914519999997</v>
      </c>
      <c r="G1734">
        <v>1329.3055420000001</v>
      </c>
      <c r="H1734">
        <v>1328.1010742000001</v>
      </c>
      <c r="I1734">
        <v>1338.3640137</v>
      </c>
      <c r="J1734">
        <v>1335.894043</v>
      </c>
      <c r="K1734">
        <v>0</v>
      </c>
      <c r="L1734">
        <v>2400</v>
      </c>
      <c r="M1734">
        <v>2400</v>
      </c>
      <c r="N1734">
        <v>0</v>
      </c>
    </row>
    <row r="1735" spans="1:14" x14ac:dyDescent="0.25">
      <c r="A1735">
        <v>921.97727699999996</v>
      </c>
      <c r="B1735" s="1">
        <f>DATE(2012,11,7) + TIME(23,27,16)</f>
        <v>41220.977268518516</v>
      </c>
      <c r="C1735">
        <v>80</v>
      </c>
      <c r="D1735">
        <v>79.267967224000003</v>
      </c>
      <c r="E1735">
        <v>50</v>
      </c>
      <c r="F1735">
        <v>49.981487274000003</v>
      </c>
      <c r="G1735">
        <v>1329.2860106999999</v>
      </c>
      <c r="H1735">
        <v>1328.0731201000001</v>
      </c>
      <c r="I1735">
        <v>1338.3581543</v>
      </c>
      <c r="J1735">
        <v>1335.8909911999999</v>
      </c>
      <c r="K1735">
        <v>0</v>
      </c>
      <c r="L1735">
        <v>2400</v>
      </c>
      <c r="M1735">
        <v>2400</v>
      </c>
      <c r="N1735">
        <v>0</v>
      </c>
    </row>
    <row r="1736" spans="1:14" x14ac:dyDescent="0.25">
      <c r="A1736">
        <v>922.35386900000003</v>
      </c>
      <c r="B1736" s="1">
        <f>DATE(2012,11,8) + TIME(8,29,34)</f>
        <v>41221.353865740741</v>
      </c>
      <c r="C1736">
        <v>80</v>
      </c>
      <c r="D1736">
        <v>79.236602782999995</v>
      </c>
      <c r="E1736">
        <v>50</v>
      </c>
      <c r="F1736">
        <v>49.981170654000003</v>
      </c>
      <c r="G1736">
        <v>1329.2657471</v>
      </c>
      <c r="H1736">
        <v>1328.0443115</v>
      </c>
      <c r="I1736">
        <v>1338.3521728999999</v>
      </c>
      <c r="J1736">
        <v>1335.8879394999999</v>
      </c>
      <c r="K1736">
        <v>0</v>
      </c>
      <c r="L1736">
        <v>2400</v>
      </c>
      <c r="M1736">
        <v>2400</v>
      </c>
      <c r="N1736">
        <v>0</v>
      </c>
    </row>
    <row r="1737" spans="1:14" x14ac:dyDescent="0.25">
      <c r="A1737">
        <v>922.74145099999998</v>
      </c>
      <c r="B1737" s="1">
        <f>DATE(2012,11,8) + TIME(17,47,41)</f>
        <v>41221.741446759261</v>
      </c>
      <c r="C1737">
        <v>80</v>
      </c>
      <c r="D1737">
        <v>79.204414368000002</v>
      </c>
      <c r="E1737">
        <v>50</v>
      </c>
      <c r="F1737">
        <v>49.980937957999998</v>
      </c>
      <c r="G1737">
        <v>1329.2448730000001</v>
      </c>
      <c r="H1737">
        <v>1328.0144043</v>
      </c>
      <c r="I1737">
        <v>1338.3461914</v>
      </c>
      <c r="J1737">
        <v>1335.8847656</v>
      </c>
      <c r="K1737">
        <v>0</v>
      </c>
      <c r="L1737">
        <v>2400</v>
      </c>
      <c r="M1737">
        <v>2400</v>
      </c>
      <c r="N1737">
        <v>0</v>
      </c>
    </row>
    <row r="1738" spans="1:14" x14ac:dyDescent="0.25">
      <c r="A1738">
        <v>923.13707799999997</v>
      </c>
      <c r="B1738" s="1">
        <f>DATE(2012,11,9) + TIME(3,17,23)</f>
        <v>41222.137071759258</v>
      </c>
      <c r="C1738">
        <v>80</v>
      </c>
      <c r="D1738">
        <v>79.171638489000003</v>
      </c>
      <c r="E1738">
        <v>50</v>
      </c>
      <c r="F1738">
        <v>49.980766295999999</v>
      </c>
      <c r="G1738">
        <v>1329.2235106999999</v>
      </c>
      <c r="H1738">
        <v>1327.9841309000001</v>
      </c>
      <c r="I1738">
        <v>1338.3402100000001</v>
      </c>
      <c r="J1738">
        <v>1335.8817139</v>
      </c>
      <c r="K1738">
        <v>0</v>
      </c>
      <c r="L1738">
        <v>2400</v>
      </c>
      <c r="M1738">
        <v>2400</v>
      </c>
      <c r="N1738">
        <v>0</v>
      </c>
    </row>
    <row r="1739" spans="1:14" x14ac:dyDescent="0.25">
      <c r="A1739">
        <v>923.54166799999996</v>
      </c>
      <c r="B1739" s="1">
        <f>DATE(2012,11,9) + TIME(13,0,0)</f>
        <v>41222.541666666664</v>
      </c>
      <c r="C1739">
        <v>80</v>
      </c>
      <c r="D1739">
        <v>79.138298035000005</v>
      </c>
      <c r="E1739">
        <v>50</v>
      </c>
      <c r="F1739">
        <v>49.980636597</v>
      </c>
      <c r="G1739">
        <v>1329.2020264</v>
      </c>
      <c r="H1739">
        <v>1327.9534911999999</v>
      </c>
      <c r="I1739">
        <v>1338.3342285000001</v>
      </c>
      <c r="J1739">
        <v>1335.8785399999999</v>
      </c>
      <c r="K1739">
        <v>0</v>
      </c>
      <c r="L1739">
        <v>2400</v>
      </c>
      <c r="M1739">
        <v>2400</v>
      </c>
      <c r="N1739">
        <v>0</v>
      </c>
    </row>
    <row r="1740" spans="1:14" x14ac:dyDescent="0.25">
      <c r="A1740">
        <v>923.95610899999997</v>
      </c>
      <c r="B1740" s="1">
        <f>DATE(2012,11,9) + TIME(22,56,47)</f>
        <v>41222.956099537034</v>
      </c>
      <c r="C1740">
        <v>80</v>
      </c>
      <c r="D1740">
        <v>79.104393005000006</v>
      </c>
      <c r="E1740">
        <v>50</v>
      </c>
      <c r="F1740">
        <v>49.980533600000001</v>
      </c>
      <c r="G1740">
        <v>1329.1802978999999</v>
      </c>
      <c r="H1740">
        <v>1327.9226074000001</v>
      </c>
      <c r="I1740">
        <v>1338.3283690999999</v>
      </c>
      <c r="J1740">
        <v>1335.8754882999999</v>
      </c>
      <c r="K1740">
        <v>0</v>
      </c>
      <c r="L1740">
        <v>2400</v>
      </c>
      <c r="M1740">
        <v>2400</v>
      </c>
      <c r="N1740">
        <v>0</v>
      </c>
    </row>
    <row r="1741" spans="1:14" x14ac:dyDescent="0.25">
      <c r="A1741">
        <v>924.38136999999995</v>
      </c>
      <c r="B1741" s="1">
        <f>DATE(2012,11,10) + TIME(9,9,10)</f>
        <v>41223.381365740737</v>
      </c>
      <c r="C1741">
        <v>80</v>
      </c>
      <c r="D1741">
        <v>79.069900512999993</v>
      </c>
      <c r="E1741">
        <v>50</v>
      </c>
      <c r="F1741">
        <v>49.980453490999999</v>
      </c>
      <c r="G1741">
        <v>1329.1582031</v>
      </c>
      <c r="H1741">
        <v>1327.8913574000001</v>
      </c>
      <c r="I1741">
        <v>1338.3226318</v>
      </c>
      <c r="J1741">
        <v>1335.8725586</v>
      </c>
      <c r="K1741">
        <v>0</v>
      </c>
      <c r="L1741">
        <v>2400</v>
      </c>
      <c r="M1741">
        <v>2400</v>
      </c>
      <c r="N1741">
        <v>0</v>
      </c>
    </row>
    <row r="1742" spans="1:14" x14ac:dyDescent="0.25">
      <c r="A1742">
        <v>924.81845599999997</v>
      </c>
      <c r="B1742" s="1">
        <f>DATE(2012,11,10) + TIME(19,38,34)</f>
        <v>41223.818449074075</v>
      </c>
      <c r="C1742">
        <v>80</v>
      </c>
      <c r="D1742">
        <v>79.034797667999996</v>
      </c>
      <c r="E1742">
        <v>50</v>
      </c>
      <c r="F1742">
        <v>49.980392455999997</v>
      </c>
      <c r="G1742">
        <v>1329.1359863</v>
      </c>
      <c r="H1742">
        <v>1327.8597411999999</v>
      </c>
      <c r="I1742">
        <v>1338.3170166</v>
      </c>
      <c r="J1742">
        <v>1335.8696289</v>
      </c>
      <c r="K1742">
        <v>0</v>
      </c>
      <c r="L1742">
        <v>2400</v>
      </c>
      <c r="M1742">
        <v>2400</v>
      </c>
      <c r="N1742">
        <v>0</v>
      </c>
    </row>
    <row r="1743" spans="1:14" x14ac:dyDescent="0.25">
      <c r="A1743">
        <v>925.26845100000003</v>
      </c>
      <c r="B1743" s="1">
        <f>DATE(2012,11,11) + TIME(6,26,34)</f>
        <v>41224.268449074072</v>
      </c>
      <c r="C1743">
        <v>80</v>
      </c>
      <c r="D1743">
        <v>78.999023437999995</v>
      </c>
      <c r="E1743">
        <v>50</v>
      </c>
      <c r="F1743">
        <v>49.980339049999998</v>
      </c>
      <c r="G1743">
        <v>1329.1134033000001</v>
      </c>
      <c r="H1743">
        <v>1327.8277588000001</v>
      </c>
      <c r="I1743">
        <v>1338.3114014</v>
      </c>
      <c r="J1743">
        <v>1335.8666992000001</v>
      </c>
      <c r="K1743">
        <v>0</v>
      </c>
      <c r="L1743">
        <v>2400</v>
      </c>
      <c r="M1743">
        <v>2400</v>
      </c>
      <c r="N1743">
        <v>0</v>
      </c>
    </row>
    <row r="1744" spans="1:14" x14ac:dyDescent="0.25">
      <c r="A1744">
        <v>925.732527</v>
      </c>
      <c r="B1744" s="1">
        <f>DATE(2012,11,11) + TIME(17,34,50)</f>
        <v>41224.732523148145</v>
      </c>
      <c r="C1744">
        <v>80</v>
      </c>
      <c r="D1744">
        <v>78.962524414000001</v>
      </c>
      <c r="E1744">
        <v>50</v>
      </c>
      <c r="F1744">
        <v>49.980297088999997</v>
      </c>
      <c r="G1744">
        <v>1329.0904541</v>
      </c>
      <c r="H1744">
        <v>1327.7952881000001</v>
      </c>
      <c r="I1744">
        <v>1338.3059082</v>
      </c>
      <c r="J1744">
        <v>1335.8637695</v>
      </c>
      <c r="K1744">
        <v>0</v>
      </c>
      <c r="L1744">
        <v>2400</v>
      </c>
      <c r="M1744">
        <v>2400</v>
      </c>
      <c r="N1744">
        <v>0</v>
      </c>
    </row>
    <row r="1745" spans="1:14" x14ac:dyDescent="0.25">
      <c r="A1745">
        <v>926.21193700000003</v>
      </c>
      <c r="B1745" s="1">
        <f>DATE(2012,11,12) + TIME(5,5,11)</f>
        <v>41225.21193287037</v>
      </c>
      <c r="C1745">
        <v>80</v>
      </c>
      <c r="D1745">
        <v>78.925231933999996</v>
      </c>
      <c r="E1745">
        <v>50</v>
      </c>
      <c r="F1745">
        <v>49.980258941999999</v>
      </c>
      <c r="G1745">
        <v>1329.0671387</v>
      </c>
      <c r="H1745">
        <v>1327.7623291</v>
      </c>
      <c r="I1745">
        <v>1338.3004149999999</v>
      </c>
      <c r="J1745">
        <v>1335.8609618999999</v>
      </c>
      <c r="K1745">
        <v>0</v>
      </c>
      <c r="L1745">
        <v>2400</v>
      </c>
      <c r="M1745">
        <v>2400</v>
      </c>
      <c r="N1745">
        <v>0</v>
      </c>
    </row>
    <row r="1746" spans="1:14" x14ac:dyDescent="0.25">
      <c r="A1746">
        <v>926.70783500000005</v>
      </c>
      <c r="B1746" s="1">
        <f>DATE(2012,11,12) + TIME(16,59,16)</f>
        <v>41225.707824074074</v>
      </c>
      <c r="C1746">
        <v>80</v>
      </c>
      <c r="D1746">
        <v>78.887092589999995</v>
      </c>
      <c r="E1746">
        <v>50</v>
      </c>
      <c r="F1746">
        <v>49.980228424000003</v>
      </c>
      <c r="G1746">
        <v>1329.043457</v>
      </c>
      <c r="H1746">
        <v>1327.7288818</v>
      </c>
      <c r="I1746">
        <v>1338.2949219</v>
      </c>
      <c r="J1746">
        <v>1335.8581543</v>
      </c>
      <c r="K1746">
        <v>0</v>
      </c>
      <c r="L1746">
        <v>2400</v>
      </c>
      <c r="M1746">
        <v>2400</v>
      </c>
      <c r="N1746">
        <v>0</v>
      </c>
    </row>
    <row r="1747" spans="1:14" x14ac:dyDescent="0.25">
      <c r="A1747">
        <v>927.22186199999999</v>
      </c>
      <c r="B1747" s="1">
        <f>DATE(2012,11,13) + TIME(5,19,28)</f>
        <v>41226.221851851849</v>
      </c>
      <c r="C1747">
        <v>80</v>
      </c>
      <c r="D1747">
        <v>78.847999572999996</v>
      </c>
      <c r="E1747">
        <v>50</v>
      </c>
      <c r="F1747">
        <v>49.980201721</v>
      </c>
      <c r="G1747">
        <v>1329.0191649999999</v>
      </c>
      <c r="H1747">
        <v>1327.6948242000001</v>
      </c>
      <c r="I1747">
        <v>1338.2894286999999</v>
      </c>
      <c r="J1747">
        <v>1335.8553466999999</v>
      </c>
      <c r="K1747">
        <v>0</v>
      </c>
      <c r="L1747">
        <v>2400</v>
      </c>
      <c r="M1747">
        <v>2400</v>
      </c>
      <c r="N1747">
        <v>0</v>
      </c>
    </row>
    <row r="1748" spans="1:14" x14ac:dyDescent="0.25">
      <c r="A1748">
        <v>927.75566800000001</v>
      </c>
      <c r="B1748" s="1">
        <f>DATE(2012,11,13) + TIME(18,8,9)</f>
        <v>41226.755659722221</v>
      </c>
      <c r="C1748">
        <v>80</v>
      </c>
      <c r="D1748">
        <v>78.807876586999996</v>
      </c>
      <c r="E1748">
        <v>50</v>
      </c>
      <c r="F1748">
        <v>49.980175017999997</v>
      </c>
      <c r="G1748">
        <v>1328.9945068</v>
      </c>
      <c r="H1748">
        <v>1327.6600341999999</v>
      </c>
      <c r="I1748">
        <v>1338.2840576000001</v>
      </c>
      <c r="J1748">
        <v>1335.8525391000001</v>
      </c>
      <c r="K1748">
        <v>0</v>
      </c>
      <c r="L1748">
        <v>2400</v>
      </c>
      <c r="M1748">
        <v>2400</v>
      </c>
      <c r="N1748">
        <v>0</v>
      </c>
    </row>
    <row r="1749" spans="1:14" x14ac:dyDescent="0.25">
      <c r="A1749">
        <v>928.31106699999998</v>
      </c>
      <c r="B1749" s="1">
        <f>DATE(2012,11,14) + TIME(7,27,56)</f>
        <v>41227.311064814814</v>
      </c>
      <c r="C1749">
        <v>80</v>
      </c>
      <c r="D1749">
        <v>78.766609192000004</v>
      </c>
      <c r="E1749">
        <v>50</v>
      </c>
      <c r="F1749">
        <v>49.98015213</v>
      </c>
      <c r="G1749">
        <v>1328.9691161999999</v>
      </c>
      <c r="H1749">
        <v>1327.6243896000001</v>
      </c>
      <c r="I1749">
        <v>1338.2786865</v>
      </c>
      <c r="J1749">
        <v>1335.8497314000001</v>
      </c>
      <c r="K1749">
        <v>0</v>
      </c>
      <c r="L1749">
        <v>2400</v>
      </c>
      <c r="M1749">
        <v>2400</v>
      </c>
      <c r="N1749">
        <v>0</v>
      </c>
    </row>
    <row r="1750" spans="1:14" x14ac:dyDescent="0.25">
      <c r="A1750">
        <v>928.89006900000004</v>
      </c>
      <c r="B1750" s="1">
        <f>DATE(2012,11,14) + TIME(21,21,41)</f>
        <v>41227.890057870369</v>
      </c>
      <c r="C1750">
        <v>80</v>
      </c>
      <c r="D1750">
        <v>78.724090575999995</v>
      </c>
      <c r="E1750">
        <v>50</v>
      </c>
      <c r="F1750">
        <v>49.980129241999997</v>
      </c>
      <c r="G1750">
        <v>1328.9432373</v>
      </c>
      <c r="H1750">
        <v>1327.5880127</v>
      </c>
      <c r="I1750">
        <v>1338.2731934000001</v>
      </c>
      <c r="J1750">
        <v>1335.8470459</v>
      </c>
      <c r="K1750">
        <v>0</v>
      </c>
      <c r="L1750">
        <v>2400</v>
      </c>
      <c r="M1750">
        <v>2400</v>
      </c>
      <c r="N1750">
        <v>0</v>
      </c>
    </row>
    <row r="1751" spans="1:14" x14ac:dyDescent="0.25">
      <c r="A1751">
        <v>929.49491599999999</v>
      </c>
      <c r="B1751" s="1">
        <f>DATE(2012,11,15) + TIME(11,52,40)</f>
        <v>41228.49490740741</v>
      </c>
      <c r="C1751">
        <v>80</v>
      </c>
      <c r="D1751">
        <v>78.680191039999997</v>
      </c>
      <c r="E1751">
        <v>50</v>
      </c>
      <c r="F1751">
        <v>49.980110168000003</v>
      </c>
      <c r="G1751">
        <v>1328.9165039</v>
      </c>
      <c r="H1751">
        <v>1327.5507812000001</v>
      </c>
      <c r="I1751">
        <v>1338.2678223</v>
      </c>
      <c r="J1751">
        <v>1335.8442382999999</v>
      </c>
      <c r="K1751">
        <v>0</v>
      </c>
      <c r="L1751">
        <v>2400</v>
      </c>
      <c r="M1751">
        <v>2400</v>
      </c>
      <c r="N1751">
        <v>0</v>
      </c>
    </row>
    <row r="1752" spans="1:14" x14ac:dyDescent="0.25">
      <c r="A1752">
        <v>930.12811499999998</v>
      </c>
      <c r="B1752" s="1">
        <f>DATE(2012,11,16) + TIME(3,4,29)</f>
        <v>41229.128113425926</v>
      </c>
      <c r="C1752">
        <v>80</v>
      </c>
      <c r="D1752">
        <v>78.634765625</v>
      </c>
      <c r="E1752">
        <v>50</v>
      </c>
      <c r="F1752">
        <v>49.980091094999999</v>
      </c>
      <c r="G1752">
        <v>1328.8891602000001</v>
      </c>
      <c r="H1752">
        <v>1327.5124512</v>
      </c>
      <c r="I1752">
        <v>1338.2623291</v>
      </c>
      <c r="J1752">
        <v>1335.8415527</v>
      </c>
      <c r="K1752">
        <v>0</v>
      </c>
      <c r="L1752">
        <v>2400</v>
      </c>
      <c r="M1752">
        <v>2400</v>
      </c>
      <c r="N1752">
        <v>0</v>
      </c>
    </row>
    <row r="1753" spans="1:14" x14ac:dyDescent="0.25">
      <c r="A1753">
        <v>930.783278</v>
      </c>
      <c r="B1753" s="1">
        <f>DATE(2012,11,16) + TIME(18,47,55)</f>
        <v>41229.783275462964</v>
      </c>
      <c r="C1753">
        <v>80</v>
      </c>
      <c r="D1753">
        <v>78.588005065999994</v>
      </c>
      <c r="E1753">
        <v>50</v>
      </c>
      <c r="F1753">
        <v>49.980072020999998</v>
      </c>
      <c r="G1753">
        <v>1328.8609618999999</v>
      </c>
      <c r="H1753">
        <v>1327.4730225000001</v>
      </c>
      <c r="I1753">
        <v>1338.2568358999999</v>
      </c>
      <c r="J1753">
        <v>1335.8388672000001</v>
      </c>
      <c r="K1753">
        <v>0</v>
      </c>
      <c r="L1753">
        <v>2400</v>
      </c>
      <c r="M1753">
        <v>2400</v>
      </c>
      <c r="N1753">
        <v>0</v>
      </c>
    </row>
    <row r="1754" spans="1:14" x14ac:dyDescent="0.25">
      <c r="A1754">
        <v>931.45331399999998</v>
      </c>
      <c r="B1754" s="1">
        <f>DATE(2012,11,17) + TIME(10,52,46)</f>
        <v>41230.453310185185</v>
      </c>
      <c r="C1754">
        <v>80</v>
      </c>
      <c r="D1754">
        <v>78.540245056000003</v>
      </c>
      <c r="E1754">
        <v>50</v>
      </c>
      <c r="F1754">
        <v>49.980056763</v>
      </c>
      <c r="G1754">
        <v>1328.8320312000001</v>
      </c>
      <c r="H1754">
        <v>1327.4328613</v>
      </c>
      <c r="I1754">
        <v>1338.2513428</v>
      </c>
      <c r="J1754">
        <v>1335.8361815999999</v>
      </c>
      <c r="K1754">
        <v>0</v>
      </c>
      <c r="L1754">
        <v>2400</v>
      </c>
      <c r="M1754">
        <v>2400</v>
      </c>
      <c r="N1754">
        <v>0</v>
      </c>
    </row>
    <row r="1755" spans="1:14" x14ac:dyDescent="0.25">
      <c r="A1755">
        <v>932.14290800000003</v>
      </c>
      <c r="B1755" s="1">
        <f>DATE(2012,11,18) + TIME(3,25,47)</f>
        <v>41231.142905092594</v>
      </c>
      <c r="C1755">
        <v>80</v>
      </c>
      <c r="D1755">
        <v>78.491462708</v>
      </c>
      <c r="E1755">
        <v>50</v>
      </c>
      <c r="F1755">
        <v>49.980037689</v>
      </c>
      <c r="G1755">
        <v>1328.8028564000001</v>
      </c>
      <c r="H1755">
        <v>1327.3922118999999</v>
      </c>
      <c r="I1755">
        <v>1338.2459716999999</v>
      </c>
      <c r="J1755">
        <v>1335.8334961</v>
      </c>
      <c r="K1755">
        <v>0</v>
      </c>
      <c r="L1755">
        <v>2400</v>
      </c>
      <c r="M1755">
        <v>2400</v>
      </c>
      <c r="N1755">
        <v>0</v>
      </c>
    </row>
    <row r="1756" spans="1:14" x14ac:dyDescent="0.25">
      <c r="A1756">
        <v>932.85664899999995</v>
      </c>
      <c r="B1756" s="1">
        <f>DATE(2012,11,18) + TIME(20,33,34)</f>
        <v>41231.85664351852</v>
      </c>
      <c r="C1756">
        <v>80</v>
      </c>
      <c r="D1756">
        <v>78.441513061999999</v>
      </c>
      <c r="E1756">
        <v>50</v>
      </c>
      <c r="F1756">
        <v>49.980022429999998</v>
      </c>
      <c r="G1756">
        <v>1328.7733154</v>
      </c>
      <c r="H1756">
        <v>1327.3509521000001</v>
      </c>
      <c r="I1756">
        <v>1338.2407227000001</v>
      </c>
      <c r="J1756">
        <v>1335.8309326000001</v>
      </c>
      <c r="K1756">
        <v>0</v>
      </c>
      <c r="L1756">
        <v>2400</v>
      </c>
      <c r="M1756">
        <v>2400</v>
      </c>
      <c r="N1756">
        <v>0</v>
      </c>
    </row>
    <row r="1757" spans="1:14" x14ac:dyDescent="0.25">
      <c r="A1757">
        <v>933.594605</v>
      </c>
      <c r="B1757" s="1">
        <f>DATE(2012,11,19) + TIME(14,16,13)</f>
        <v>41232.594594907408</v>
      </c>
      <c r="C1757">
        <v>80</v>
      </c>
      <c r="D1757">
        <v>78.390312195000007</v>
      </c>
      <c r="E1757">
        <v>50</v>
      </c>
      <c r="F1757">
        <v>49.980003357000001</v>
      </c>
      <c r="G1757">
        <v>1328.7431641000001</v>
      </c>
      <c r="H1757">
        <v>1327.309082</v>
      </c>
      <c r="I1757">
        <v>1338.2354736</v>
      </c>
      <c r="J1757">
        <v>1335.8284911999999</v>
      </c>
      <c r="K1757">
        <v>0</v>
      </c>
      <c r="L1757">
        <v>2400</v>
      </c>
      <c r="M1757">
        <v>2400</v>
      </c>
      <c r="N1757">
        <v>0</v>
      </c>
    </row>
    <row r="1758" spans="1:14" x14ac:dyDescent="0.25">
      <c r="A1758">
        <v>934.36231799999996</v>
      </c>
      <c r="B1758" s="1">
        <f>DATE(2012,11,20) + TIME(8,41,44)</f>
        <v>41233.362314814818</v>
      </c>
      <c r="C1758">
        <v>80</v>
      </c>
      <c r="D1758">
        <v>78.337638854999994</v>
      </c>
      <c r="E1758">
        <v>50</v>
      </c>
      <c r="F1758">
        <v>49.979988098</v>
      </c>
      <c r="G1758">
        <v>1328.7124022999999</v>
      </c>
      <c r="H1758">
        <v>1327.2664795000001</v>
      </c>
      <c r="I1758">
        <v>1338.2302245999999</v>
      </c>
      <c r="J1758">
        <v>1335.8259277</v>
      </c>
      <c r="K1758">
        <v>0</v>
      </c>
      <c r="L1758">
        <v>2400</v>
      </c>
      <c r="M1758">
        <v>2400</v>
      </c>
      <c r="N1758">
        <v>0</v>
      </c>
    </row>
    <row r="1759" spans="1:14" x14ac:dyDescent="0.25">
      <c r="A1759">
        <v>935.16598799999997</v>
      </c>
      <c r="B1759" s="1">
        <f>DATE(2012,11,21) + TIME(3,59,1)</f>
        <v>41234.165983796294</v>
      </c>
      <c r="C1759">
        <v>80</v>
      </c>
      <c r="D1759">
        <v>78.283172606999997</v>
      </c>
      <c r="E1759">
        <v>50</v>
      </c>
      <c r="F1759">
        <v>49.979972838999998</v>
      </c>
      <c r="G1759">
        <v>1328.6810303</v>
      </c>
      <c r="H1759">
        <v>1327.2230225000001</v>
      </c>
      <c r="I1759">
        <v>1338.2249756000001</v>
      </c>
      <c r="J1759">
        <v>1335.8234863</v>
      </c>
      <c r="K1759">
        <v>0</v>
      </c>
      <c r="L1759">
        <v>2400</v>
      </c>
      <c r="M1759">
        <v>2400</v>
      </c>
      <c r="N1759">
        <v>0</v>
      </c>
    </row>
    <row r="1760" spans="1:14" x14ac:dyDescent="0.25">
      <c r="A1760">
        <v>935.99632699999995</v>
      </c>
      <c r="B1760" s="1">
        <f>DATE(2012,11,21) + TIME(23,54,42)</f>
        <v>41234.996319444443</v>
      </c>
      <c r="C1760">
        <v>80</v>
      </c>
      <c r="D1760">
        <v>78.227012634000005</v>
      </c>
      <c r="E1760">
        <v>50</v>
      </c>
      <c r="F1760">
        <v>49.979957581000001</v>
      </c>
      <c r="G1760">
        <v>1328.6488036999999</v>
      </c>
      <c r="H1760">
        <v>1327.1784668</v>
      </c>
      <c r="I1760">
        <v>1338.2196045000001</v>
      </c>
      <c r="J1760">
        <v>1335.8210449000001</v>
      </c>
      <c r="K1760">
        <v>0</v>
      </c>
      <c r="L1760">
        <v>2400</v>
      </c>
      <c r="M1760">
        <v>2400</v>
      </c>
      <c r="N1760">
        <v>0</v>
      </c>
    </row>
    <row r="1761" spans="1:14" x14ac:dyDescent="0.25">
      <c r="A1761">
        <v>936.84671700000001</v>
      </c>
      <c r="B1761" s="1">
        <f>DATE(2012,11,22) + TIME(20,19,16)</f>
        <v>41235.846712962964</v>
      </c>
      <c r="C1761">
        <v>80</v>
      </c>
      <c r="D1761">
        <v>78.169433593999997</v>
      </c>
      <c r="E1761">
        <v>50</v>
      </c>
      <c r="F1761">
        <v>49.979942321999999</v>
      </c>
      <c r="G1761">
        <v>1328.6158447</v>
      </c>
      <c r="H1761">
        <v>1327.1330565999999</v>
      </c>
      <c r="I1761">
        <v>1338.2143555</v>
      </c>
      <c r="J1761">
        <v>1335.8186035000001</v>
      </c>
      <c r="K1761">
        <v>0</v>
      </c>
      <c r="L1761">
        <v>2400</v>
      </c>
      <c r="M1761">
        <v>2400</v>
      </c>
      <c r="N1761">
        <v>0</v>
      </c>
    </row>
    <row r="1762" spans="1:14" x14ac:dyDescent="0.25">
      <c r="A1762">
        <v>937.72414300000003</v>
      </c>
      <c r="B1762" s="1">
        <f>DATE(2012,11,23) + TIME(17,22,45)</f>
        <v>41236.724131944444</v>
      </c>
      <c r="C1762">
        <v>80</v>
      </c>
      <c r="D1762">
        <v>78.110397339000002</v>
      </c>
      <c r="E1762">
        <v>50</v>
      </c>
      <c r="F1762">
        <v>49.979927062999998</v>
      </c>
      <c r="G1762">
        <v>1328.5826416</v>
      </c>
      <c r="H1762">
        <v>1327.0871582</v>
      </c>
      <c r="I1762">
        <v>1338.2092285000001</v>
      </c>
      <c r="J1762">
        <v>1335.8162841999999</v>
      </c>
      <c r="K1762">
        <v>0</v>
      </c>
      <c r="L1762">
        <v>2400</v>
      </c>
      <c r="M1762">
        <v>2400</v>
      </c>
      <c r="N1762">
        <v>0</v>
      </c>
    </row>
    <row r="1763" spans="1:14" x14ac:dyDescent="0.25">
      <c r="A1763">
        <v>938.60817499999996</v>
      </c>
      <c r="B1763" s="1">
        <f>DATE(2012,11,24) + TIME(14,35,46)</f>
        <v>41237.608171296299</v>
      </c>
      <c r="C1763">
        <v>80</v>
      </c>
      <c r="D1763">
        <v>78.050422667999996</v>
      </c>
      <c r="E1763">
        <v>50</v>
      </c>
      <c r="F1763">
        <v>49.979911803999997</v>
      </c>
      <c r="G1763">
        <v>1328.5489502</v>
      </c>
      <c r="H1763">
        <v>1327.0407714999999</v>
      </c>
      <c r="I1763">
        <v>1338.2041016000001</v>
      </c>
      <c r="J1763">
        <v>1335.8139647999999</v>
      </c>
      <c r="K1763">
        <v>0</v>
      </c>
      <c r="L1763">
        <v>2400</v>
      </c>
      <c r="M1763">
        <v>2400</v>
      </c>
      <c r="N1763">
        <v>0</v>
      </c>
    </row>
    <row r="1764" spans="1:14" x14ac:dyDescent="0.25">
      <c r="A1764">
        <v>939.50440700000001</v>
      </c>
      <c r="B1764" s="1">
        <f>DATE(2012,11,25) + TIME(12,6,20)</f>
        <v>41238.50439814815</v>
      </c>
      <c r="C1764">
        <v>80</v>
      </c>
      <c r="D1764">
        <v>77.989723205999994</v>
      </c>
      <c r="E1764">
        <v>50</v>
      </c>
      <c r="F1764">
        <v>49.979896545000003</v>
      </c>
      <c r="G1764">
        <v>1328.5152588000001</v>
      </c>
      <c r="H1764">
        <v>1326.9945068</v>
      </c>
      <c r="I1764">
        <v>1338.1990966999999</v>
      </c>
      <c r="J1764">
        <v>1335.8118896000001</v>
      </c>
      <c r="K1764">
        <v>0</v>
      </c>
      <c r="L1764">
        <v>2400</v>
      </c>
      <c r="M1764">
        <v>2400</v>
      </c>
      <c r="N1764">
        <v>0</v>
      </c>
    </row>
    <row r="1765" spans="1:14" x14ac:dyDescent="0.25">
      <c r="A1765">
        <v>940.41881999999998</v>
      </c>
      <c r="B1765" s="1">
        <f>DATE(2012,11,26) + TIME(10,3,6)</f>
        <v>41239.418819444443</v>
      </c>
      <c r="C1765">
        <v>80</v>
      </c>
      <c r="D1765">
        <v>77.928153992000006</v>
      </c>
      <c r="E1765">
        <v>50</v>
      </c>
      <c r="F1765">
        <v>49.979881286999998</v>
      </c>
      <c r="G1765">
        <v>1328.4816894999999</v>
      </c>
      <c r="H1765">
        <v>1326.9483643000001</v>
      </c>
      <c r="I1765">
        <v>1338.1942139</v>
      </c>
      <c r="J1765">
        <v>1335.8096923999999</v>
      </c>
      <c r="K1765">
        <v>0</v>
      </c>
      <c r="L1765">
        <v>2400</v>
      </c>
      <c r="M1765">
        <v>2400</v>
      </c>
      <c r="N1765">
        <v>0</v>
      </c>
    </row>
    <row r="1766" spans="1:14" x14ac:dyDescent="0.25">
      <c r="A1766">
        <v>941.357619</v>
      </c>
      <c r="B1766" s="1">
        <f>DATE(2012,11,27) + TIME(8,34,58)</f>
        <v>41240.357615740744</v>
      </c>
      <c r="C1766">
        <v>80</v>
      </c>
      <c r="D1766">
        <v>77.865402222</v>
      </c>
      <c r="E1766">
        <v>50</v>
      </c>
      <c r="F1766">
        <v>49.979866028000004</v>
      </c>
      <c r="G1766">
        <v>1328.4479980000001</v>
      </c>
      <c r="H1766">
        <v>1326.9020995999999</v>
      </c>
      <c r="I1766">
        <v>1338.1894531</v>
      </c>
      <c r="J1766">
        <v>1335.8077393000001</v>
      </c>
      <c r="K1766">
        <v>0</v>
      </c>
      <c r="L1766">
        <v>2400</v>
      </c>
      <c r="M1766">
        <v>2400</v>
      </c>
      <c r="N1766">
        <v>0</v>
      </c>
    </row>
    <row r="1767" spans="1:14" x14ac:dyDescent="0.25">
      <c r="A1767">
        <v>942.32752100000005</v>
      </c>
      <c r="B1767" s="1">
        <f>DATE(2012,11,28) + TIME(7,51,37)</f>
        <v>41241.327511574076</v>
      </c>
      <c r="C1767">
        <v>80</v>
      </c>
      <c r="D1767">
        <v>77.801048279</v>
      </c>
      <c r="E1767">
        <v>50</v>
      </c>
      <c r="F1767">
        <v>49.979854584000002</v>
      </c>
      <c r="G1767">
        <v>1328.4140625</v>
      </c>
      <c r="H1767">
        <v>1326.8554687999999</v>
      </c>
      <c r="I1767">
        <v>1338.1846923999999</v>
      </c>
      <c r="J1767">
        <v>1335.8056641000001</v>
      </c>
      <c r="K1767">
        <v>0</v>
      </c>
      <c r="L1767">
        <v>2400</v>
      </c>
      <c r="M1767">
        <v>2400</v>
      </c>
      <c r="N1767">
        <v>0</v>
      </c>
    </row>
    <row r="1768" spans="1:14" x14ac:dyDescent="0.25">
      <c r="A1768">
        <v>943.33605799999998</v>
      </c>
      <c r="B1768" s="1">
        <f>DATE(2012,11,29) + TIME(8,3,55)</f>
        <v>41242.336053240739</v>
      </c>
      <c r="C1768">
        <v>80</v>
      </c>
      <c r="D1768">
        <v>77.734611510999997</v>
      </c>
      <c r="E1768">
        <v>50</v>
      </c>
      <c r="F1768">
        <v>49.979839325</v>
      </c>
      <c r="G1768">
        <v>1328.3796387</v>
      </c>
      <c r="H1768">
        <v>1326.8083495999999</v>
      </c>
      <c r="I1768">
        <v>1338.1799315999999</v>
      </c>
      <c r="J1768">
        <v>1335.8037108999999</v>
      </c>
      <c r="K1768">
        <v>0</v>
      </c>
      <c r="L1768">
        <v>2400</v>
      </c>
      <c r="M1768">
        <v>2400</v>
      </c>
      <c r="N1768">
        <v>0</v>
      </c>
    </row>
    <row r="1769" spans="1:14" x14ac:dyDescent="0.25">
      <c r="A1769">
        <v>944.39194199999997</v>
      </c>
      <c r="B1769" s="1">
        <f>DATE(2012,11,30) + TIME(9,24,23)</f>
        <v>41243.391932870371</v>
      </c>
      <c r="C1769">
        <v>80</v>
      </c>
      <c r="D1769">
        <v>77.665542603000006</v>
      </c>
      <c r="E1769">
        <v>50</v>
      </c>
      <c r="F1769">
        <v>49.979824065999999</v>
      </c>
      <c r="G1769">
        <v>1328.3444824000001</v>
      </c>
      <c r="H1769">
        <v>1326.760376</v>
      </c>
      <c r="I1769">
        <v>1338.1751709</v>
      </c>
      <c r="J1769">
        <v>1335.8017577999999</v>
      </c>
      <c r="K1769">
        <v>0</v>
      </c>
      <c r="L1769">
        <v>2400</v>
      </c>
      <c r="M1769">
        <v>2400</v>
      </c>
      <c r="N1769">
        <v>0</v>
      </c>
    </row>
    <row r="1770" spans="1:14" x14ac:dyDescent="0.25">
      <c r="A1770">
        <v>945</v>
      </c>
      <c r="B1770" s="1">
        <f>DATE(2012,12,1) + TIME(0,0,0)</f>
        <v>41244</v>
      </c>
      <c r="C1770">
        <v>80</v>
      </c>
      <c r="D1770">
        <v>77.610023498999993</v>
      </c>
      <c r="E1770">
        <v>50</v>
      </c>
      <c r="F1770">
        <v>49.979812621999997</v>
      </c>
      <c r="G1770">
        <v>1328.3094481999999</v>
      </c>
      <c r="H1770">
        <v>1326.713501</v>
      </c>
      <c r="I1770">
        <v>1338.1701660000001</v>
      </c>
      <c r="J1770">
        <v>1335.7996826000001</v>
      </c>
      <c r="K1770">
        <v>0</v>
      </c>
      <c r="L1770">
        <v>2400</v>
      </c>
      <c r="M1770">
        <v>2400</v>
      </c>
      <c r="N1770">
        <v>0</v>
      </c>
    </row>
    <row r="1771" spans="1:14" x14ac:dyDescent="0.25">
      <c r="A1771">
        <v>946.10218099999997</v>
      </c>
      <c r="B1771" s="1">
        <f>DATE(2012,12,2) + TIME(2,27,8)</f>
        <v>41245.102175925924</v>
      </c>
      <c r="C1771">
        <v>80</v>
      </c>
      <c r="D1771">
        <v>77.546768188000001</v>
      </c>
      <c r="E1771">
        <v>50</v>
      </c>
      <c r="F1771">
        <v>49.979801178000002</v>
      </c>
      <c r="G1771">
        <v>1328.2844238</v>
      </c>
      <c r="H1771">
        <v>1326.6774902</v>
      </c>
      <c r="I1771">
        <v>1338.1677245999999</v>
      </c>
      <c r="J1771">
        <v>1335.7988281</v>
      </c>
      <c r="K1771">
        <v>0</v>
      </c>
      <c r="L1771">
        <v>2400</v>
      </c>
      <c r="M1771">
        <v>2400</v>
      </c>
      <c r="N1771">
        <v>0</v>
      </c>
    </row>
    <row r="1772" spans="1:14" x14ac:dyDescent="0.25">
      <c r="A1772">
        <v>947.24580400000002</v>
      </c>
      <c r="B1772" s="1">
        <f>DATE(2012,12,3) + TIME(5,53,57)</f>
        <v>41246.245798611111</v>
      </c>
      <c r="C1772">
        <v>80</v>
      </c>
      <c r="D1772">
        <v>77.474830627000003</v>
      </c>
      <c r="E1772">
        <v>50</v>
      </c>
      <c r="F1772">
        <v>49.979789734000001</v>
      </c>
      <c r="G1772">
        <v>1328.2498779</v>
      </c>
      <c r="H1772">
        <v>1326.6311035000001</v>
      </c>
      <c r="I1772">
        <v>1338.1629639</v>
      </c>
      <c r="J1772">
        <v>1335.7969971</v>
      </c>
      <c r="K1772">
        <v>0</v>
      </c>
      <c r="L1772">
        <v>2400</v>
      </c>
      <c r="M1772">
        <v>2400</v>
      </c>
      <c r="N1772">
        <v>0</v>
      </c>
    </row>
    <row r="1773" spans="1:14" x14ac:dyDescent="0.25">
      <c r="A1773">
        <v>948.39690800000005</v>
      </c>
      <c r="B1773" s="1">
        <f>DATE(2012,12,4) + TIME(9,31,32)</f>
        <v>41247.396898148145</v>
      </c>
      <c r="C1773">
        <v>80</v>
      </c>
      <c r="D1773">
        <v>77.398468018000003</v>
      </c>
      <c r="E1773">
        <v>50</v>
      </c>
      <c r="F1773">
        <v>49.979774474999999</v>
      </c>
      <c r="G1773">
        <v>1328.2132568</v>
      </c>
      <c r="H1773">
        <v>1326.5819091999999</v>
      </c>
      <c r="I1773">
        <v>1338.1582031</v>
      </c>
      <c r="J1773">
        <v>1335.7951660000001</v>
      </c>
      <c r="K1773">
        <v>0</v>
      </c>
      <c r="L1773">
        <v>2400</v>
      </c>
      <c r="M1773">
        <v>2400</v>
      </c>
      <c r="N1773">
        <v>0</v>
      </c>
    </row>
    <row r="1774" spans="1:14" x14ac:dyDescent="0.25">
      <c r="A1774">
        <v>949.56386399999997</v>
      </c>
      <c r="B1774" s="1">
        <f>DATE(2012,12,5) + TIME(13,31,57)</f>
        <v>41248.563854166663</v>
      </c>
      <c r="C1774">
        <v>80</v>
      </c>
      <c r="D1774">
        <v>77.319816588999998</v>
      </c>
      <c r="E1774">
        <v>50</v>
      </c>
      <c r="F1774">
        <v>49.979759215999998</v>
      </c>
      <c r="G1774">
        <v>1328.1763916</v>
      </c>
      <c r="H1774">
        <v>1326.5317382999999</v>
      </c>
      <c r="I1774">
        <v>1338.1535644999999</v>
      </c>
      <c r="J1774">
        <v>1335.793457</v>
      </c>
      <c r="K1774">
        <v>0</v>
      </c>
      <c r="L1774">
        <v>2400</v>
      </c>
      <c r="M1774">
        <v>2400</v>
      </c>
      <c r="N1774">
        <v>0</v>
      </c>
    </row>
    <row r="1775" spans="1:14" x14ac:dyDescent="0.25">
      <c r="A1775">
        <v>950.75502600000004</v>
      </c>
      <c r="B1775" s="1">
        <f>DATE(2012,12,6) + TIME(18,7,14)</f>
        <v>41249.755023148151</v>
      </c>
      <c r="C1775">
        <v>80</v>
      </c>
      <c r="D1775">
        <v>77.239242554</v>
      </c>
      <c r="E1775">
        <v>50</v>
      </c>
      <c r="F1775">
        <v>49.979747772000003</v>
      </c>
      <c r="G1775">
        <v>1328.1392822</v>
      </c>
      <c r="H1775">
        <v>1326.4815673999999</v>
      </c>
      <c r="I1775">
        <v>1338.1490478999999</v>
      </c>
      <c r="J1775">
        <v>1335.7917480000001</v>
      </c>
      <c r="K1775">
        <v>0</v>
      </c>
      <c r="L1775">
        <v>2400</v>
      </c>
      <c r="M1775">
        <v>2400</v>
      </c>
      <c r="N1775">
        <v>0</v>
      </c>
    </row>
    <row r="1776" spans="1:14" x14ac:dyDescent="0.25">
      <c r="A1776">
        <v>951.97912799999995</v>
      </c>
      <c r="B1776" s="1">
        <f>DATE(2012,12,7) + TIME(23,29,56)</f>
        <v>41250.979120370372</v>
      </c>
      <c r="C1776">
        <v>80</v>
      </c>
      <c r="D1776">
        <v>77.156455993999998</v>
      </c>
      <c r="E1776">
        <v>50</v>
      </c>
      <c r="F1776">
        <v>49.979732513000002</v>
      </c>
      <c r="G1776">
        <v>1328.1021728999999</v>
      </c>
      <c r="H1776">
        <v>1326.4312743999999</v>
      </c>
      <c r="I1776">
        <v>1338.1445312000001</v>
      </c>
      <c r="J1776">
        <v>1335.7901611</v>
      </c>
      <c r="K1776">
        <v>0</v>
      </c>
      <c r="L1776">
        <v>2400</v>
      </c>
      <c r="M1776">
        <v>2400</v>
      </c>
      <c r="N1776">
        <v>0</v>
      </c>
    </row>
    <row r="1777" spans="1:14" x14ac:dyDescent="0.25">
      <c r="A1777">
        <v>953.24569899999995</v>
      </c>
      <c r="B1777" s="1">
        <f>DATE(2012,12,9) + TIME(5,53,48)</f>
        <v>41252.245694444442</v>
      </c>
      <c r="C1777">
        <v>80</v>
      </c>
      <c r="D1777">
        <v>77.070922851999995</v>
      </c>
      <c r="E1777">
        <v>50</v>
      </c>
      <c r="F1777">
        <v>49.979721069</v>
      </c>
      <c r="G1777">
        <v>1328.0646973</v>
      </c>
      <c r="H1777">
        <v>1326.3807373</v>
      </c>
      <c r="I1777">
        <v>1338.1401367000001</v>
      </c>
      <c r="J1777">
        <v>1335.7885742000001</v>
      </c>
      <c r="K1777">
        <v>0</v>
      </c>
      <c r="L1777">
        <v>2400</v>
      </c>
      <c r="M1777">
        <v>2400</v>
      </c>
      <c r="N1777">
        <v>0</v>
      </c>
    </row>
    <row r="1778" spans="1:14" x14ac:dyDescent="0.25">
      <c r="A1778">
        <v>954.56550500000003</v>
      </c>
      <c r="B1778" s="1">
        <f>DATE(2012,12,10) + TIME(13,34,19)</f>
        <v>41253.565497685187</v>
      </c>
      <c r="C1778">
        <v>80</v>
      </c>
      <c r="D1778">
        <v>76.981933593999997</v>
      </c>
      <c r="E1778">
        <v>50</v>
      </c>
      <c r="F1778">
        <v>49.979709624999998</v>
      </c>
      <c r="G1778">
        <v>1328.0267334</v>
      </c>
      <c r="H1778">
        <v>1326.3294678</v>
      </c>
      <c r="I1778">
        <v>1338.1356201000001</v>
      </c>
      <c r="J1778">
        <v>1335.7869873</v>
      </c>
      <c r="K1778">
        <v>0</v>
      </c>
      <c r="L1778">
        <v>2400</v>
      </c>
      <c r="M1778">
        <v>2400</v>
      </c>
      <c r="N1778">
        <v>0</v>
      </c>
    </row>
    <row r="1779" spans="1:14" x14ac:dyDescent="0.25">
      <c r="A1779">
        <v>955.94802600000003</v>
      </c>
      <c r="B1779" s="1">
        <f>DATE(2012,12,11) + TIME(22,45,9)</f>
        <v>41254.948020833333</v>
      </c>
      <c r="C1779">
        <v>80</v>
      </c>
      <c r="D1779">
        <v>76.888740540000001</v>
      </c>
      <c r="E1779">
        <v>50</v>
      </c>
      <c r="F1779">
        <v>49.979694365999997</v>
      </c>
      <c r="G1779">
        <v>1327.9880370999999</v>
      </c>
      <c r="H1779">
        <v>1326.2774658000001</v>
      </c>
      <c r="I1779">
        <v>1338.1311035000001</v>
      </c>
      <c r="J1779">
        <v>1335.7855225000001</v>
      </c>
      <c r="K1779">
        <v>0</v>
      </c>
      <c r="L1779">
        <v>2400</v>
      </c>
      <c r="M1779">
        <v>2400</v>
      </c>
      <c r="N1779">
        <v>0</v>
      </c>
    </row>
    <row r="1780" spans="1:14" x14ac:dyDescent="0.25">
      <c r="A1780">
        <v>957.366356</v>
      </c>
      <c r="B1780" s="1">
        <f>DATE(2012,12,13) + TIME(8,47,33)</f>
        <v>41256.366354166668</v>
      </c>
      <c r="C1780">
        <v>80</v>
      </c>
      <c r="D1780">
        <v>76.791297912999994</v>
      </c>
      <c r="E1780">
        <v>50</v>
      </c>
      <c r="F1780">
        <v>49.979682922000002</v>
      </c>
      <c r="G1780">
        <v>1327.9484863</v>
      </c>
      <c r="H1780">
        <v>1326.2241211</v>
      </c>
      <c r="I1780">
        <v>1338.1265868999999</v>
      </c>
      <c r="J1780">
        <v>1335.7839355000001</v>
      </c>
      <c r="K1780">
        <v>0</v>
      </c>
      <c r="L1780">
        <v>2400</v>
      </c>
      <c r="M1780">
        <v>2400</v>
      </c>
      <c r="N1780">
        <v>0</v>
      </c>
    </row>
    <row r="1781" spans="1:14" x14ac:dyDescent="0.25">
      <c r="A1781">
        <v>958.83357599999999</v>
      </c>
      <c r="B1781" s="1">
        <f>DATE(2012,12,14) + TIME(20,0,20)</f>
        <v>41257.833564814813</v>
      </c>
      <c r="C1781">
        <v>80</v>
      </c>
      <c r="D1781">
        <v>76.690040588000002</v>
      </c>
      <c r="E1781">
        <v>50</v>
      </c>
      <c r="F1781">
        <v>49.979671478</v>
      </c>
      <c r="G1781">
        <v>1327.9083252</v>
      </c>
      <c r="H1781">
        <v>1326.1702881000001</v>
      </c>
      <c r="I1781">
        <v>1338.1220702999999</v>
      </c>
      <c r="J1781">
        <v>1335.7824707</v>
      </c>
      <c r="K1781">
        <v>0</v>
      </c>
      <c r="L1781">
        <v>2400</v>
      </c>
      <c r="M1781">
        <v>2400</v>
      </c>
      <c r="N1781">
        <v>0</v>
      </c>
    </row>
    <row r="1782" spans="1:14" x14ac:dyDescent="0.25">
      <c r="A1782">
        <v>960.314391</v>
      </c>
      <c r="B1782" s="1">
        <f>DATE(2012,12,16) + TIME(7,32,43)</f>
        <v>41259.314386574071</v>
      </c>
      <c r="C1782">
        <v>80</v>
      </c>
      <c r="D1782">
        <v>76.585365295000003</v>
      </c>
      <c r="E1782">
        <v>50</v>
      </c>
      <c r="F1782">
        <v>49.979656218999999</v>
      </c>
      <c r="G1782">
        <v>1327.8676757999999</v>
      </c>
      <c r="H1782">
        <v>1326.1158447</v>
      </c>
      <c r="I1782">
        <v>1338.1175536999999</v>
      </c>
      <c r="J1782">
        <v>1335.7810059000001</v>
      </c>
      <c r="K1782">
        <v>0</v>
      </c>
      <c r="L1782">
        <v>2400</v>
      </c>
      <c r="M1782">
        <v>2400</v>
      </c>
      <c r="N1782">
        <v>0</v>
      </c>
    </row>
    <row r="1783" spans="1:14" x14ac:dyDescent="0.25">
      <c r="A1783">
        <v>961.81732399999999</v>
      </c>
      <c r="B1783" s="1">
        <f>DATE(2012,12,17) + TIME(19,36,56)</f>
        <v>41260.817314814813</v>
      </c>
      <c r="C1783">
        <v>80</v>
      </c>
      <c r="D1783">
        <v>76.478279114000003</v>
      </c>
      <c r="E1783">
        <v>50</v>
      </c>
      <c r="F1783">
        <v>49.979644774999997</v>
      </c>
      <c r="G1783">
        <v>1327.8271483999999</v>
      </c>
      <c r="H1783">
        <v>1326.0615233999999</v>
      </c>
      <c r="I1783">
        <v>1338.1130370999999</v>
      </c>
      <c r="J1783">
        <v>1335.7796631000001</v>
      </c>
      <c r="K1783">
        <v>0</v>
      </c>
      <c r="L1783">
        <v>2400</v>
      </c>
      <c r="M1783">
        <v>2400</v>
      </c>
      <c r="N1783">
        <v>0</v>
      </c>
    </row>
    <row r="1784" spans="1:14" x14ac:dyDescent="0.25">
      <c r="A1784">
        <v>963.354062</v>
      </c>
      <c r="B1784" s="1">
        <f>DATE(2012,12,19) + TIME(8,29,50)</f>
        <v>41262.354050925926</v>
      </c>
      <c r="C1784">
        <v>80</v>
      </c>
      <c r="D1784">
        <v>76.368553161999998</v>
      </c>
      <c r="E1784">
        <v>50</v>
      </c>
      <c r="F1784">
        <v>49.979633331000002</v>
      </c>
      <c r="G1784">
        <v>1327.7868652</v>
      </c>
      <c r="H1784">
        <v>1326.0074463000001</v>
      </c>
      <c r="I1784">
        <v>1338.1086425999999</v>
      </c>
      <c r="J1784">
        <v>1335.7783202999999</v>
      </c>
      <c r="K1784">
        <v>0</v>
      </c>
      <c r="L1784">
        <v>2400</v>
      </c>
      <c r="M1784">
        <v>2400</v>
      </c>
      <c r="N1784">
        <v>0</v>
      </c>
    </row>
    <row r="1785" spans="1:14" x14ac:dyDescent="0.25">
      <c r="A1785">
        <v>964.93023200000005</v>
      </c>
      <c r="B1785" s="1">
        <f>DATE(2012,12,20) + TIME(22,19,32)</f>
        <v>41263.930231481485</v>
      </c>
      <c r="C1785">
        <v>80</v>
      </c>
      <c r="D1785">
        <v>76.255607604999994</v>
      </c>
      <c r="E1785">
        <v>50</v>
      </c>
      <c r="F1785">
        <v>49.979621887</v>
      </c>
      <c r="G1785">
        <v>1327.7464600000001</v>
      </c>
      <c r="H1785">
        <v>1325.9534911999999</v>
      </c>
      <c r="I1785">
        <v>1338.1043701000001</v>
      </c>
      <c r="J1785">
        <v>1335.7769774999999</v>
      </c>
      <c r="K1785">
        <v>0</v>
      </c>
      <c r="L1785">
        <v>2400</v>
      </c>
      <c r="M1785">
        <v>2400</v>
      </c>
      <c r="N1785">
        <v>0</v>
      </c>
    </row>
    <row r="1786" spans="1:14" x14ac:dyDescent="0.25">
      <c r="A1786">
        <v>966.55176300000005</v>
      </c>
      <c r="B1786" s="1">
        <f>DATE(2012,12,22) + TIME(13,14,32)</f>
        <v>41265.551759259259</v>
      </c>
      <c r="C1786">
        <v>80</v>
      </c>
      <c r="D1786">
        <v>76.138938904</v>
      </c>
      <c r="E1786">
        <v>50</v>
      </c>
      <c r="F1786">
        <v>49.979610442999999</v>
      </c>
      <c r="G1786">
        <v>1327.7060547000001</v>
      </c>
      <c r="H1786">
        <v>1325.8992920000001</v>
      </c>
      <c r="I1786">
        <v>1338.0999756000001</v>
      </c>
      <c r="J1786">
        <v>1335.7756348</v>
      </c>
      <c r="K1786">
        <v>0</v>
      </c>
      <c r="L1786">
        <v>2400</v>
      </c>
      <c r="M1786">
        <v>2400</v>
      </c>
      <c r="N1786">
        <v>0</v>
      </c>
    </row>
    <row r="1787" spans="1:14" x14ac:dyDescent="0.25">
      <c r="A1787">
        <v>968.23228900000004</v>
      </c>
      <c r="B1787" s="1">
        <f>DATE(2012,12,24) + TIME(5,34,29)</f>
        <v>41267.23228009259</v>
      </c>
      <c r="C1787">
        <v>80</v>
      </c>
      <c r="D1787">
        <v>76.017898560000006</v>
      </c>
      <c r="E1787">
        <v>50</v>
      </c>
      <c r="F1787">
        <v>49.979598998999997</v>
      </c>
      <c r="G1787">
        <v>1327.6652832</v>
      </c>
      <c r="H1787">
        <v>1325.8449707</v>
      </c>
      <c r="I1787">
        <v>1338.0957031</v>
      </c>
      <c r="J1787">
        <v>1335.7744141000001</v>
      </c>
      <c r="K1787">
        <v>0</v>
      </c>
      <c r="L1787">
        <v>2400</v>
      </c>
      <c r="M1787">
        <v>2400</v>
      </c>
      <c r="N1787">
        <v>0</v>
      </c>
    </row>
    <row r="1788" spans="1:14" x14ac:dyDescent="0.25">
      <c r="A1788">
        <v>969.98729400000002</v>
      </c>
      <c r="B1788" s="1">
        <f>DATE(2012,12,25) + TIME(23,41,42)</f>
        <v>41268.987291666665</v>
      </c>
      <c r="C1788">
        <v>80</v>
      </c>
      <c r="D1788">
        <v>75.891494750999996</v>
      </c>
      <c r="E1788">
        <v>50</v>
      </c>
      <c r="F1788">
        <v>49.979587555000002</v>
      </c>
      <c r="G1788">
        <v>1327.6239014</v>
      </c>
      <c r="H1788">
        <v>1325.7900391000001</v>
      </c>
      <c r="I1788">
        <v>1338.0913086</v>
      </c>
      <c r="J1788">
        <v>1335.7731934000001</v>
      </c>
      <c r="K1788">
        <v>0</v>
      </c>
      <c r="L1788">
        <v>2400</v>
      </c>
      <c r="M1788">
        <v>2400</v>
      </c>
      <c r="N1788">
        <v>0</v>
      </c>
    </row>
    <row r="1789" spans="1:14" x14ac:dyDescent="0.25">
      <c r="A1789">
        <v>971.81942600000002</v>
      </c>
      <c r="B1789" s="1">
        <f>DATE(2012,12,27) + TIME(19,39,58)</f>
        <v>41270.819421296299</v>
      </c>
      <c r="C1789">
        <v>80</v>
      </c>
      <c r="D1789">
        <v>75.758773804</v>
      </c>
      <c r="E1789">
        <v>50</v>
      </c>
      <c r="F1789">
        <v>49.979576111</v>
      </c>
      <c r="G1789">
        <v>1327.5817870999999</v>
      </c>
      <c r="H1789">
        <v>1325.7341309000001</v>
      </c>
      <c r="I1789">
        <v>1338.0869141000001</v>
      </c>
      <c r="J1789">
        <v>1335.7719727000001</v>
      </c>
      <c r="K1789">
        <v>0</v>
      </c>
      <c r="L1789">
        <v>2400</v>
      </c>
      <c r="M1789">
        <v>2400</v>
      </c>
      <c r="N1789">
        <v>0</v>
      </c>
    </row>
    <row r="1790" spans="1:14" x14ac:dyDescent="0.25">
      <c r="A1790">
        <v>973.68581900000004</v>
      </c>
      <c r="B1790" s="1">
        <f>DATE(2012,12,29) + TIME(16,27,34)</f>
        <v>41272.685810185183</v>
      </c>
      <c r="C1790">
        <v>80</v>
      </c>
      <c r="D1790">
        <v>75.620025635000005</v>
      </c>
      <c r="E1790">
        <v>50</v>
      </c>
      <c r="F1790">
        <v>49.979564666999998</v>
      </c>
      <c r="G1790">
        <v>1327.5388184000001</v>
      </c>
      <c r="H1790">
        <v>1325.677124</v>
      </c>
      <c r="I1790">
        <v>1338.0823975000001</v>
      </c>
      <c r="J1790">
        <v>1335.7707519999999</v>
      </c>
      <c r="K1790">
        <v>0</v>
      </c>
      <c r="L1790">
        <v>2400</v>
      </c>
      <c r="M1790">
        <v>2400</v>
      </c>
      <c r="N1790">
        <v>0</v>
      </c>
    </row>
    <row r="1791" spans="1:14" x14ac:dyDescent="0.25">
      <c r="A1791">
        <v>975.556241</v>
      </c>
      <c r="B1791" s="1">
        <f>DATE(2012,12,31) + TIME(13,20,59)</f>
        <v>41274.556238425925</v>
      </c>
      <c r="C1791">
        <v>80</v>
      </c>
      <c r="D1791">
        <v>75.477561950999998</v>
      </c>
      <c r="E1791">
        <v>50</v>
      </c>
      <c r="F1791">
        <v>49.979553223000003</v>
      </c>
      <c r="G1791">
        <v>1327.4957274999999</v>
      </c>
      <c r="H1791">
        <v>1325.6199951000001</v>
      </c>
      <c r="I1791">
        <v>1338.0780029</v>
      </c>
      <c r="J1791">
        <v>1335.7695312000001</v>
      </c>
      <c r="K1791">
        <v>0</v>
      </c>
      <c r="L1791">
        <v>2400</v>
      </c>
      <c r="M1791">
        <v>2400</v>
      </c>
      <c r="N1791">
        <v>0</v>
      </c>
    </row>
    <row r="1792" spans="1:14" x14ac:dyDescent="0.25">
      <c r="A1792">
        <v>976</v>
      </c>
      <c r="B1792" s="1">
        <f>DATE(2013,1,1) + TIME(0,0,0)</f>
        <v>41275</v>
      </c>
      <c r="C1792">
        <v>80</v>
      </c>
      <c r="D1792">
        <v>75.394432068</v>
      </c>
      <c r="E1792">
        <v>50</v>
      </c>
      <c r="F1792">
        <v>49.979541779000002</v>
      </c>
      <c r="G1792">
        <v>1327.4549560999999</v>
      </c>
      <c r="H1792">
        <v>1325.5678711</v>
      </c>
      <c r="I1792">
        <v>1338.0736084</v>
      </c>
      <c r="J1792">
        <v>1335.7681885</v>
      </c>
      <c r="K1792">
        <v>0</v>
      </c>
      <c r="L1792">
        <v>2400</v>
      </c>
      <c r="M1792">
        <v>2400</v>
      </c>
      <c r="N1792">
        <v>0</v>
      </c>
    </row>
    <row r="1793" spans="1:14" x14ac:dyDescent="0.25">
      <c r="A1793">
        <v>977.89644699999997</v>
      </c>
      <c r="B1793" s="1">
        <f>DATE(2013,1,2) + TIME(21,30,53)</f>
        <v>41276.89644675926</v>
      </c>
      <c r="C1793">
        <v>80</v>
      </c>
      <c r="D1793">
        <v>75.287193298000005</v>
      </c>
      <c r="E1793">
        <v>50</v>
      </c>
      <c r="F1793">
        <v>49.979537964000002</v>
      </c>
      <c r="G1793">
        <v>1327.4376221</v>
      </c>
      <c r="H1793">
        <v>1325.5402832</v>
      </c>
      <c r="I1793">
        <v>1338.0726318</v>
      </c>
      <c r="J1793">
        <v>1335.7681885</v>
      </c>
      <c r="K1793">
        <v>0</v>
      </c>
      <c r="L1793">
        <v>2400</v>
      </c>
      <c r="M1793">
        <v>2400</v>
      </c>
      <c r="N1793">
        <v>0</v>
      </c>
    </row>
    <row r="1794" spans="1:14" x14ac:dyDescent="0.25">
      <c r="A1794">
        <v>979.85142499999995</v>
      </c>
      <c r="B1794" s="1">
        <f>DATE(2013,1,4) + TIME(20,26,3)</f>
        <v>41278.851423611108</v>
      </c>
      <c r="C1794">
        <v>80</v>
      </c>
      <c r="D1794">
        <v>75.147460937999995</v>
      </c>
      <c r="E1794">
        <v>50</v>
      </c>
      <c r="F1794">
        <v>49.979530334000003</v>
      </c>
      <c r="G1794">
        <v>1327.3996582</v>
      </c>
      <c r="H1794">
        <v>1325.4918213000001</v>
      </c>
      <c r="I1794">
        <v>1338.0684814000001</v>
      </c>
      <c r="J1794">
        <v>1335.7670897999999</v>
      </c>
      <c r="K1794">
        <v>0</v>
      </c>
      <c r="L1794">
        <v>2400</v>
      </c>
      <c r="M1794">
        <v>2400</v>
      </c>
      <c r="N1794">
        <v>0</v>
      </c>
    </row>
    <row r="1795" spans="1:14" x14ac:dyDescent="0.25">
      <c r="A1795">
        <v>981.87101800000005</v>
      </c>
      <c r="B1795" s="1">
        <f>DATE(2013,1,6) + TIME(20,54,15)</f>
        <v>41280.871006944442</v>
      </c>
      <c r="C1795">
        <v>80</v>
      </c>
      <c r="D1795">
        <v>74.995841979999994</v>
      </c>
      <c r="E1795">
        <v>50</v>
      </c>
      <c r="F1795">
        <v>49.979518890000001</v>
      </c>
      <c r="G1795">
        <v>1327.3585204999999</v>
      </c>
      <c r="H1795">
        <v>1325.4378661999999</v>
      </c>
      <c r="I1795">
        <v>1338.0642089999999</v>
      </c>
      <c r="J1795">
        <v>1335.7659911999999</v>
      </c>
      <c r="K1795">
        <v>0</v>
      </c>
      <c r="L1795">
        <v>2400</v>
      </c>
      <c r="M1795">
        <v>2400</v>
      </c>
      <c r="N1795">
        <v>0</v>
      </c>
    </row>
    <row r="1796" spans="1:14" x14ac:dyDescent="0.25">
      <c r="A1796">
        <v>983.97454300000004</v>
      </c>
      <c r="B1796" s="1">
        <f>DATE(2013,1,8) + TIME(23,23,20)</f>
        <v>41282.974537037036</v>
      </c>
      <c r="C1796">
        <v>80</v>
      </c>
      <c r="D1796">
        <v>74.836395264000004</v>
      </c>
      <c r="E1796">
        <v>50</v>
      </c>
      <c r="F1796">
        <v>49.979511260999999</v>
      </c>
      <c r="G1796">
        <v>1327.3162841999999</v>
      </c>
      <c r="H1796">
        <v>1325.3823242000001</v>
      </c>
      <c r="I1796">
        <v>1338.0599365</v>
      </c>
      <c r="J1796">
        <v>1335.7648925999999</v>
      </c>
      <c r="K1796">
        <v>0</v>
      </c>
      <c r="L1796">
        <v>2400</v>
      </c>
      <c r="M1796">
        <v>2400</v>
      </c>
      <c r="N1796">
        <v>0</v>
      </c>
    </row>
    <row r="1797" spans="1:14" x14ac:dyDescent="0.25">
      <c r="A1797">
        <v>986.151386</v>
      </c>
      <c r="B1797" s="1">
        <f>DATE(2013,1,11) + TIME(3,37,59)</f>
        <v>41285.151377314818</v>
      </c>
      <c r="C1797">
        <v>80</v>
      </c>
      <c r="D1797">
        <v>74.669387817</v>
      </c>
      <c r="E1797">
        <v>50</v>
      </c>
      <c r="F1797">
        <v>49.979499816999997</v>
      </c>
      <c r="G1797">
        <v>1327.2733154</v>
      </c>
      <c r="H1797">
        <v>1325.3255615</v>
      </c>
      <c r="I1797">
        <v>1338.0555420000001</v>
      </c>
      <c r="J1797">
        <v>1335.7637939000001</v>
      </c>
      <c r="K1797">
        <v>0</v>
      </c>
      <c r="L1797">
        <v>2400</v>
      </c>
      <c r="M1797">
        <v>2400</v>
      </c>
      <c r="N1797">
        <v>0</v>
      </c>
    </row>
    <row r="1798" spans="1:14" x14ac:dyDescent="0.25">
      <c r="A1798">
        <v>988.38058599999999</v>
      </c>
      <c r="B1798" s="1">
        <f>DATE(2013,1,13) + TIME(9,8,2)</f>
        <v>41287.380578703705</v>
      </c>
      <c r="C1798">
        <v>80</v>
      </c>
      <c r="D1798">
        <v>74.495704650999997</v>
      </c>
      <c r="E1798">
        <v>50</v>
      </c>
      <c r="F1798">
        <v>49.979492188000002</v>
      </c>
      <c r="G1798">
        <v>1327.2296143000001</v>
      </c>
      <c r="H1798">
        <v>1325.2680664</v>
      </c>
      <c r="I1798">
        <v>1338.0511475000001</v>
      </c>
      <c r="J1798">
        <v>1335.7626952999999</v>
      </c>
      <c r="K1798">
        <v>0</v>
      </c>
      <c r="L1798">
        <v>2400</v>
      </c>
      <c r="M1798">
        <v>2400</v>
      </c>
      <c r="N1798">
        <v>0</v>
      </c>
    </row>
    <row r="1799" spans="1:14" x14ac:dyDescent="0.25">
      <c r="A1799">
        <v>990.68278399999997</v>
      </c>
      <c r="B1799" s="1">
        <f>DATE(2013,1,15) + TIME(16,23,12)</f>
        <v>41289.68277777778</v>
      </c>
      <c r="C1799">
        <v>80</v>
      </c>
      <c r="D1799">
        <v>74.316215514999996</v>
      </c>
      <c r="E1799">
        <v>50</v>
      </c>
      <c r="F1799">
        <v>49.979484558000003</v>
      </c>
      <c r="G1799">
        <v>1327.1856689000001</v>
      </c>
      <c r="H1799">
        <v>1325.2103271000001</v>
      </c>
      <c r="I1799">
        <v>1338.0467529</v>
      </c>
      <c r="J1799">
        <v>1335.7615966999999</v>
      </c>
      <c r="K1799">
        <v>0</v>
      </c>
      <c r="L1799">
        <v>2400</v>
      </c>
      <c r="M1799">
        <v>2400</v>
      </c>
      <c r="N1799">
        <v>0</v>
      </c>
    </row>
    <row r="1800" spans="1:14" x14ac:dyDescent="0.25">
      <c r="A1800">
        <v>993.00477899999998</v>
      </c>
      <c r="B1800" s="1">
        <f>DATE(2013,1,18) + TIME(0,6,52)</f>
        <v>41292.00476851852</v>
      </c>
      <c r="C1800">
        <v>80</v>
      </c>
      <c r="D1800">
        <v>74.130783081000004</v>
      </c>
      <c r="E1800">
        <v>50</v>
      </c>
      <c r="F1800">
        <v>49.979476929</v>
      </c>
      <c r="G1800">
        <v>1327.1414795000001</v>
      </c>
      <c r="H1800">
        <v>1325.1522216999999</v>
      </c>
      <c r="I1800">
        <v>1338.0423584</v>
      </c>
      <c r="J1800">
        <v>1335.7604980000001</v>
      </c>
      <c r="K1800">
        <v>0</v>
      </c>
      <c r="L1800">
        <v>2400</v>
      </c>
      <c r="M1800">
        <v>2400</v>
      </c>
      <c r="N1800">
        <v>0</v>
      </c>
    </row>
    <row r="1801" spans="1:14" x14ac:dyDescent="0.25">
      <c r="A1801">
        <v>995.37700900000004</v>
      </c>
      <c r="B1801" s="1">
        <f>DATE(2013,1,20) + TIME(9,2,53)</f>
        <v>41294.377002314817</v>
      </c>
      <c r="C1801">
        <v>80</v>
      </c>
      <c r="D1801">
        <v>73.941642760999997</v>
      </c>
      <c r="E1801">
        <v>50</v>
      </c>
      <c r="F1801">
        <v>49.979469299000002</v>
      </c>
      <c r="G1801">
        <v>1327.0975341999999</v>
      </c>
      <c r="H1801">
        <v>1325.0944824000001</v>
      </c>
      <c r="I1801">
        <v>1338.0379639</v>
      </c>
      <c r="J1801">
        <v>1335.7595214999999</v>
      </c>
      <c r="K1801">
        <v>0</v>
      </c>
      <c r="L1801">
        <v>2400</v>
      </c>
      <c r="M1801">
        <v>2400</v>
      </c>
      <c r="N1801">
        <v>0</v>
      </c>
    </row>
    <row r="1802" spans="1:14" x14ac:dyDescent="0.25">
      <c r="A1802">
        <v>997.82073200000002</v>
      </c>
      <c r="B1802" s="1">
        <f>DATE(2013,1,22) + TIME(19,41,51)</f>
        <v>41296.820729166669</v>
      </c>
      <c r="C1802">
        <v>80</v>
      </c>
      <c r="D1802">
        <v>73.747367858999993</v>
      </c>
      <c r="E1802">
        <v>50</v>
      </c>
      <c r="F1802">
        <v>49.979461669999999</v>
      </c>
      <c r="G1802">
        <v>1327.0538329999999</v>
      </c>
      <c r="H1802">
        <v>1325.0369873</v>
      </c>
      <c r="I1802">
        <v>1338.0336914</v>
      </c>
      <c r="J1802">
        <v>1335.7584228999999</v>
      </c>
      <c r="K1802">
        <v>0</v>
      </c>
      <c r="L1802">
        <v>2400</v>
      </c>
      <c r="M1802">
        <v>2400</v>
      </c>
      <c r="N1802">
        <v>0</v>
      </c>
    </row>
    <row r="1803" spans="1:14" x14ac:dyDescent="0.25">
      <c r="A1803">
        <v>1000.354612</v>
      </c>
      <c r="B1803" s="1">
        <f>DATE(2013,1,25) + TIME(8,30,38)</f>
        <v>41299.35460648148</v>
      </c>
      <c r="C1803">
        <v>80</v>
      </c>
      <c r="D1803">
        <v>73.546325683999996</v>
      </c>
      <c r="E1803">
        <v>50</v>
      </c>
      <c r="F1803">
        <v>49.979454040999997</v>
      </c>
      <c r="G1803">
        <v>1327.0100098</v>
      </c>
      <c r="H1803">
        <v>1324.9794922000001</v>
      </c>
      <c r="I1803">
        <v>1338.0292969</v>
      </c>
      <c r="J1803">
        <v>1335.7573242000001</v>
      </c>
      <c r="K1803">
        <v>0</v>
      </c>
      <c r="L1803">
        <v>2400</v>
      </c>
      <c r="M1803">
        <v>2400</v>
      </c>
      <c r="N1803">
        <v>0</v>
      </c>
    </row>
    <row r="1804" spans="1:14" x14ac:dyDescent="0.25">
      <c r="A1804">
        <v>1002.99493</v>
      </c>
      <c r="B1804" s="1">
        <f>DATE(2013,1,27) + TIME(23,52,41)</f>
        <v>41301.99491898148</v>
      </c>
      <c r="C1804">
        <v>80</v>
      </c>
      <c r="D1804">
        <v>73.336997986</v>
      </c>
      <c r="E1804">
        <v>50</v>
      </c>
      <c r="F1804">
        <v>49.979446410999998</v>
      </c>
      <c r="G1804">
        <v>1326.9656981999999</v>
      </c>
      <c r="H1804">
        <v>1324.9213867000001</v>
      </c>
      <c r="I1804">
        <v>1338.0249022999999</v>
      </c>
      <c r="J1804">
        <v>1335.7562256000001</v>
      </c>
      <c r="K1804">
        <v>0</v>
      </c>
      <c r="L1804">
        <v>2400</v>
      </c>
      <c r="M1804">
        <v>2400</v>
      </c>
      <c r="N1804">
        <v>0</v>
      </c>
    </row>
    <row r="1805" spans="1:14" x14ac:dyDescent="0.25">
      <c r="A1805">
        <v>1005.652971</v>
      </c>
      <c r="B1805" s="1">
        <f>DATE(2013,1,30) + TIME(15,40,16)</f>
        <v>41304.652962962966</v>
      </c>
      <c r="C1805">
        <v>80</v>
      </c>
      <c r="D1805">
        <v>73.119331360000004</v>
      </c>
      <c r="E1805">
        <v>50</v>
      </c>
      <c r="F1805">
        <v>49.979442595999998</v>
      </c>
      <c r="G1805">
        <v>1326.9207764</v>
      </c>
      <c r="H1805">
        <v>1324.8626709</v>
      </c>
      <c r="I1805">
        <v>1338.0203856999999</v>
      </c>
      <c r="J1805">
        <v>1335.7551269999999</v>
      </c>
      <c r="K1805">
        <v>0</v>
      </c>
      <c r="L1805">
        <v>2400</v>
      </c>
      <c r="M1805">
        <v>2400</v>
      </c>
      <c r="N1805">
        <v>0</v>
      </c>
    </row>
    <row r="1806" spans="1:14" x14ac:dyDescent="0.25">
      <c r="A1806">
        <v>1007</v>
      </c>
      <c r="B1806" s="1">
        <f>DATE(2013,2,1) + TIME(0,0,0)</f>
        <v>41306</v>
      </c>
      <c r="C1806">
        <v>80</v>
      </c>
      <c r="D1806">
        <v>72.928947449000006</v>
      </c>
      <c r="E1806">
        <v>50</v>
      </c>
      <c r="F1806">
        <v>49.979427338000001</v>
      </c>
      <c r="G1806">
        <v>1326.8767089999999</v>
      </c>
      <c r="H1806">
        <v>1324.8059082</v>
      </c>
      <c r="I1806">
        <v>1338.0158690999999</v>
      </c>
      <c r="J1806">
        <v>1335.7540283000001</v>
      </c>
      <c r="K1806">
        <v>0</v>
      </c>
      <c r="L1806">
        <v>2400</v>
      </c>
      <c r="M1806">
        <v>2400</v>
      </c>
      <c r="N1806">
        <v>0</v>
      </c>
    </row>
    <row r="1807" spans="1:14" x14ac:dyDescent="0.25">
      <c r="A1807">
        <v>1009.685465</v>
      </c>
      <c r="B1807" s="1">
        <f>DATE(2013,2,3) + TIME(16,27,4)</f>
        <v>41308.68546296296</v>
      </c>
      <c r="C1807">
        <v>80</v>
      </c>
      <c r="D1807">
        <v>72.772544861</v>
      </c>
      <c r="E1807">
        <v>50</v>
      </c>
      <c r="F1807">
        <v>49.979431151999997</v>
      </c>
      <c r="G1807">
        <v>1326.8481445</v>
      </c>
      <c r="H1807">
        <v>1324.7642822</v>
      </c>
      <c r="I1807">
        <v>1338.0136719</v>
      </c>
      <c r="J1807">
        <v>1335.753418</v>
      </c>
      <c r="K1807">
        <v>0</v>
      </c>
      <c r="L1807">
        <v>2400</v>
      </c>
      <c r="M1807">
        <v>2400</v>
      </c>
      <c r="N1807">
        <v>0</v>
      </c>
    </row>
    <row r="1808" spans="1:14" x14ac:dyDescent="0.25">
      <c r="A1808">
        <v>1012.498874</v>
      </c>
      <c r="B1808" s="1">
        <f>DATE(2013,2,6) + TIME(11,58,22)</f>
        <v>41311.498865740738</v>
      </c>
      <c r="C1808">
        <v>80</v>
      </c>
      <c r="D1808">
        <v>72.556785583000007</v>
      </c>
      <c r="E1808">
        <v>50</v>
      </c>
      <c r="F1808">
        <v>49.979427338000001</v>
      </c>
      <c r="G1808">
        <v>1326.8092041</v>
      </c>
      <c r="H1808">
        <v>1324.7158202999999</v>
      </c>
      <c r="I1808">
        <v>1338.0093993999999</v>
      </c>
      <c r="J1808">
        <v>1335.7524414</v>
      </c>
      <c r="K1808">
        <v>0</v>
      </c>
      <c r="L1808">
        <v>2400</v>
      </c>
      <c r="M1808">
        <v>2400</v>
      </c>
      <c r="N1808">
        <v>0</v>
      </c>
    </row>
    <row r="1809" spans="1:14" x14ac:dyDescent="0.25">
      <c r="A1809">
        <v>1015.4146019999999</v>
      </c>
      <c r="B1809" s="1">
        <f>DATE(2013,2,9) + TIME(9,57,1)</f>
        <v>41314.414594907408</v>
      </c>
      <c r="C1809">
        <v>80</v>
      </c>
      <c r="D1809">
        <v>72.322097778</v>
      </c>
      <c r="E1809">
        <v>50</v>
      </c>
      <c r="F1809">
        <v>49.979427338000001</v>
      </c>
      <c r="G1809">
        <v>1326.7659911999999</v>
      </c>
      <c r="H1809">
        <v>1324.6599120999999</v>
      </c>
      <c r="I1809">
        <v>1338.0048827999999</v>
      </c>
      <c r="J1809">
        <v>1335.7512207</v>
      </c>
      <c r="K1809">
        <v>0</v>
      </c>
      <c r="L1809">
        <v>2400</v>
      </c>
      <c r="M1809">
        <v>2400</v>
      </c>
      <c r="N1809">
        <v>0</v>
      </c>
    </row>
    <row r="1810" spans="1:14" x14ac:dyDescent="0.25">
      <c r="A1810">
        <v>1018.420876</v>
      </c>
      <c r="B1810" s="1">
        <f>DATE(2013,2,12) + TIME(10,6,3)</f>
        <v>41317.420868055553</v>
      </c>
      <c r="C1810">
        <v>80</v>
      </c>
      <c r="D1810">
        <v>72.076644896999994</v>
      </c>
      <c r="E1810">
        <v>50</v>
      </c>
      <c r="F1810">
        <v>49.979423523000001</v>
      </c>
      <c r="G1810">
        <v>1326.7216797000001</v>
      </c>
      <c r="H1810">
        <v>1324.6020507999999</v>
      </c>
      <c r="I1810">
        <v>1338.0003661999999</v>
      </c>
      <c r="J1810">
        <v>1335.7501221</v>
      </c>
      <c r="K1810">
        <v>0</v>
      </c>
      <c r="L1810">
        <v>2400</v>
      </c>
      <c r="M1810">
        <v>2400</v>
      </c>
      <c r="N1810">
        <v>0</v>
      </c>
    </row>
    <row r="1811" spans="1:14" x14ac:dyDescent="0.25">
      <c r="A1811">
        <v>1021.517601</v>
      </c>
      <c r="B1811" s="1">
        <f>DATE(2013,2,15) + TIME(12,25,20)</f>
        <v>41320.517592592594</v>
      </c>
      <c r="C1811">
        <v>80</v>
      </c>
      <c r="D1811">
        <v>71.822303771999998</v>
      </c>
      <c r="E1811">
        <v>50</v>
      </c>
      <c r="F1811">
        <v>49.979419708000002</v>
      </c>
      <c r="G1811">
        <v>1326.6768798999999</v>
      </c>
      <c r="H1811">
        <v>1324.5435791</v>
      </c>
      <c r="I1811">
        <v>1337.9957274999999</v>
      </c>
      <c r="J1811">
        <v>1335.7489014</v>
      </c>
      <c r="K1811">
        <v>0</v>
      </c>
      <c r="L1811">
        <v>2400</v>
      </c>
      <c r="M1811">
        <v>2400</v>
      </c>
      <c r="N1811">
        <v>0</v>
      </c>
    </row>
    <row r="1812" spans="1:14" x14ac:dyDescent="0.25">
      <c r="A1812">
        <v>1024.739955</v>
      </c>
      <c r="B1812" s="1">
        <f>DATE(2013,2,18) + TIME(17,45,32)</f>
        <v>41323.739953703705</v>
      </c>
      <c r="C1812">
        <v>80</v>
      </c>
      <c r="D1812">
        <v>71.559036254999995</v>
      </c>
      <c r="E1812">
        <v>50</v>
      </c>
      <c r="F1812">
        <v>49.979419708000002</v>
      </c>
      <c r="G1812">
        <v>1326.6318358999999</v>
      </c>
      <c r="H1812">
        <v>1324.4848632999999</v>
      </c>
      <c r="I1812">
        <v>1337.9910889</v>
      </c>
      <c r="J1812">
        <v>1335.7475586</v>
      </c>
      <c r="K1812">
        <v>0</v>
      </c>
      <c r="L1812">
        <v>2400</v>
      </c>
      <c r="M1812">
        <v>2400</v>
      </c>
      <c r="N1812">
        <v>0</v>
      </c>
    </row>
    <row r="1813" spans="1:14" x14ac:dyDescent="0.25">
      <c r="A1813">
        <v>1027.9995369999999</v>
      </c>
      <c r="B1813" s="1">
        <f>DATE(2013,2,21) + TIME(23,59,20)</f>
        <v>41326.999537037038</v>
      </c>
      <c r="C1813">
        <v>80</v>
      </c>
      <c r="D1813">
        <v>71.285545349000003</v>
      </c>
      <c r="E1813">
        <v>50</v>
      </c>
      <c r="F1813">
        <v>49.979415893999999</v>
      </c>
      <c r="G1813">
        <v>1326.5861815999999</v>
      </c>
      <c r="H1813">
        <v>1324.4255370999999</v>
      </c>
      <c r="I1813">
        <v>1337.9863281</v>
      </c>
      <c r="J1813">
        <v>1335.7463379000001</v>
      </c>
      <c r="K1813">
        <v>0</v>
      </c>
      <c r="L1813">
        <v>2400</v>
      </c>
      <c r="M1813">
        <v>2400</v>
      </c>
      <c r="N1813">
        <v>0</v>
      </c>
    </row>
    <row r="1814" spans="1:14" x14ac:dyDescent="0.25">
      <c r="A1814">
        <v>1031.315104</v>
      </c>
      <c r="B1814" s="1">
        <f>DATE(2013,2,25) + TIME(7,33,45)</f>
        <v>41330.315104166664</v>
      </c>
      <c r="C1814">
        <v>80</v>
      </c>
      <c r="D1814">
        <v>71.007003784000005</v>
      </c>
      <c r="E1814">
        <v>50</v>
      </c>
      <c r="F1814">
        <v>49.979415893999999</v>
      </c>
      <c r="G1814">
        <v>1326.5410156</v>
      </c>
      <c r="H1814">
        <v>1324.3663329999999</v>
      </c>
      <c r="I1814">
        <v>1337.9815673999999</v>
      </c>
      <c r="J1814">
        <v>1335.7449951000001</v>
      </c>
      <c r="K1814">
        <v>0</v>
      </c>
      <c r="L1814">
        <v>2400</v>
      </c>
      <c r="M1814">
        <v>2400</v>
      </c>
      <c r="N1814">
        <v>0</v>
      </c>
    </row>
    <row r="1815" spans="1:14" x14ac:dyDescent="0.25">
      <c r="A1815">
        <v>1034.6603030000001</v>
      </c>
      <c r="B1815" s="1">
        <f>DATE(2013,2,28) + TIME(15,50,50)</f>
        <v>41333.660300925927</v>
      </c>
      <c r="C1815">
        <v>80</v>
      </c>
      <c r="D1815">
        <v>70.723114014000004</v>
      </c>
      <c r="E1815">
        <v>50</v>
      </c>
      <c r="F1815">
        <v>49.979415893999999</v>
      </c>
      <c r="G1815">
        <v>1326.4960937999999</v>
      </c>
      <c r="H1815">
        <v>1324.3078613</v>
      </c>
      <c r="I1815">
        <v>1337.9769286999999</v>
      </c>
      <c r="J1815">
        <v>1335.7436522999999</v>
      </c>
      <c r="K1815">
        <v>0</v>
      </c>
      <c r="L1815">
        <v>2400</v>
      </c>
      <c r="M1815">
        <v>2400</v>
      </c>
      <c r="N1815">
        <v>0</v>
      </c>
    </row>
    <row r="1816" spans="1:14" x14ac:dyDescent="0.25">
      <c r="A1816">
        <v>1035</v>
      </c>
      <c r="B1816" s="1">
        <f>DATE(2013,3,1) + TIME(0,0,0)</f>
        <v>41334</v>
      </c>
      <c r="C1816">
        <v>80</v>
      </c>
      <c r="D1816">
        <v>70.590446471999996</v>
      </c>
      <c r="E1816">
        <v>50</v>
      </c>
      <c r="F1816">
        <v>49.979404449</v>
      </c>
      <c r="G1816">
        <v>1326.453125</v>
      </c>
      <c r="H1816">
        <v>1324.2562256000001</v>
      </c>
      <c r="I1816">
        <v>1337.9727783000001</v>
      </c>
      <c r="J1816">
        <v>1335.7426757999999</v>
      </c>
      <c r="K1816">
        <v>0</v>
      </c>
      <c r="L1816">
        <v>2400</v>
      </c>
      <c r="M1816">
        <v>2400</v>
      </c>
      <c r="N1816">
        <v>0</v>
      </c>
    </row>
    <row r="1817" spans="1:14" x14ac:dyDescent="0.25">
      <c r="A1817">
        <v>1038.406941</v>
      </c>
      <c r="B1817" s="1">
        <f>DATE(2013,3,4) + TIME(9,45,59)</f>
        <v>41337.40693287037</v>
      </c>
      <c r="C1817">
        <v>80</v>
      </c>
      <c r="D1817">
        <v>70.392539978000002</v>
      </c>
      <c r="E1817">
        <v>50</v>
      </c>
      <c r="F1817">
        <v>49.979415893999999</v>
      </c>
      <c r="G1817">
        <v>1326.4422606999999</v>
      </c>
      <c r="H1817">
        <v>1324.234375</v>
      </c>
      <c r="I1817">
        <v>1337.9716797000001</v>
      </c>
      <c r="J1817">
        <v>1335.7420654</v>
      </c>
      <c r="K1817">
        <v>0</v>
      </c>
      <c r="L1817">
        <v>2400</v>
      </c>
      <c r="M1817">
        <v>2400</v>
      </c>
      <c r="N1817">
        <v>0</v>
      </c>
    </row>
    <row r="1818" spans="1:14" x14ac:dyDescent="0.25">
      <c r="A1818">
        <v>1041.9547689999999</v>
      </c>
      <c r="B1818" s="1">
        <f>DATE(2013,3,7) + TIME(22,54,52)</f>
        <v>41340.954768518517</v>
      </c>
      <c r="C1818">
        <v>80</v>
      </c>
      <c r="D1818">
        <v>70.108795165999993</v>
      </c>
      <c r="E1818">
        <v>50</v>
      </c>
      <c r="F1818">
        <v>49.979415893999999</v>
      </c>
      <c r="G1818">
        <v>1326.4029541</v>
      </c>
      <c r="H1818">
        <v>1324.1856689000001</v>
      </c>
      <c r="I1818">
        <v>1337.9671631000001</v>
      </c>
      <c r="J1818">
        <v>1335.7407227000001</v>
      </c>
      <c r="K1818">
        <v>0</v>
      </c>
      <c r="L1818">
        <v>2400</v>
      </c>
      <c r="M1818">
        <v>2400</v>
      </c>
      <c r="N1818">
        <v>0</v>
      </c>
    </row>
    <row r="1819" spans="1:14" x14ac:dyDescent="0.25">
      <c r="A1819">
        <v>1045.678435</v>
      </c>
      <c r="B1819" s="1">
        <f>DATE(2013,3,11) + TIME(16,16,56)</f>
        <v>41344.678425925929</v>
      </c>
      <c r="C1819">
        <v>80</v>
      </c>
      <c r="D1819">
        <v>69.803482056000007</v>
      </c>
      <c r="E1819">
        <v>50</v>
      </c>
      <c r="F1819">
        <v>49.979419708000002</v>
      </c>
      <c r="G1819">
        <v>1326.3597411999999</v>
      </c>
      <c r="H1819">
        <v>1324.1296387</v>
      </c>
      <c r="I1819">
        <v>1337.9622803</v>
      </c>
      <c r="J1819">
        <v>1335.7392577999999</v>
      </c>
      <c r="K1819">
        <v>0</v>
      </c>
      <c r="L1819">
        <v>2400</v>
      </c>
      <c r="M1819">
        <v>2400</v>
      </c>
      <c r="N1819">
        <v>0</v>
      </c>
    </row>
    <row r="1820" spans="1:14" x14ac:dyDescent="0.25">
      <c r="A1820">
        <v>1049.5303489999999</v>
      </c>
      <c r="B1820" s="1">
        <f>DATE(2013,3,15) + TIME(12,43,42)</f>
        <v>41348.530347222222</v>
      </c>
      <c r="C1820">
        <v>80</v>
      </c>
      <c r="D1820">
        <v>69.480751037999994</v>
      </c>
      <c r="E1820">
        <v>50</v>
      </c>
      <c r="F1820">
        <v>49.979423523000001</v>
      </c>
      <c r="G1820">
        <v>1326.3151855000001</v>
      </c>
      <c r="H1820">
        <v>1324.0718993999999</v>
      </c>
      <c r="I1820">
        <v>1337.9573975000001</v>
      </c>
      <c r="J1820">
        <v>1335.7376709</v>
      </c>
      <c r="K1820">
        <v>0</v>
      </c>
      <c r="L1820">
        <v>2400</v>
      </c>
      <c r="M1820">
        <v>2400</v>
      </c>
      <c r="N1820">
        <v>0</v>
      </c>
    </row>
    <row r="1821" spans="1:14" x14ac:dyDescent="0.25">
      <c r="A1821">
        <v>1053.4559180000001</v>
      </c>
      <c r="B1821" s="1">
        <f>DATE(2013,3,19) + TIME(10,56,31)</f>
        <v>41352.455914351849</v>
      </c>
      <c r="C1821">
        <v>80</v>
      </c>
      <c r="D1821">
        <v>69.146667480000005</v>
      </c>
      <c r="E1821">
        <v>50</v>
      </c>
      <c r="F1821">
        <v>49.979427338000001</v>
      </c>
      <c r="G1821">
        <v>1326.2701416</v>
      </c>
      <c r="H1821">
        <v>1324.0131836</v>
      </c>
      <c r="I1821">
        <v>1337.9523925999999</v>
      </c>
      <c r="J1821">
        <v>1335.7360839999999</v>
      </c>
      <c r="K1821">
        <v>0</v>
      </c>
      <c r="L1821">
        <v>2400</v>
      </c>
      <c r="M1821">
        <v>2400</v>
      </c>
      <c r="N1821">
        <v>0</v>
      </c>
    </row>
    <row r="1822" spans="1:14" x14ac:dyDescent="0.25">
      <c r="A1822">
        <v>1057.425821</v>
      </c>
      <c r="B1822" s="1">
        <f>DATE(2013,3,23) + TIME(10,13,10)</f>
        <v>41356.425810185188</v>
      </c>
      <c r="C1822">
        <v>80</v>
      </c>
      <c r="D1822">
        <v>68.804016113000003</v>
      </c>
      <c r="E1822">
        <v>50</v>
      </c>
      <c r="F1822">
        <v>49.979434967000003</v>
      </c>
      <c r="G1822">
        <v>1326.2252197</v>
      </c>
      <c r="H1822">
        <v>1323.9545897999999</v>
      </c>
      <c r="I1822">
        <v>1337.9472656</v>
      </c>
      <c r="J1822">
        <v>1335.734375</v>
      </c>
      <c r="K1822">
        <v>0</v>
      </c>
      <c r="L1822">
        <v>2400</v>
      </c>
      <c r="M1822">
        <v>2400</v>
      </c>
      <c r="N1822">
        <v>0</v>
      </c>
    </row>
    <row r="1823" spans="1:14" x14ac:dyDescent="0.25">
      <c r="A1823">
        <v>1061.49083</v>
      </c>
      <c r="B1823" s="1">
        <f>DATE(2013,3,27) + TIME(11,46,47)</f>
        <v>41360.49082175926</v>
      </c>
      <c r="C1823">
        <v>80</v>
      </c>
      <c r="D1823">
        <v>68.456619262999993</v>
      </c>
      <c r="E1823">
        <v>50</v>
      </c>
      <c r="F1823">
        <v>49.979438782000003</v>
      </c>
      <c r="G1823">
        <v>1326.1810303</v>
      </c>
      <c r="H1823">
        <v>1323.8967285000001</v>
      </c>
      <c r="I1823">
        <v>1337.9422606999999</v>
      </c>
      <c r="J1823">
        <v>1335.7326660000001</v>
      </c>
      <c r="K1823">
        <v>0</v>
      </c>
      <c r="L1823">
        <v>2400</v>
      </c>
      <c r="M1823">
        <v>2400</v>
      </c>
      <c r="N1823">
        <v>0</v>
      </c>
    </row>
    <row r="1824" spans="1:14" x14ac:dyDescent="0.25">
      <c r="A1824">
        <v>1065.6052560000001</v>
      </c>
      <c r="B1824" s="1">
        <f>DATE(2013,3,31) + TIME(14,31,34)</f>
        <v>41364.605254629627</v>
      </c>
      <c r="C1824">
        <v>80</v>
      </c>
      <c r="D1824">
        <v>68.099143982000001</v>
      </c>
      <c r="E1824">
        <v>50</v>
      </c>
      <c r="F1824">
        <v>49.979446410999998</v>
      </c>
      <c r="G1824">
        <v>1326.137207</v>
      </c>
      <c r="H1824">
        <v>1323.8394774999999</v>
      </c>
      <c r="I1824">
        <v>1337.9372559000001</v>
      </c>
      <c r="J1824">
        <v>1335.7308350000001</v>
      </c>
      <c r="K1824">
        <v>0</v>
      </c>
      <c r="L1824">
        <v>2400</v>
      </c>
      <c r="M1824">
        <v>2400</v>
      </c>
      <c r="N1824">
        <v>0</v>
      </c>
    </row>
    <row r="1825" spans="1:14" x14ac:dyDescent="0.25">
      <c r="A1825">
        <v>1066</v>
      </c>
      <c r="B1825" s="1">
        <f>DATE(2013,4,1) + TIME(0,0,0)</f>
        <v>41365</v>
      </c>
      <c r="C1825">
        <v>80</v>
      </c>
      <c r="D1825">
        <v>67.920204162999994</v>
      </c>
      <c r="E1825">
        <v>50</v>
      </c>
      <c r="F1825">
        <v>49.979434967000003</v>
      </c>
      <c r="G1825">
        <v>1326.0943603999999</v>
      </c>
      <c r="H1825">
        <v>1323.7889404</v>
      </c>
      <c r="I1825">
        <v>1337.9329834</v>
      </c>
      <c r="J1825">
        <v>1335.7296143000001</v>
      </c>
      <c r="K1825">
        <v>0</v>
      </c>
      <c r="L1825">
        <v>2400</v>
      </c>
      <c r="M1825">
        <v>2400</v>
      </c>
      <c r="N1825">
        <v>0</v>
      </c>
    </row>
    <row r="1826" spans="1:14" x14ac:dyDescent="0.25">
      <c r="A1826">
        <v>1070.209276</v>
      </c>
      <c r="B1826" s="1">
        <f>DATE(2013,4,5) + TIME(5,1,21)</f>
        <v>41369.209270833337</v>
      </c>
      <c r="C1826">
        <v>80</v>
      </c>
      <c r="D1826">
        <v>67.685737610000004</v>
      </c>
      <c r="E1826">
        <v>50</v>
      </c>
      <c r="F1826">
        <v>49.979454040999997</v>
      </c>
      <c r="G1826">
        <v>1326.0843506000001</v>
      </c>
      <c r="H1826">
        <v>1323.7668457</v>
      </c>
      <c r="I1826">
        <v>1337.9316406</v>
      </c>
      <c r="J1826">
        <v>1335.7287598</v>
      </c>
      <c r="K1826">
        <v>0</v>
      </c>
      <c r="L1826">
        <v>2400</v>
      </c>
      <c r="M1826">
        <v>2400</v>
      </c>
      <c r="N1826">
        <v>0</v>
      </c>
    </row>
    <row r="1827" spans="1:14" x14ac:dyDescent="0.25">
      <c r="A1827">
        <v>1074.5741410000001</v>
      </c>
      <c r="B1827" s="1">
        <f>DATE(2013,4,9) + TIME(13,46,45)</f>
        <v>41373.574131944442</v>
      </c>
      <c r="C1827">
        <v>80</v>
      </c>
      <c r="D1827">
        <v>67.325485228999995</v>
      </c>
      <c r="E1827">
        <v>50</v>
      </c>
      <c r="F1827">
        <v>49.979465484999999</v>
      </c>
      <c r="G1827">
        <v>1326.0465088000001</v>
      </c>
      <c r="H1827">
        <v>1323.7203368999999</v>
      </c>
      <c r="I1827">
        <v>1337.9266356999999</v>
      </c>
      <c r="J1827">
        <v>1335.7269286999999</v>
      </c>
      <c r="K1827">
        <v>0</v>
      </c>
      <c r="L1827">
        <v>2400</v>
      </c>
      <c r="M1827">
        <v>2400</v>
      </c>
      <c r="N1827">
        <v>0</v>
      </c>
    </row>
    <row r="1828" spans="1:14" x14ac:dyDescent="0.25">
      <c r="A1828">
        <v>1079.1298360000001</v>
      </c>
      <c r="B1828" s="1">
        <f>DATE(2013,4,14) + TIME(3,6,57)</f>
        <v>41378.129826388889</v>
      </c>
      <c r="C1828">
        <v>80</v>
      </c>
      <c r="D1828">
        <v>66.937507628999995</v>
      </c>
      <c r="E1828">
        <v>50</v>
      </c>
      <c r="F1828">
        <v>49.979476929</v>
      </c>
      <c r="G1828">
        <v>1326.0045166</v>
      </c>
      <c r="H1828">
        <v>1323.6657714999999</v>
      </c>
      <c r="I1828">
        <v>1337.9213867000001</v>
      </c>
      <c r="J1828">
        <v>1335.7248535000001</v>
      </c>
      <c r="K1828">
        <v>0</v>
      </c>
      <c r="L1828">
        <v>2400</v>
      </c>
      <c r="M1828">
        <v>2400</v>
      </c>
      <c r="N1828">
        <v>0</v>
      </c>
    </row>
    <row r="1829" spans="1:14" x14ac:dyDescent="0.25">
      <c r="A1829">
        <v>1081.4824530000001</v>
      </c>
      <c r="B1829" s="1">
        <f>DATE(2013,4,16) + TIME(11,34,43)</f>
        <v>41380.482442129629</v>
      </c>
      <c r="C1829">
        <v>80</v>
      </c>
      <c r="D1829">
        <v>66.575340271000002</v>
      </c>
      <c r="E1829">
        <v>50</v>
      </c>
      <c r="F1829">
        <v>49.979469299000002</v>
      </c>
      <c r="G1829">
        <v>1325.9614257999999</v>
      </c>
      <c r="H1829">
        <v>1323.6104736</v>
      </c>
      <c r="I1829">
        <v>1337.9161377</v>
      </c>
      <c r="J1829">
        <v>1335.7229004000001</v>
      </c>
      <c r="K1829">
        <v>0</v>
      </c>
      <c r="L1829">
        <v>2400</v>
      </c>
      <c r="M1829">
        <v>2400</v>
      </c>
      <c r="N1829">
        <v>0</v>
      </c>
    </row>
    <row r="1830" spans="1:14" x14ac:dyDescent="0.25">
      <c r="A1830">
        <v>1083.835071</v>
      </c>
      <c r="B1830" s="1">
        <f>DATE(2013,4,18) + TIME(20,2,30)</f>
        <v>41382.835069444445</v>
      </c>
      <c r="C1830">
        <v>80</v>
      </c>
      <c r="D1830">
        <v>66.326263428000004</v>
      </c>
      <c r="E1830">
        <v>50</v>
      </c>
      <c r="F1830">
        <v>49.979473114000001</v>
      </c>
      <c r="G1830">
        <v>1325.9339600000001</v>
      </c>
      <c r="H1830">
        <v>1323.5705565999999</v>
      </c>
      <c r="I1830">
        <v>1337.9133300999999</v>
      </c>
      <c r="J1830">
        <v>1335.7216797000001</v>
      </c>
      <c r="K1830">
        <v>0</v>
      </c>
      <c r="L1830">
        <v>2400</v>
      </c>
      <c r="M1830">
        <v>2400</v>
      </c>
      <c r="N1830">
        <v>0</v>
      </c>
    </row>
    <row r="1831" spans="1:14" x14ac:dyDescent="0.25">
      <c r="A1831">
        <v>1086.187688</v>
      </c>
      <c r="B1831" s="1">
        <f>DATE(2013,4,21) + TIME(4,30,16)</f>
        <v>41385.187685185185</v>
      </c>
      <c r="C1831">
        <v>80</v>
      </c>
      <c r="D1831">
        <v>66.116508483999993</v>
      </c>
      <c r="E1831">
        <v>50</v>
      </c>
      <c r="F1831">
        <v>49.979476929</v>
      </c>
      <c r="G1831">
        <v>1325.9117432</v>
      </c>
      <c r="H1831">
        <v>1323.5405272999999</v>
      </c>
      <c r="I1831">
        <v>1337.9106445</v>
      </c>
      <c r="J1831">
        <v>1335.7204589999999</v>
      </c>
      <c r="K1831">
        <v>0</v>
      </c>
      <c r="L1831">
        <v>2400</v>
      </c>
      <c r="M1831">
        <v>2400</v>
      </c>
      <c r="N1831">
        <v>0</v>
      </c>
    </row>
    <row r="1832" spans="1:14" x14ac:dyDescent="0.25">
      <c r="A1832">
        <v>1088.5403060000001</v>
      </c>
      <c r="B1832" s="1">
        <f>DATE(2013,4,23) + TIME(12,58,2)</f>
        <v>41387.540300925924</v>
      </c>
      <c r="C1832">
        <v>80</v>
      </c>
      <c r="D1832">
        <v>65.897651671999995</v>
      </c>
      <c r="E1832">
        <v>50</v>
      </c>
      <c r="F1832">
        <v>49.979484558000003</v>
      </c>
      <c r="G1832">
        <v>1325.8905029</v>
      </c>
      <c r="H1832">
        <v>1323.5124512</v>
      </c>
      <c r="I1832">
        <v>1337.9079589999999</v>
      </c>
      <c r="J1832">
        <v>1335.7193603999999</v>
      </c>
      <c r="K1832">
        <v>0</v>
      </c>
      <c r="L1832">
        <v>2400</v>
      </c>
      <c r="M1832">
        <v>2400</v>
      </c>
      <c r="N1832">
        <v>0</v>
      </c>
    </row>
    <row r="1833" spans="1:14" x14ac:dyDescent="0.25">
      <c r="A1833">
        <v>1090.8929230000001</v>
      </c>
      <c r="B1833" s="1">
        <f>DATE(2013,4,25) + TIME(21,25,48)</f>
        <v>41389.892916666664</v>
      </c>
      <c r="C1833">
        <v>80</v>
      </c>
      <c r="D1833">
        <v>65.688781738000003</v>
      </c>
      <c r="E1833">
        <v>50</v>
      </c>
      <c r="F1833">
        <v>49.979492188000002</v>
      </c>
      <c r="G1833">
        <v>1325.8699951000001</v>
      </c>
      <c r="H1833">
        <v>1323.4854736</v>
      </c>
      <c r="I1833">
        <v>1337.9052733999999</v>
      </c>
      <c r="J1833">
        <v>1335.7182617000001</v>
      </c>
      <c r="K1833">
        <v>0</v>
      </c>
      <c r="L1833">
        <v>2400</v>
      </c>
      <c r="M1833">
        <v>2400</v>
      </c>
      <c r="N1833">
        <v>0</v>
      </c>
    </row>
    <row r="1834" spans="1:14" x14ac:dyDescent="0.25">
      <c r="A1834">
        <v>1093.245541</v>
      </c>
      <c r="B1834" s="1">
        <f>DATE(2013,4,28) + TIME(5,53,34)</f>
        <v>41392.245532407411</v>
      </c>
      <c r="C1834">
        <v>80</v>
      </c>
      <c r="D1834">
        <v>65.472679138000004</v>
      </c>
      <c r="E1834">
        <v>50</v>
      </c>
      <c r="F1834">
        <v>49.979499816999997</v>
      </c>
      <c r="G1834">
        <v>1325.8498535000001</v>
      </c>
      <c r="H1834">
        <v>1323.4588623</v>
      </c>
      <c r="I1834">
        <v>1337.9025879000001</v>
      </c>
      <c r="J1834">
        <v>1335.7170410000001</v>
      </c>
      <c r="K1834">
        <v>0</v>
      </c>
      <c r="L1834">
        <v>2400</v>
      </c>
      <c r="M1834">
        <v>2400</v>
      </c>
      <c r="N1834">
        <v>0</v>
      </c>
    </row>
    <row r="1835" spans="1:14" x14ac:dyDescent="0.25">
      <c r="A1835">
        <v>1096</v>
      </c>
      <c r="B1835" s="1">
        <f>DATE(2013,5,1) + TIME(0,0,0)</f>
        <v>41395</v>
      </c>
      <c r="C1835">
        <v>80</v>
      </c>
      <c r="D1835">
        <v>65.255859375</v>
      </c>
      <c r="E1835">
        <v>50</v>
      </c>
      <c r="F1835">
        <v>49.979507446</v>
      </c>
      <c r="G1835">
        <v>1325.8304443</v>
      </c>
      <c r="H1835">
        <v>1323.4334716999999</v>
      </c>
      <c r="I1835">
        <v>1337.8999022999999</v>
      </c>
      <c r="J1835">
        <v>1335.7159423999999</v>
      </c>
      <c r="K1835">
        <v>0</v>
      </c>
      <c r="L1835">
        <v>2400</v>
      </c>
      <c r="M1835">
        <v>2400</v>
      </c>
      <c r="N1835">
        <v>0</v>
      </c>
    </row>
    <row r="1836" spans="1:14" x14ac:dyDescent="0.25">
      <c r="A1836">
        <v>1096.0000010000001</v>
      </c>
      <c r="B1836" s="1">
        <f>DATE(2013,5,1) + TIME(0,0,0)</f>
        <v>41395</v>
      </c>
      <c r="C1836">
        <v>80</v>
      </c>
      <c r="D1836">
        <v>65.255928040000001</v>
      </c>
      <c r="E1836">
        <v>50</v>
      </c>
      <c r="F1836">
        <v>49.979492188000002</v>
      </c>
      <c r="G1836">
        <v>1328.3676757999999</v>
      </c>
      <c r="H1836">
        <v>1325.8463135</v>
      </c>
      <c r="I1836">
        <v>1335.7061768000001</v>
      </c>
      <c r="J1836">
        <v>1334.0551757999999</v>
      </c>
      <c r="K1836">
        <v>2400</v>
      </c>
      <c r="L1836">
        <v>0</v>
      </c>
      <c r="M1836">
        <v>0</v>
      </c>
      <c r="N1836">
        <v>2400</v>
      </c>
    </row>
    <row r="1837" spans="1:14" x14ac:dyDescent="0.25">
      <c r="A1837">
        <v>1096.000004</v>
      </c>
      <c r="B1837" s="1">
        <f>DATE(2013,5,1) + TIME(0,0,0)</f>
        <v>41395</v>
      </c>
      <c r="C1837">
        <v>80</v>
      </c>
      <c r="D1837">
        <v>65.256134032999995</v>
      </c>
      <c r="E1837">
        <v>50</v>
      </c>
      <c r="F1837">
        <v>49.979446410999998</v>
      </c>
      <c r="G1837">
        <v>1328.4003906</v>
      </c>
      <c r="H1837">
        <v>1325.8930664</v>
      </c>
      <c r="I1837">
        <v>1335.677124</v>
      </c>
      <c r="J1837">
        <v>1334.0261230000001</v>
      </c>
      <c r="K1837">
        <v>2400</v>
      </c>
      <c r="L1837">
        <v>0</v>
      </c>
      <c r="M1837">
        <v>0</v>
      </c>
      <c r="N1837">
        <v>2400</v>
      </c>
    </row>
    <row r="1838" spans="1:14" x14ac:dyDescent="0.25">
      <c r="A1838">
        <v>1096.0000130000001</v>
      </c>
      <c r="B1838" s="1">
        <f>DATE(2013,5,1) + TIME(0,0,1)</f>
        <v>41395.000011574077</v>
      </c>
      <c r="C1838">
        <v>80</v>
      </c>
      <c r="D1838">
        <v>65.256713867000002</v>
      </c>
      <c r="E1838">
        <v>50</v>
      </c>
      <c r="F1838">
        <v>49.979312897</v>
      </c>
      <c r="G1838">
        <v>1328.4942627</v>
      </c>
      <c r="H1838">
        <v>1326.0250243999999</v>
      </c>
      <c r="I1838">
        <v>1335.59375</v>
      </c>
      <c r="J1838">
        <v>1333.942749</v>
      </c>
      <c r="K1838">
        <v>2400</v>
      </c>
      <c r="L1838">
        <v>0</v>
      </c>
      <c r="M1838">
        <v>0</v>
      </c>
      <c r="N1838">
        <v>2400</v>
      </c>
    </row>
    <row r="1839" spans="1:14" x14ac:dyDescent="0.25">
      <c r="A1839">
        <v>1096.0000399999999</v>
      </c>
      <c r="B1839" s="1">
        <f>DATE(2013,5,1) + TIME(0,0,3)</f>
        <v>41395.000034722223</v>
      </c>
      <c r="C1839">
        <v>80</v>
      </c>
      <c r="D1839">
        <v>65.258300781000003</v>
      </c>
      <c r="E1839">
        <v>50</v>
      </c>
      <c r="F1839">
        <v>49.978958130000002</v>
      </c>
      <c r="G1839">
        <v>1328.7459716999999</v>
      </c>
      <c r="H1839">
        <v>1326.3626709</v>
      </c>
      <c r="I1839">
        <v>1335.3704834</v>
      </c>
      <c r="J1839">
        <v>1333.7194824000001</v>
      </c>
      <c r="K1839">
        <v>2400</v>
      </c>
      <c r="L1839">
        <v>0</v>
      </c>
      <c r="M1839">
        <v>0</v>
      </c>
      <c r="N1839">
        <v>2400</v>
      </c>
    </row>
    <row r="1840" spans="1:14" x14ac:dyDescent="0.25">
      <c r="A1840">
        <v>1096.000121</v>
      </c>
      <c r="B1840" s="1">
        <f>DATE(2013,5,1) + TIME(0,0,10)</f>
        <v>41395.000115740739</v>
      </c>
      <c r="C1840">
        <v>80</v>
      </c>
      <c r="D1840">
        <v>65.262199401999993</v>
      </c>
      <c r="E1840">
        <v>50</v>
      </c>
      <c r="F1840">
        <v>49.978153229</v>
      </c>
      <c r="G1840">
        <v>1329.3208007999999</v>
      </c>
      <c r="H1840">
        <v>1327.0635986</v>
      </c>
      <c r="I1840">
        <v>1334.8656006000001</v>
      </c>
      <c r="J1840">
        <v>1333.2144774999999</v>
      </c>
      <c r="K1840">
        <v>2400</v>
      </c>
      <c r="L1840">
        <v>0</v>
      </c>
      <c r="M1840">
        <v>0</v>
      </c>
      <c r="N1840">
        <v>2400</v>
      </c>
    </row>
    <row r="1841" spans="1:14" x14ac:dyDescent="0.25">
      <c r="A1841">
        <v>1096.000364</v>
      </c>
      <c r="B1841" s="1">
        <f>DATE(2013,5,1) + TIME(0,0,31)</f>
        <v>41395.000358796293</v>
      </c>
      <c r="C1841">
        <v>80</v>
      </c>
      <c r="D1841">
        <v>65.271278381000002</v>
      </c>
      <c r="E1841">
        <v>50</v>
      </c>
      <c r="F1841">
        <v>49.976783752000003</v>
      </c>
      <c r="G1841">
        <v>1330.3299560999999</v>
      </c>
      <c r="H1841">
        <v>1328.1427002</v>
      </c>
      <c r="I1841">
        <v>1334.0108643000001</v>
      </c>
      <c r="J1841">
        <v>1332.3598632999999</v>
      </c>
      <c r="K1841">
        <v>2400</v>
      </c>
      <c r="L1841">
        <v>0</v>
      </c>
      <c r="M1841">
        <v>0</v>
      </c>
      <c r="N1841">
        <v>2400</v>
      </c>
    </row>
    <row r="1842" spans="1:14" x14ac:dyDescent="0.25">
      <c r="A1842">
        <v>1096.0010930000001</v>
      </c>
      <c r="B1842" s="1">
        <f>DATE(2013,5,1) + TIME(0,1,34)</f>
        <v>41395.001087962963</v>
      </c>
      <c r="C1842">
        <v>80</v>
      </c>
      <c r="D1842">
        <v>65.294128418</v>
      </c>
      <c r="E1842">
        <v>50</v>
      </c>
      <c r="F1842">
        <v>49.975051880000002</v>
      </c>
      <c r="G1842">
        <v>1331.6475829999999</v>
      </c>
      <c r="H1842">
        <v>1329.4287108999999</v>
      </c>
      <c r="I1842">
        <v>1332.9545897999999</v>
      </c>
      <c r="J1842">
        <v>1331.3038329999999</v>
      </c>
      <c r="K1842">
        <v>2400</v>
      </c>
      <c r="L1842">
        <v>0</v>
      </c>
      <c r="M1842">
        <v>0</v>
      </c>
      <c r="N1842">
        <v>2400</v>
      </c>
    </row>
    <row r="1843" spans="1:14" x14ac:dyDescent="0.25">
      <c r="A1843">
        <v>1096.0032799999999</v>
      </c>
      <c r="B1843" s="1">
        <f>DATE(2013,5,1) + TIME(0,4,43)</f>
        <v>41395.003275462965</v>
      </c>
      <c r="C1843">
        <v>80</v>
      </c>
      <c r="D1843">
        <v>65.358001709000007</v>
      </c>
      <c r="E1843">
        <v>50</v>
      </c>
      <c r="F1843">
        <v>49.973129272000001</v>
      </c>
      <c r="G1843">
        <v>1333.0527344</v>
      </c>
      <c r="H1843">
        <v>1330.776001</v>
      </c>
      <c r="I1843">
        <v>1331.8591309000001</v>
      </c>
      <c r="J1843">
        <v>1330.2078856999999</v>
      </c>
      <c r="K1843">
        <v>2400</v>
      </c>
      <c r="L1843">
        <v>0</v>
      </c>
      <c r="M1843">
        <v>0</v>
      </c>
      <c r="N1843">
        <v>2400</v>
      </c>
    </row>
    <row r="1844" spans="1:14" x14ac:dyDescent="0.25">
      <c r="A1844">
        <v>1096.0098410000001</v>
      </c>
      <c r="B1844" s="1">
        <f>DATE(2013,5,1) + TIME(0,14,10)</f>
        <v>41395.009837962964</v>
      </c>
      <c r="C1844">
        <v>80</v>
      </c>
      <c r="D1844">
        <v>65.545181274000001</v>
      </c>
      <c r="E1844">
        <v>50</v>
      </c>
      <c r="F1844">
        <v>49.970806121999999</v>
      </c>
      <c r="G1844">
        <v>1334.4525146000001</v>
      </c>
      <c r="H1844">
        <v>1332.1268310999999</v>
      </c>
      <c r="I1844">
        <v>1330.7554932</v>
      </c>
      <c r="J1844">
        <v>1329.0975341999999</v>
      </c>
      <c r="K1844">
        <v>2400</v>
      </c>
      <c r="L1844">
        <v>0</v>
      </c>
      <c r="M1844">
        <v>0</v>
      </c>
      <c r="N1844">
        <v>2400</v>
      </c>
    </row>
    <row r="1845" spans="1:14" x14ac:dyDescent="0.25">
      <c r="A1845">
        <v>1096.0289190000001</v>
      </c>
      <c r="B1845" s="1">
        <f>DATE(2013,5,1) + TIME(0,41,38)</f>
        <v>41395.028912037036</v>
      </c>
      <c r="C1845">
        <v>80</v>
      </c>
      <c r="D1845">
        <v>66.074836731000005</v>
      </c>
      <c r="E1845">
        <v>50</v>
      </c>
      <c r="F1845">
        <v>49.967365264999998</v>
      </c>
      <c r="G1845">
        <v>1335.7928466999999</v>
      </c>
      <c r="H1845">
        <v>1333.4326172000001</v>
      </c>
      <c r="I1845">
        <v>1329.6413574000001</v>
      </c>
      <c r="J1845">
        <v>1327.9589844</v>
      </c>
      <c r="K1845">
        <v>2400</v>
      </c>
      <c r="L1845">
        <v>0</v>
      </c>
      <c r="M1845">
        <v>0</v>
      </c>
      <c r="N1845">
        <v>2400</v>
      </c>
    </row>
    <row r="1846" spans="1:14" x14ac:dyDescent="0.25">
      <c r="A1846">
        <v>1096.0485799999999</v>
      </c>
      <c r="B1846" s="1">
        <f>DATE(2013,5,1) + TIME(1,9,57)</f>
        <v>41395.048576388886</v>
      </c>
      <c r="C1846">
        <v>80</v>
      </c>
      <c r="D1846">
        <v>66.607780457000004</v>
      </c>
      <c r="E1846">
        <v>50</v>
      </c>
      <c r="F1846">
        <v>49.964653015000003</v>
      </c>
      <c r="G1846">
        <v>1336.5136719</v>
      </c>
      <c r="H1846">
        <v>1334.1278076000001</v>
      </c>
      <c r="I1846">
        <v>1329.0318603999999</v>
      </c>
      <c r="J1846">
        <v>1327.3293457</v>
      </c>
      <c r="K1846">
        <v>2400</v>
      </c>
      <c r="L1846">
        <v>0</v>
      </c>
      <c r="M1846">
        <v>0</v>
      </c>
      <c r="N1846">
        <v>2400</v>
      </c>
    </row>
    <row r="1847" spans="1:14" x14ac:dyDescent="0.25">
      <c r="A1847">
        <v>1096.06873</v>
      </c>
      <c r="B1847" s="1">
        <f>DATE(2013,5,1) + TIME(1,38,58)</f>
        <v>41395.068726851852</v>
      </c>
      <c r="C1847">
        <v>80</v>
      </c>
      <c r="D1847">
        <v>67.138809203999998</v>
      </c>
      <c r="E1847">
        <v>50</v>
      </c>
      <c r="F1847">
        <v>49.962223053000002</v>
      </c>
      <c r="G1847">
        <v>1336.9722899999999</v>
      </c>
      <c r="H1847">
        <v>1334.5714111</v>
      </c>
      <c r="I1847">
        <v>1328.6300048999999</v>
      </c>
      <c r="J1847">
        <v>1326.9125977000001</v>
      </c>
      <c r="K1847">
        <v>2400</v>
      </c>
      <c r="L1847">
        <v>0</v>
      </c>
      <c r="M1847">
        <v>0</v>
      </c>
      <c r="N1847">
        <v>2400</v>
      </c>
    </row>
    <row r="1848" spans="1:14" x14ac:dyDescent="0.25">
      <c r="A1848">
        <v>1096.0893410000001</v>
      </c>
      <c r="B1848" s="1">
        <f>DATE(2013,5,1) + TIME(2,8,39)</f>
        <v>41395.08934027778</v>
      </c>
      <c r="C1848">
        <v>80</v>
      </c>
      <c r="D1848">
        <v>67.665313721000004</v>
      </c>
      <c r="E1848">
        <v>50</v>
      </c>
      <c r="F1848">
        <v>49.959926605</v>
      </c>
      <c r="G1848">
        <v>1337.2956543</v>
      </c>
      <c r="H1848">
        <v>1334.8850098</v>
      </c>
      <c r="I1848">
        <v>1328.3391113</v>
      </c>
      <c r="J1848">
        <v>1326.6110839999999</v>
      </c>
      <c r="K1848">
        <v>2400</v>
      </c>
      <c r="L1848">
        <v>0</v>
      </c>
      <c r="M1848">
        <v>0</v>
      </c>
      <c r="N1848">
        <v>2400</v>
      </c>
    </row>
    <row r="1849" spans="1:14" x14ac:dyDescent="0.25">
      <c r="A1849">
        <v>1096.110416</v>
      </c>
      <c r="B1849" s="1">
        <f>DATE(2013,5,1) + TIME(2,38,59)</f>
        <v>41395.110405092593</v>
      </c>
      <c r="C1849">
        <v>80</v>
      </c>
      <c r="D1849">
        <v>68.185821532999995</v>
      </c>
      <c r="E1849">
        <v>50</v>
      </c>
      <c r="F1849">
        <v>49.957698821999998</v>
      </c>
      <c r="G1849">
        <v>1337.5388184000001</v>
      </c>
      <c r="H1849">
        <v>1335.121582</v>
      </c>
      <c r="I1849">
        <v>1328.1168213000001</v>
      </c>
      <c r="J1849">
        <v>1326.3811035000001</v>
      </c>
      <c r="K1849">
        <v>2400</v>
      </c>
      <c r="L1849">
        <v>0</v>
      </c>
      <c r="M1849">
        <v>0</v>
      </c>
      <c r="N1849">
        <v>2400</v>
      </c>
    </row>
    <row r="1850" spans="1:14" x14ac:dyDescent="0.25">
      <c r="A1850">
        <v>1096.131967</v>
      </c>
      <c r="B1850" s="1">
        <f>DATE(2013,5,1) + TIME(3,10,1)</f>
        <v>41395.131956018522</v>
      </c>
      <c r="C1850">
        <v>80</v>
      </c>
      <c r="D1850">
        <v>68.699386597</v>
      </c>
      <c r="E1850">
        <v>50</v>
      </c>
      <c r="F1850">
        <v>49.955516815000003</v>
      </c>
      <c r="G1850">
        <v>1337.7301024999999</v>
      </c>
      <c r="H1850">
        <v>1335.3081055</v>
      </c>
      <c r="I1850">
        <v>1327.9406738</v>
      </c>
      <c r="J1850">
        <v>1326.1993408000001</v>
      </c>
      <c r="K1850">
        <v>2400</v>
      </c>
      <c r="L1850">
        <v>0</v>
      </c>
      <c r="M1850">
        <v>0</v>
      </c>
      <c r="N1850">
        <v>2400</v>
      </c>
    </row>
    <row r="1851" spans="1:14" x14ac:dyDescent="0.25">
      <c r="A1851">
        <v>1096.154012</v>
      </c>
      <c r="B1851" s="1">
        <f>DATE(2013,5,1) + TIME(3,41,46)</f>
        <v>41395.154004629629</v>
      </c>
      <c r="C1851">
        <v>80</v>
      </c>
      <c r="D1851">
        <v>69.205314635999997</v>
      </c>
      <c r="E1851">
        <v>50</v>
      </c>
      <c r="F1851">
        <v>49.953346252000003</v>
      </c>
      <c r="G1851">
        <v>1337.8862305</v>
      </c>
      <c r="H1851">
        <v>1335.4605713000001</v>
      </c>
      <c r="I1851">
        <v>1327.7972411999999</v>
      </c>
      <c r="J1851">
        <v>1326.0518798999999</v>
      </c>
      <c r="K1851">
        <v>2400</v>
      </c>
      <c r="L1851">
        <v>0</v>
      </c>
      <c r="M1851">
        <v>0</v>
      </c>
      <c r="N1851">
        <v>2400</v>
      </c>
    </row>
    <row r="1852" spans="1:14" x14ac:dyDescent="0.25">
      <c r="A1852">
        <v>1096.1765740000001</v>
      </c>
      <c r="B1852" s="1">
        <f>DATE(2013,5,1) + TIME(4,14,16)</f>
        <v>41395.176574074074</v>
      </c>
      <c r="C1852">
        <v>80</v>
      </c>
      <c r="D1852">
        <v>69.703079224000007</v>
      </c>
      <c r="E1852">
        <v>50</v>
      </c>
      <c r="F1852">
        <v>49.951187134000001</v>
      </c>
      <c r="G1852">
        <v>1338.0173339999999</v>
      </c>
      <c r="H1852">
        <v>1335.588501</v>
      </c>
      <c r="I1852">
        <v>1327.6783447</v>
      </c>
      <c r="J1852">
        <v>1325.9299315999999</v>
      </c>
      <c r="K1852">
        <v>2400</v>
      </c>
      <c r="L1852">
        <v>0</v>
      </c>
      <c r="M1852">
        <v>0</v>
      </c>
      <c r="N1852">
        <v>2400</v>
      </c>
    </row>
    <row r="1853" spans="1:14" x14ac:dyDescent="0.25">
      <c r="A1853">
        <v>1096.199672</v>
      </c>
      <c r="B1853" s="1">
        <f>DATE(2013,5,1) + TIME(4,47,31)</f>
        <v>41395.199664351851</v>
      </c>
      <c r="C1853">
        <v>80</v>
      </c>
      <c r="D1853">
        <v>70.192024231000005</v>
      </c>
      <c r="E1853">
        <v>50</v>
      </c>
      <c r="F1853">
        <v>49.949020386000001</v>
      </c>
      <c r="G1853">
        <v>1338.1301269999999</v>
      </c>
      <c r="H1853">
        <v>1335.6984863</v>
      </c>
      <c r="I1853">
        <v>1327.5780029</v>
      </c>
      <c r="J1853">
        <v>1325.8272704999999</v>
      </c>
      <c r="K1853">
        <v>2400</v>
      </c>
      <c r="L1853">
        <v>0</v>
      </c>
      <c r="M1853">
        <v>0</v>
      </c>
      <c r="N1853">
        <v>2400</v>
      </c>
    </row>
    <row r="1854" spans="1:14" x14ac:dyDescent="0.25">
      <c r="A1854">
        <v>1096.223336</v>
      </c>
      <c r="B1854" s="1">
        <f>DATE(2013,5,1) + TIME(5,21,36)</f>
        <v>41395.223333333335</v>
      </c>
      <c r="C1854">
        <v>80</v>
      </c>
      <c r="D1854">
        <v>70.671783446999996</v>
      </c>
      <c r="E1854">
        <v>50</v>
      </c>
      <c r="F1854">
        <v>49.946838378999999</v>
      </c>
      <c r="G1854">
        <v>1338.2294922000001</v>
      </c>
      <c r="H1854">
        <v>1335.7949219</v>
      </c>
      <c r="I1854">
        <v>1327.4924315999999</v>
      </c>
      <c r="J1854">
        <v>1325.7398682</v>
      </c>
      <c r="K1854">
        <v>2400</v>
      </c>
      <c r="L1854">
        <v>0</v>
      </c>
      <c r="M1854">
        <v>0</v>
      </c>
      <c r="N1854">
        <v>2400</v>
      </c>
    </row>
    <row r="1855" spans="1:14" x14ac:dyDescent="0.25">
      <c r="A1855">
        <v>1096.247597</v>
      </c>
      <c r="B1855" s="1">
        <f>DATE(2013,5,1) + TIME(5,56,32)</f>
        <v>41395.24759259259</v>
      </c>
      <c r="C1855">
        <v>80</v>
      </c>
      <c r="D1855">
        <v>71.142219542999996</v>
      </c>
      <c r="E1855">
        <v>50</v>
      </c>
      <c r="F1855">
        <v>49.944641113000003</v>
      </c>
      <c r="G1855">
        <v>1338.3184814000001</v>
      </c>
      <c r="H1855">
        <v>1335.8808594</v>
      </c>
      <c r="I1855">
        <v>1327.4187012</v>
      </c>
      <c r="J1855">
        <v>1325.6646728999999</v>
      </c>
      <c r="K1855">
        <v>2400</v>
      </c>
      <c r="L1855">
        <v>0</v>
      </c>
      <c r="M1855">
        <v>0</v>
      </c>
      <c r="N1855">
        <v>2400</v>
      </c>
    </row>
    <row r="1856" spans="1:14" x14ac:dyDescent="0.25">
      <c r="A1856">
        <v>1096.2724840000001</v>
      </c>
      <c r="B1856" s="1">
        <f>DATE(2013,5,1) + TIME(6,32,22)</f>
        <v>41395.272476851853</v>
      </c>
      <c r="C1856">
        <v>80</v>
      </c>
      <c r="D1856">
        <v>71.603012085000003</v>
      </c>
      <c r="E1856">
        <v>50</v>
      </c>
      <c r="F1856">
        <v>49.942420959000003</v>
      </c>
      <c r="G1856">
        <v>1338.3995361</v>
      </c>
      <c r="H1856">
        <v>1335.9586182</v>
      </c>
      <c r="I1856">
        <v>1327.3546143000001</v>
      </c>
      <c r="J1856">
        <v>1325.5996094</v>
      </c>
      <c r="K1856">
        <v>2400</v>
      </c>
      <c r="L1856">
        <v>0</v>
      </c>
      <c r="M1856">
        <v>0</v>
      </c>
      <c r="N1856">
        <v>2400</v>
      </c>
    </row>
    <row r="1857" spans="1:14" x14ac:dyDescent="0.25">
      <c r="A1857">
        <v>1096.298031</v>
      </c>
      <c r="B1857" s="1">
        <f>DATE(2013,5,1) + TIME(7,9,9)</f>
        <v>41395.298020833332</v>
      </c>
      <c r="C1857">
        <v>80</v>
      </c>
      <c r="D1857">
        <v>72.053863524999997</v>
      </c>
      <c r="E1857">
        <v>50</v>
      </c>
      <c r="F1857">
        <v>49.940174102999997</v>
      </c>
      <c r="G1857">
        <v>1338.4743652</v>
      </c>
      <c r="H1857">
        <v>1336.0297852000001</v>
      </c>
      <c r="I1857">
        <v>1327.2988281</v>
      </c>
      <c r="J1857">
        <v>1325.5427245999999</v>
      </c>
      <c r="K1857">
        <v>2400</v>
      </c>
      <c r="L1857">
        <v>0</v>
      </c>
      <c r="M1857">
        <v>0</v>
      </c>
      <c r="N1857">
        <v>2400</v>
      </c>
    </row>
    <row r="1858" spans="1:14" x14ac:dyDescent="0.25">
      <c r="A1858">
        <v>1096.3242760000001</v>
      </c>
      <c r="B1858" s="1">
        <f>DATE(2013,5,1) + TIME(7,46,57)</f>
        <v>41395.324270833335</v>
      </c>
      <c r="C1858">
        <v>80</v>
      </c>
      <c r="D1858">
        <v>72.494476317999997</v>
      </c>
      <c r="E1858">
        <v>50</v>
      </c>
      <c r="F1858">
        <v>49.937892914000003</v>
      </c>
      <c r="G1858">
        <v>1338.5443115</v>
      </c>
      <c r="H1858">
        <v>1336.0957031</v>
      </c>
      <c r="I1858">
        <v>1327.25</v>
      </c>
      <c r="J1858">
        <v>1325.4931641000001</v>
      </c>
      <c r="K1858">
        <v>2400</v>
      </c>
      <c r="L1858">
        <v>0</v>
      </c>
      <c r="M1858">
        <v>0</v>
      </c>
      <c r="N1858">
        <v>2400</v>
      </c>
    </row>
    <row r="1859" spans="1:14" x14ac:dyDescent="0.25">
      <c r="A1859">
        <v>1096.3512559999999</v>
      </c>
      <c r="B1859" s="1">
        <f>DATE(2013,5,1) + TIME(8,25,48)</f>
        <v>41395.35125</v>
      </c>
      <c r="C1859">
        <v>80</v>
      </c>
      <c r="D1859">
        <v>72.924552917</v>
      </c>
      <c r="E1859">
        <v>50</v>
      </c>
      <c r="F1859">
        <v>49.935581206999998</v>
      </c>
      <c r="G1859">
        <v>1338.6103516000001</v>
      </c>
      <c r="H1859">
        <v>1336.1572266000001</v>
      </c>
      <c r="I1859">
        <v>1327.2071533000001</v>
      </c>
      <c r="J1859">
        <v>1325.4495850000001</v>
      </c>
      <c r="K1859">
        <v>2400</v>
      </c>
      <c r="L1859">
        <v>0</v>
      </c>
      <c r="M1859">
        <v>0</v>
      </c>
      <c r="N1859">
        <v>2400</v>
      </c>
    </row>
    <row r="1860" spans="1:14" x14ac:dyDescent="0.25">
      <c r="A1860">
        <v>1096.3790160000001</v>
      </c>
      <c r="B1860" s="1">
        <f>DATE(2013,5,1) + TIME(9,5,46)</f>
        <v>41395.379004629627</v>
      </c>
      <c r="C1860">
        <v>80</v>
      </c>
      <c r="D1860">
        <v>73.343811035000002</v>
      </c>
      <c r="E1860">
        <v>50</v>
      </c>
      <c r="F1860">
        <v>49.933227539000001</v>
      </c>
      <c r="G1860">
        <v>1338.6732178</v>
      </c>
      <c r="H1860">
        <v>1336.2150879000001</v>
      </c>
      <c r="I1860">
        <v>1327.1696777</v>
      </c>
      <c r="J1860">
        <v>1325.4113769999999</v>
      </c>
      <c r="K1860">
        <v>2400</v>
      </c>
      <c r="L1860">
        <v>0</v>
      </c>
      <c r="M1860">
        <v>0</v>
      </c>
      <c r="N1860">
        <v>2400</v>
      </c>
    </row>
    <row r="1861" spans="1:14" x14ac:dyDescent="0.25">
      <c r="A1861">
        <v>1096.4076010000001</v>
      </c>
      <c r="B1861" s="1">
        <f>DATE(2013,5,1) + TIME(9,46,56)</f>
        <v>41395.407592592594</v>
      </c>
      <c r="C1861">
        <v>80</v>
      </c>
      <c r="D1861">
        <v>73.751945496000005</v>
      </c>
      <c r="E1861">
        <v>50</v>
      </c>
      <c r="F1861">
        <v>49.930831908999998</v>
      </c>
      <c r="G1861">
        <v>1338.7333983999999</v>
      </c>
      <c r="H1861">
        <v>1336.2700195</v>
      </c>
      <c r="I1861">
        <v>1327.1367187999999</v>
      </c>
      <c r="J1861">
        <v>1325.3778076000001</v>
      </c>
      <c r="K1861">
        <v>2400</v>
      </c>
      <c r="L1861">
        <v>0</v>
      </c>
      <c r="M1861">
        <v>0</v>
      </c>
      <c r="N1861">
        <v>2400</v>
      </c>
    </row>
    <row r="1862" spans="1:14" x14ac:dyDescent="0.25">
      <c r="A1862">
        <v>1096.4370610000001</v>
      </c>
      <c r="B1862" s="1">
        <f>DATE(2013,5,1) + TIME(10,29,22)</f>
        <v>41395.437060185184</v>
      </c>
      <c r="C1862">
        <v>80</v>
      </c>
      <c r="D1862">
        <v>74.148689270000006</v>
      </c>
      <c r="E1862">
        <v>50</v>
      </c>
      <c r="F1862">
        <v>49.928390503000003</v>
      </c>
      <c r="G1862">
        <v>1338.791626</v>
      </c>
      <c r="H1862">
        <v>1336.3223877</v>
      </c>
      <c r="I1862">
        <v>1327.1077881000001</v>
      </c>
      <c r="J1862">
        <v>1325.3485106999999</v>
      </c>
      <c r="K1862">
        <v>2400</v>
      </c>
      <c r="L1862">
        <v>0</v>
      </c>
      <c r="M1862">
        <v>0</v>
      </c>
      <c r="N1862">
        <v>2400</v>
      </c>
    </row>
    <row r="1863" spans="1:14" x14ac:dyDescent="0.25">
      <c r="A1863">
        <v>1096.4674399999999</v>
      </c>
      <c r="B1863" s="1">
        <f>DATE(2013,5,1) + TIME(11,13,6)</f>
        <v>41395.467430555553</v>
      </c>
      <c r="C1863">
        <v>80</v>
      </c>
      <c r="D1863">
        <v>74.533576964999995</v>
      </c>
      <c r="E1863">
        <v>50</v>
      </c>
      <c r="F1863">
        <v>49.925899506</v>
      </c>
      <c r="G1863">
        <v>1338.8480225000001</v>
      </c>
      <c r="H1863">
        <v>1336.3725586</v>
      </c>
      <c r="I1863">
        <v>1327.0826416</v>
      </c>
      <c r="J1863">
        <v>1325.322876</v>
      </c>
      <c r="K1863">
        <v>2400</v>
      </c>
      <c r="L1863">
        <v>0</v>
      </c>
      <c r="M1863">
        <v>0</v>
      </c>
      <c r="N1863">
        <v>2400</v>
      </c>
    </row>
    <row r="1864" spans="1:14" x14ac:dyDescent="0.25">
      <c r="A1864">
        <v>1096.4987329999999</v>
      </c>
      <c r="B1864" s="1">
        <f>DATE(2013,5,1) + TIME(11,58,10)</f>
        <v>41395.498726851853</v>
      </c>
      <c r="C1864">
        <v>80</v>
      </c>
      <c r="D1864">
        <v>74.905677795000003</v>
      </c>
      <c r="E1864">
        <v>50</v>
      </c>
      <c r="F1864">
        <v>49.923358917000002</v>
      </c>
      <c r="G1864">
        <v>1338.902832</v>
      </c>
      <c r="H1864">
        <v>1336.4207764</v>
      </c>
      <c r="I1864">
        <v>1327.0607910000001</v>
      </c>
      <c r="J1864">
        <v>1325.3006591999999</v>
      </c>
      <c r="K1864">
        <v>2400</v>
      </c>
      <c r="L1864">
        <v>0</v>
      </c>
      <c r="M1864">
        <v>0</v>
      </c>
      <c r="N1864">
        <v>2400</v>
      </c>
    </row>
    <row r="1865" spans="1:14" x14ac:dyDescent="0.25">
      <c r="A1865">
        <v>1096.530994</v>
      </c>
      <c r="B1865" s="1">
        <f>DATE(2013,5,1) + TIME(12,44,37)</f>
        <v>41395.5309837963</v>
      </c>
      <c r="C1865">
        <v>80</v>
      </c>
      <c r="D1865">
        <v>75.264541625999996</v>
      </c>
      <c r="E1865">
        <v>50</v>
      </c>
      <c r="F1865">
        <v>49.920768738</v>
      </c>
      <c r="G1865">
        <v>1338.9564209</v>
      </c>
      <c r="H1865">
        <v>1336.4671631000001</v>
      </c>
      <c r="I1865">
        <v>1327.0419922000001</v>
      </c>
      <c r="J1865">
        <v>1325.2814940999999</v>
      </c>
      <c r="K1865">
        <v>2400</v>
      </c>
      <c r="L1865">
        <v>0</v>
      </c>
      <c r="M1865">
        <v>0</v>
      </c>
      <c r="N1865">
        <v>2400</v>
      </c>
    </row>
    <row r="1866" spans="1:14" x14ac:dyDescent="0.25">
      <c r="A1866">
        <v>1096.5642809999999</v>
      </c>
      <c r="B1866" s="1">
        <f>DATE(2013,5,1) + TIME(13,32,33)</f>
        <v>41395.564270833333</v>
      </c>
      <c r="C1866">
        <v>80</v>
      </c>
      <c r="D1866">
        <v>75.610054016000007</v>
      </c>
      <c r="E1866">
        <v>50</v>
      </c>
      <c r="F1866">
        <v>49.918125152999998</v>
      </c>
      <c r="G1866">
        <v>1339.0086670000001</v>
      </c>
      <c r="H1866">
        <v>1336.5119629000001</v>
      </c>
      <c r="I1866">
        <v>1327.0257568</v>
      </c>
      <c r="J1866">
        <v>1325.2650146000001</v>
      </c>
      <c r="K1866">
        <v>2400</v>
      </c>
      <c r="L1866">
        <v>0</v>
      </c>
      <c r="M1866">
        <v>0</v>
      </c>
      <c r="N1866">
        <v>2400</v>
      </c>
    </row>
    <row r="1867" spans="1:14" x14ac:dyDescent="0.25">
      <c r="A1867">
        <v>1096.598655</v>
      </c>
      <c r="B1867" s="1">
        <f>DATE(2013,5,1) + TIME(14,22,3)</f>
        <v>41395.598645833335</v>
      </c>
      <c r="C1867">
        <v>80</v>
      </c>
      <c r="D1867">
        <v>75.942039489999999</v>
      </c>
      <c r="E1867">
        <v>50</v>
      </c>
      <c r="F1867">
        <v>49.915420531999999</v>
      </c>
      <c r="G1867">
        <v>1339.0599365</v>
      </c>
      <c r="H1867">
        <v>1336.5554199000001</v>
      </c>
      <c r="I1867">
        <v>1327.0120850000001</v>
      </c>
      <c r="J1867">
        <v>1325.2509766000001</v>
      </c>
      <c r="K1867">
        <v>2400</v>
      </c>
      <c r="L1867">
        <v>0</v>
      </c>
      <c r="M1867">
        <v>0</v>
      </c>
      <c r="N1867">
        <v>2400</v>
      </c>
    </row>
    <row r="1868" spans="1:14" x14ac:dyDescent="0.25">
      <c r="A1868">
        <v>1096.634182</v>
      </c>
      <c r="B1868" s="1">
        <f>DATE(2013,5,1) + TIME(15,13,13)</f>
        <v>41395.63417824074</v>
      </c>
      <c r="C1868">
        <v>80</v>
      </c>
      <c r="D1868">
        <v>76.260314941000004</v>
      </c>
      <c r="E1868">
        <v>50</v>
      </c>
      <c r="F1868">
        <v>49.912651062000002</v>
      </c>
      <c r="G1868">
        <v>1339.1102295000001</v>
      </c>
      <c r="H1868">
        <v>1336.5975341999999</v>
      </c>
      <c r="I1868">
        <v>1327.0004882999999</v>
      </c>
      <c r="J1868">
        <v>1325.2391356999999</v>
      </c>
      <c r="K1868">
        <v>2400</v>
      </c>
      <c r="L1868">
        <v>0</v>
      </c>
      <c r="M1868">
        <v>0</v>
      </c>
      <c r="N1868">
        <v>2400</v>
      </c>
    </row>
    <row r="1869" spans="1:14" x14ac:dyDescent="0.25">
      <c r="A1869">
        <v>1096.670936</v>
      </c>
      <c r="B1869" s="1">
        <f>DATE(2013,5,1) + TIME(16,6,8)</f>
        <v>41395.670925925922</v>
      </c>
      <c r="C1869">
        <v>80</v>
      </c>
      <c r="D1869">
        <v>76.564674377000003</v>
      </c>
      <c r="E1869">
        <v>50</v>
      </c>
      <c r="F1869">
        <v>49.909816741999997</v>
      </c>
      <c r="G1869">
        <v>1339.1595459</v>
      </c>
      <c r="H1869">
        <v>1336.6385498</v>
      </c>
      <c r="I1869">
        <v>1326.9908447</v>
      </c>
      <c r="J1869">
        <v>1325.2292480000001</v>
      </c>
      <c r="K1869">
        <v>2400</v>
      </c>
      <c r="L1869">
        <v>0</v>
      </c>
      <c r="M1869">
        <v>0</v>
      </c>
      <c r="N1869">
        <v>2400</v>
      </c>
    </row>
    <row r="1870" spans="1:14" x14ac:dyDescent="0.25">
      <c r="A1870">
        <v>1096.708997</v>
      </c>
      <c r="B1870" s="1">
        <f>DATE(2013,5,1) + TIME(17,0,57)</f>
        <v>41395.708993055552</v>
      </c>
      <c r="C1870">
        <v>80</v>
      </c>
      <c r="D1870">
        <v>76.854995728000006</v>
      </c>
      <c r="E1870">
        <v>50</v>
      </c>
      <c r="F1870">
        <v>49.906913756999998</v>
      </c>
      <c r="G1870">
        <v>1339.2080077999999</v>
      </c>
      <c r="H1870">
        <v>1336.6783447</v>
      </c>
      <c r="I1870">
        <v>1326.9830322</v>
      </c>
      <c r="J1870">
        <v>1325.2210693</v>
      </c>
      <c r="K1870">
        <v>2400</v>
      </c>
      <c r="L1870">
        <v>0</v>
      </c>
      <c r="M1870">
        <v>0</v>
      </c>
      <c r="N1870">
        <v>2400</v>
      </c>
    </row>
    <row r="1871" spans="1:14" x14ac:dyDescent="0.25">
      <c r="A1871">
        <v>1096.748468</v>
      </c>
      <c r="B1871" s="1">
        <f>DATE(2013,5,1) + TIME(17,57,47)</f>
        <v>41395.748460648145</v>
      </c>
      <c r="C1871">
        <v>80</v>
      </c>
      <c r="D1871">
        <v>77.131233214999995</v>
      </c>
      <c r="E1871">
        <v>50</v>
      </c>
      <c r="F1871">
        <v>49.903926849000001</v>
      </c>
      <c r="G1871">
        <v>1339.2556152</v>
      </c>
      <c r="H1871">
        <v>1336.7170410000001</v>
      </c>
      <c r="I1871">
        <v>1326.9766846</v>
      </c>
      <c r="J1871">
        <v>1325.2145995999999</v>
      </c>
      <c r="K1871">
        <v>2400</v>
      </c>
      <c r="L1871">
        <v>0</v>
      </c>
      <c r="M1871">
        <v>0</v>
      </c>
      <c r="N1871">
        <v>2400</v>
      </c>
    </row>
    <row r="1872" spans="1:14" x14ac:dyDescent="0.25">
      <c r="A1872">
        <v>1096.7894269999999</v>
      </c>
      <c r="B1872" s="1">
        <f>DATE(2013,5,1) + TIME(18,56,46)</f>
        <v>41395.789421296293</v>
      </c>
      <c r="C1872">
        <v>80</v>
      </c>
      <c r="D1872">
        <v>77.393180846999996</v>
      </c>
      <c r="E1872">
        <v>50</v>
      </c>
      <c r="F1872">
        <v>49.900859832999998</v>
      </c>
      <c r="G1872">
        <v>1339.3024902</v>
      </c>
      <c r="H1872">
        <v>1336.7547606999999</v>
      </c>
      <c r="I1872">
        <v>1326.9716797000001</v>
      </c>
      <c r="J1872">
        <v>1325.2094727000001</v>
      </c>
      <c r="K1872">
        <v>2400</v>
      </c>
      <c r="L1872">
        <v>0</v>
      </c>
      <c r="M1872">
        <v>0</v>
      </c>
      <c r="N1872">
        <v>2400</v>
      </c>
    </row>
    <row r="1873" spans="1:14" x14ac:dyDescent="0.25">
      <c r="A1873">
        <v>1096.831979</v>
      </c>
      <c r="B1873" s="1">
        <f>DATE(2013,5,1) + TIME(19,58,3)</f>
        <v>41395.831979166665</v>
      </c>
      <c r="C1873">
        <v>80</v>
      </c>
      <c r="D1873">
        <v>77.640785217000001</v>
      </c>
      <c r="E1873">
        <v>50</v>
      </c>
      <c r="F1873">
        <v>49.897705078000001</v>
      </c>
      <c r="G1873">
        <v>1339.3485106999999</v>
      </c>
      <c r="H1873">
        <v>1336.7915039</v>
      </c>
      <c r="I1873">
        <v>1326.9680175999999</v>
      </c>
      <c r="J1873">
        <v>1325.2055664</v>
      </c>
      <c r="K1873">
        <v>2400</v>
      </c>
      <c r="L1873">
        <v>0</v>
      </c>
      <c r="M1873">
        <v>0</v>
      </c>
      <c r="N1873">
        <v>2400</v>
      </c>
    </row>
    <row r="1874" spans="1:14" x14ac:dyDescent="0.25">
      <c r="A1874">
        <v>1096.8762380000001</v>
      </c>
      <c r="B1874" s="1">
        <f>DATE(2013,5,1) + TIME(21,1,47)</f>
        <v>41395.876238425924</v>
      </c>
      <c r="C1874">
        <v>80</v>
      </c>
      <c r="D1874">
        <v>77.874023437999995</v>
      </c>
      <c r="E1874">
        <v>50</v>
      </c>
      <c r="F1874">
        <v>49.894458770999996</v>
      </c>
      <c r="G1874">
        <v>1339.3936768000001</v>
      </c>
      <c r="H1874">
        <v>1336.8272704999999</v>
      </c>
      <c r="I1874">
        <v>1326.965332</v>
      </c>
      <c r="J1874">
        <v>1325.2026367000001</v>
      </c>
      <c r="K1874">
        <v>2400</v>
      </c>
      <c r="L1874">
        <v>0</v>
      </c>
      <c r="M1874">
        <v>0</v>
      </c>
      <c r="N1874">
        <v>2400</v>
      </c>
    </row>
    <row r="1875" spans="1:14" x14ac:dyDescent="0.25">
      <c r="A1875">
        <v>1096.922331</v>
      </c>
      <c r="B1875" s="1">
        <f>DATE(2013,5,1) + TIME(22,8,9)</f>
        <v>41395.922326388885</v>
      </c>
      <c r="C1875">
        <v>80</v>
      </c>
      <c r="D1875">
        <v>78.092933654999996</v>
      </c>
      <c r="E1875">
        <v>50</v>
      </c>
      <c r="F1875">
        <v>49.891105652</v>
      </c>
      <c r="G1875">
        <v>1339.4381103999999</v>
      </c>
      <c r="H1875">
        <v>1336.8620605000001</v>
      </c>
      <c r="I1875">
        <v>1326.9636230000001</v>
      </c>
      <c r="J1875">
        <v>1325.2008057</v>
      </c>
      <c r="K1875">
        <v>2400</v>
      </c>
      <c r="L1875">
        <v>0</v>
      </c>
      <c r="M1875">
        <v>0</v>
      </c>
      <c r="N1875">
        <v>2400</v>
      </c>
    </row>
    <row r="1876" spans="1:14" x14ac:dyDescent="0.25">
      <c r="A1876">
        <v>1096.9703979999999</v>
      </c>
      <c r="B1876" s="1">
        <f>DATE(2013,5,1) + TIME(23,17,22)</f>
        <v>41395.970393518517</v>
      </c>
      <c r="C1876">
        <v>80</v>
      </c>
      <c r="D1876">
        <v>78.297576903999996</v>
      </c>
      <c r="E1876">
        <v>50</v>
      </c>
      <c r="F1876">
        <v>49.887645720999998</v>
      </c>
      <c r="G1876">
        <v>1339.4815673999999</v>
      </c>
      <c r="H1876">
        <v>1336.8959961</v>
      </c>
      <c r="I1876">
        <v>1326.9626464999999</v>
      </c>
      <c r="J1876">
        <v>1325.199707</v>
      </c>
      <c r="K1876">
        <v>2400</v>
      </c>
      <c r="L1876">
        <v>0</v>
      </c>
      <c r="M1876">
        <v>0</v>
      </c>
      <c r="N1876">
        <v>2400</v>
      </c>
    </row>
    <row r="1877" spans="1:14" x14ac:dyDescent="0.25">
      <c r="A1877">
        <v>1097.020595</v>
      </c>
      <c r="B1877" s="1">
        <f>DATE(2013,5,2) + TIME(0,29,39)</f>
        <v>41396.020590277774</v>
      </c>
      <c r="C1877">
        <v>80</v>
      </c>
      <c r="D1877">
        <v>78.488090514999996</v>
      </c>
      <c r="E1877">
        <v>50</v>
      </c>
      <c r="F1877">
        <v>49.884067535</v>
      </c>
      <c r="G1877">
        <v>1339.5242920000001</v>
      </c>
      <c r="H1877">
        <v>1336.9289550999999</v>
      </c>
      <c r="I1877">
        <v>1326.9624022999999</v>
      </c>
      <c r="J1877">
        <v>1325.1992187999999</v>
      </c>
      <c r="K1877">
        <v>2400</v>
      </c>
      <c r="L1877">
        <v>0</v>
      </c>
      <c r="M1877">
        <v>0</v>
      </c>
      <c r="N1877">
        <v>2400</v>
      </c>
    </row>
    <row r="1878" spans="1:14" x14ac:dyDescent="0.25">
      <c r="A1878">
        <v>1097.0730980000001</v>
      </c>
      <c r="B1878" s="1">
        <f>DATE(2013,5,2) + TIME(1,45,15)</f>
        <v>41396.07309027778</v>
      </c>
      <c r="C1878">
        <v>80</v>
      </c>
      <c r="D1878">
        <v>78.664642334000007</v>
      </c>
      <c r="E1878">
        <v>50</v>
      </c>
      <c r="F1878">
        <v>49.880363463999998</v>
      </c>
      <c r="G1878">
        <v>1339.5660399999999</v>
      </c>
      <c r="H1878">
        <v>1336.9609375</v>
      </c>
      <c r="I1878">
        <v>1326.9626464999999</v>
      </c>
      <c r="J1878">
        <v>1325.1993408000001</v>
      </c>
      <c r="K1878">
        <v>2400</v>
      </c>
      <c r="L1878">
        <v>0</v>
      </c>
      <c r="M1878">
        <v>0</v>
      </c>
      <c r="N1878">
        <v>2400</v>
      </c>
    </row>
    <row r="1879" spans="1:14" x14ac:dyDescent="0.25">
      <c r="A1879">
        <v>1097.1281019999999</v>
      </c>
      <c r="B1879" s="1">
        <f>DATE(2013,5,2) + TIME(3,4,28)</f>
        <v>41396.128101851849</v>
      </c>
      <c r="C1879">
        <v>80</v>
      </c>
      <c r="D1879">
        <v>78.827468871999997</v>
      </c>
      <c r="E1879">
        <v>50</v>
      </c>
      <c r="F1879">
        <v>49.876522064</v>
      </c>
      <c r="G1879">
        <v>1339.6068115</v>
      </c>
      <c r="H1879">
        <v>1336.9920654</v>
      </c>
      <c r="I1879">
        <v>1326.9633789</v>
      </c>
      <c r="J1879">
        <v>1325.1999512</v>
      </c>
      <c r="K1879">
        <v>2400</v>
      </c>
      <c r="L1879">
        <v>0</v>
      </c>
      <c r="M1879">
        <v>0</v>
      </c>
      <c r="N1879">
        <v>2400</v>
      </c>
    </row>
    <row r="1880" spans="1:14" x14ac:dyDescent="0.25">
      <c r="A1880">
        <v>1097.185831</v>
      </c>
      <c r="B1880" s="1">
        <f>DATE(2013,5,2) + TIME(4,27,35)</f>
        <v>41396.18582175926</v>
      </c>
      <c r="C1880">
        <v>80</v>
      </c>
      <c r="D1880">
        <v>78.976852417000003</v>
      </c>
      <c r="E1880">
        <v>50</v>
      </c>
      <c r="F1880">
        <v>49.872531891000001</v>
      </c>
      <c r="G1880">
        <v>1339.6466064000001</v>
      </c>
      <c r="H1880">
        <v>1337.0222168</v>
      </c>
      <c r="I1880">
        <v>1326.9645995999999</v>
      </c>
      <c r="J1880">
        <v>1325.2009277</v>
      </c>
      <c r="K1880">
        <v>2400</v>
      </c>
      <c r="L1880">
        <v>0</v>
      </c>
      <c r="M1880">
        <v>0</v>
      </c>
      <c r="N1880">
        <v>2400</v>
      </c>
    </row>
    <row r="1881" spans="1:14" x14ac:dyDescent="0.25">
      <c r="A1881">
        <v>1097.246568</v>
      </c>
      <c r="B1881" s="1">
        <f>DATE(2013,5,2) + TIME(5,55,3)</f>
        <v>41396.246562499997</v>
      </c>
      <c r="C1881">
        <v>80</v>
      </c>
      <c r="D1881">
        <v>79.113189696999996</v>
      </c>
      <c r="E1881">
        <v>50</v>
      </c>
      <c r="F1881">
        <v>49.868377686000002</v>
      </c>
      <c r="G1881">
        <v>1339.6853027</v>
      </c>
      <c r="H1881">
        <v>1337.0515137</v>
      </c>
      <c r="I1881">
        <v>1326.9659423999999</v>
      </c>
      <c r="J1881">
        <v>1325.2022704999999</v>
      </c>
      <c r="K1881">
        <v>2400</v>
      </c>
      <c r="L1881">
        <v>0</v>
      </c>
      <c r="M1881">
        <v>0</v>
      </c>
      <c r="N1881">
        <v>2400</v>
      </c>
    </row>
    <row r="1882" spans="1:14" x14ac:dyDescent="0.25">
      <c r="A1882">
        <v>1097.3105909999999</v>
      </c>
      <c r="B1882" s="1">
        <f>DATE(2013,5,2) + TIME(7,27,15)</f>
        <v>41396.310590277775</v>
      </c>
      <c r="C1882">
        <v>80</v>
      </c>
      <c r="D1882">
        <v>79.236846924000005</v>
      </c>
      <c r="E1882">
        <v>50</v>
      </c>
      <c r="F1882">
        <v>49.864044188999998</v>
      </c>
      <c r="G1882">
        <v>1339.7230225000001</v>
      </c>
      <c r="H1882">
        <v>1337.0797118999999</v>
      </c>
      <c r="I1882">
        <v>1326.9675293</v>
      </c>
      <c r="J1882">
        <v>1325.2037353999999</v>
      </c>
      <c r="K1882">
        <v>2400</v>
      </c>
      <c r="L1882">
        <v>0</v>
      </c>
      <c r="M1882">
        <v>0</v>
      </c>
      <c r="N1882">
        <v>2400</v>
      </c>
    </row>
    <row r="1883" spans="1:14" x14ac:dyDescent="0.25">
      <c r="A1883">
        <v>1097.378224</v>
      </c>
      <c r="B1883" s="1">
        <f>DATE(2013,5,2) + TIME(9,4,38)</f>
        <v>41396.378217592595</v>
      </c>
      <c r="C1883">
        <v>80</v>
      </c>
      <c r="D1883">
        <v>79.348236084000007</v>
      </c>
      <c r="E1883">
        <v>50</v>
      </c>
      <c r="F1883">
        <v>49.859512328999998</v>
      </c>
      <c r="G1883">
        <v>1339.7595214999999</v>
      </c>
      <c r="H1883">
        <v>1337.1070557</v>
      </c>
      <c r="I1883">
        <v>1326.9692382999999</v>
      </c>
      <c r="J1883">
        <v>1325.2053223</v>
      </c>
      <c r="K1883">
        <v>2400</v>
      </c>
      <c r="L1883">
        <v>0</v>
      </c>
      <c r="M1883">
        <v>0</v>
      </c>
      <c r="N1883">
        <v>2400</v>
      </c>
    </row>
    <row r="1884" spans="1:14" x14ac:dyDescent="0.25">
      <c r="A1884">
        <v>1097.449854</v>
      </c>
      <c r="B1884" s="1">
        <f>DATE(2013,5,2) + TIME(10,47,47)</f>
        <v>41396.449849537035</v>
      </c>
      <c r="C1884">
        <v>80</v>
      </c>
      <c r="D1884">
        <v>79.447860718000001</v>
      </c>
      <c r="E1884">
        <v>50</v>
      </c>
      <c r="F1884">
        <v>49.85477066</v>
      </c>
      <c r="G1884">
        <v>1339.7949219</v>
      </c>
      <c r="H1884">
        <v>1337.1334228999999</v>
      </c>
      <c r="I1884">
        <v>1326.9710693</v>
      </c>
      <c r="J1884">
        <v>1325.2069091999999</v>
      </c>
      <c r="K1884">
        <v>2400</v>
      </c>
      <c r="L1884">
        <v>0</v>
      </c>
      <c r="M1884">
        <v>0</v>
      </c>
      <c r="N1884">
        <v>2400</v>
      </c>
    </row>
    <row r="1885" spans="1:14" x14ac:dyDescent="0.25">
      <c r="A1885">
        <v>1097.5259349999999</v>
      </c>
      <c r="B1885" s="1">
        <f>DATE(2013,5,2) + TIME(12,37,20)</f>
        <v>41396.525925925926</v>
      </c>
      <c r="C1885">
        <v>80</v>
      </c>
      <c r="D1885">
        <v>79.536270142000006</v>
      </c>
      <c r="E1885">
        <v>50</v>
      </c>
      <c r="F1885">
        <v>49.849784851000003</v>
      </c>
      <c r="G1885">
        <v>1339.8289795000001</v>
      </c>
      <c r="H1885">
        <v>1337.1586914</v>
      </c>
      <c r="I1885">
        <v>1326.9729004000001</v>
      </c>
      <c r="J1885">
        <v>1325.2086182</v>
      </c>
      <c r="K1885">
        <v>2400</v>
      </c>
      <c r="L1885">
        <v>0</v>
      </c>
      <c r="M1885">
        <v>0</v>
      </c>
      <c r="N1885">
        <v>2400</v>
      </c>
    </row>
    <row r="1886" spans="1:14" x14ac:dyDescent="0.25">
      <c r="A1886">
        <v>1097.606669</v>
      </c>
      <c r="B1886" s="1">
        <f>DATE(2013,5,2) + TIME(14,33,36)</f>
        <v>41396.606666666667</v>
      </c>
      <c r="C1886">
        <v>80</v>
      </c>
      <c r="D1886">
        <v>79.613800049000005</v>
      </c>
      <c r="E1886">
        <v>50</v>
      </c>
      <c r="F1886">
        <v>49.844554901000002</v>
      </c>
      <c r="G1886">
        <v>1339.8618164</v>
      </c>
      <c r="H1886">
        <v>1337.1829834</v>
      </c>
      <c r="I1886">
        <v>1326.9747314000001</v>
      </c>
      <c r="J1886">
        <v>1325.2102050999999</v>
      </c>
      <c r="K1886">
        <v>2400</v>
      </c>
      <c r="L1886">
        <v>0</v>
      </c>
      <c r="M1886">
        <v>0</v>
      </c>
      <c r="N1886">
        <v>2400</v>
      </c>
    </row>
    <row r="1887" spans="1:14" x14ac:dyDescent="0.25">
      <c r="A1887">
        <v>1097.688613</v>
      </c>
      <c r="B1887" s="1">
        <f>DATE(2013,5,2) + TIME(16,31,36)</f>
        <v>41396.688611111109</v>
      </c>
      <c r="C1887">
        <v>80</v>
      </c>
      <c r="D1887">
        <v>79.678611755000006</v>
      </c>
      <c r="E1887">
        <v>50</v>
      </c>
      <c r="F1887">
        <v>49.839286803999997</v>
      </c>
      <c r="G1887">
        <v>1339.8936768000001</v>
      </c>
      <c r="H1887">
        <v>1337.2062988</v>
      </c>
      <c r="I1887">
        <v>1326.9763184000001</v>
      </c>
      <c r="J1887">
        <v>1325.2116699000001</v>
      </c>
      <c r="K1887">
        <v>2400</v>
      </c>
      <c r="L1887">
        <v>0</v>
      </c>
      <c r="M1887">
        <v>0</v>
      </c>
      <c r="N1887">
        <v>2400</v>
      </c>
    </row>
    <row r="1888" spans="1:14" x14ac:dyDescent="0.25">
      <c r="A1888">
        <v>1097.77224</v>
      </c>
      <c r="B1888" s="1">
        <f>DATE(2013,5,2) + TIME(18,32,1)</f>
        <v>41396.772233796299</v>
      </c>
      <c r="C1888">
        <v>80</v>
      </c>
      <c r="D1888">
        <v>79.732849121000001</v>
      </c>
      <c r="E1888">
        <v>50</v>
      </c>
      <c r="F1888">
        <v>49.833950043000002</v>
      </c>
      <c r="G1888">
        <v>1339.9226074000001</v>
      </c>
      <c r="H1888">
        <v>1337.2276611</v>
      </c>
      <c r="I1888">
        <v>1326.9776611</v>
      </c>
      <c r="J1888">
        <v>1325.2130127</v>
      </c>
      <c r="K1888">
        <v>2400</v>
      </c>
      <c r="L1888">
        <v>0</v>
      </c>
      <c r="M1888">
        <v>0</v>
      </c>
      <c r="N1888">
        <v>2400</v>
      </c>
    </row>
    <row r="1889" spans="1:14" x14ac:dyDescent="0.25">
      <c r="A1889">
        <v>1097.856483</v>
      </c>
      <c r="B1889" s="1">
        <f>DATE(2013,5,2) + TIME(20,33,20)</f>
        <v>41396.856481481482</v>
      </c>
      <c r="C1889">
        <v>80</v>
      </c>
      <c r="D1889">
        <v>79.777549743999998</v>
      </c>
      <c r="E1889">
        <v>50</v>
      </c>
      <c r="F1889">
        <v>49.828605652</v>
      </c>
      <c r="G1889">
        <v>1339.9490966999999</v>
      </c>
      <c r="H1889">
        <v>1337.2471923999999</v>
      </c>
      <c r="I1889">
        <v>1326.9790039</v>
      </c>
      <c r="J1889">
        <v>1325.2141113</v>
      </c>
      <c r="K1889">
        <v>2400</v>
      </c>
      <c r="L1889">
        <v>0</v>
      </c>
      <c r="M1889">
        <v>0</v>
      </c>
      <c r="N1889">
        <v>2400</v>
      </c>
    </row>
    <row r="1890" spans="1:14" x14ac:dyDescent="0.25">
      <c r="A1890">
        <v>1097.941368</v>
      </c>
      <c r="B1890" s="1">
        <f>DATE(2013,5,2) + TIME(22,35,34)</f>
        <v>41396.941365740742</v>
      </c>
      <c r="C1890">
        <v>80</v>
      </c>
      <c r="D1890">
        <v>79.814331054999997</v>
      </c>
      <c r="E1890">
        <v>50</v>
      </c>
      <c r="F1890">
        <v>49.823257446</v>
      </c>
      <c r="G1890">
        <v>1339.9730225000001</v>
      </c>
      <c r="H1890">
        <v>1337.2647704999999</v>
      </c>
      <c r="I1890">
        <v>1326.9799805</v>
      </c>
      <c r="J1890">
        <v>1325.2149658000001</v>
      </c>
      <c r="K1890">
        <v>2400</v>
      </c>
      <c r="L1890">
        <v>0</v>
      </c>
      <c r="M1890">
        <v>0</v>
      </c>
      <c r="N1890">
        <v>2400</v>
      </c>
    </row>
    <row r="1891" spans="1:14" x14ac:dyDescent="0.25">
      <c r="A1891">
        <v>1098.027102</v>
      </c>
      <c r="B1891" s="1">
        <f>DATE(2013,5,3) + TIME(0,39,1)</f>
        <v>41397.027094907404</v>
      </c>
      <c r="C1891">
        <v>80</v>
      </c>
      <c r="D1891">
        <v>79.844596863000007</v>
      </c>
      <c r="E1891">
        <v>50</v>
      </c>
      <c r="F1891">
        <v>49.817882537999999</v>
      </c>
      <c r="G1891">
        <v>1339.9945068</v>
      </c>
      <c r="H1891">
        <v>1337.2807617000001</v>
      </c>
      <c r="I1891">
        <v>1326.980957</v>
      </c>
      <c r="J1891">
        <v>1325.2156981999999</v>
      </c>
      <c r="K1891">
        <v>2400</v>
      </c>
      <c r="L1891">
        <v>0</v>
      </c>
      <c r="M1891">
        <v>0</v>
      </c>
      <c r="N1891">
        <v>2400</v>
      </c>
    </row>
    <row r="1892" spans="1:14" x14ac:dyDescent="0.25">
      <c r="A1892">
        <v>1098.11391</v>
      </c>
      <c r="B1892" s="1">
        <f>DATE(2013,5,3) + TIME(2,44,1)</f>
        <v>41397.113900462966</v>
      </c>
      <c r="C1892">
        <v>80</v>
      </c>
      <c r="D1892">
        <v>79.869499207000004</v>
      </c>
      <c r="E1892">
        <v>50</v>
      </c>
      <c r="F1892">
        <v>49.812477112000003</v>
      </c>
      <c r="G1892">
        <v>1340.0136719</v>
      </c>
      <c r="H1892">
        <v>1337.2951660000001</v>
      </c>
      <c r="I1892">
        <v>1326.9816894999999</v>
      </c>
      <c r="J1892">
        <v>1325.2163086</v>
      </c>
      <c r="K1892">
        <v>2400</v>
      </c>
      <c r="L1892">
        <v>0</v>
      </c>
      <c r="M1892">
        <v>0</v>
      </c>
      <c r="N1892">
        <v>2400</v>
      </c>
    </row>
    <row r="1893" spans="1:14" x14ac:dyDescent="0.25">
      <c r="A1893">
        <v>1098.2019620000001</v>
      </c>
      <c r="B1893" s="1">
        <f>DATE(2013,5,3) + TIME(4,50,49)</f>
        <v>41397.201956018522</v>
      </c>
      <c r="C1893">
        <v>80</v>
      </c>
      <c r="D1893">
        <v>79.889961243000002</v>
      </c>
      <c r="E1893">
        <v>50</v>
      </c>
      <c r="F1893">
        <v>49.807025908999996</v>
      </c>
      <c r="G1893">
        <v>1340.0308838000001</v>
      </c>
      <c r="H1893">
        <v>1337.3081055</v>
      </c>
      <c r="I1893">
        <v>1326.9821777</v>
      </c>
      <c r="J1893">
        <v>1325.2167969</v>
      </c>
      <c r="K1893">
        <v>2400</v>
      </c>
      <c r="L1893">
        <v>0</v>
      </c>
      <c r="M1893">
        <v>0</v>
      </c>
      <c r="N1893">
        <v>2400</v>
      </c>
    </row>
    <row r="1894" spans="1:14" x14ac:dyDescent="0.25">
      <c r="A1894">
        <v>1098.2914679999999</v>
      </c>
      <c r="B1894" s="1">
        <f>DATE(2013,5,3) + TIME(6,59,42)</f>
        <v>41397.291458333333</v>
      </c>
      <c r="C1894">
        <v>80</v>
      </c>
      <c r="D1894">
        <v>79.906753539999997</v>
      </c>
      <c r="E1894">
        <v>50</v>
      </c>
      <c r="F1894">
        <v>49.801521301000001</v>
      </c>
      <c r="G1894">
        <v>1340.0463867000001</v>
      </c>
      <c r="H1894">
        <v>1337.3199463000001</v>
      </c>
      <c r="I1894">
        <v>1326.9826660000001</v>
      </c>
      <c r="J1894">
        <v>1325.2170410000001</v>
      </c>
      <c r="K1894">
        <v>2400</v>
      </c>
      <c r="L1894">
        <v>0</v>
      </c>
      <c r="M1894">
        <v>0</v>
      </c>
      <c r="N1894">
        <v>2400</v>
      </c>
    </row>
    <row r="1895" spans="1:14" x14ac:dyDescent="0.25">
      <c r="A1895">
        <v>1098.382646</v>
      </c>
      <c r="B1895" s="1">
        <f>DATE(2013,5,3) + TIME(9,11,0)</f>
        <v>41397.382638888892</v>
      </c>
      <c r="C1895">
        <v>80</v>
      </c>
      <c r="D1895">
        <v>79.920516968000001</v>
      </c>
      <c r="E1895">
        <v>50</v>
      </c>
      <c r="F1895">
        <v>49.795948029000002</v>
      </c>
      <c r="G1895">
        <v>1340.0601807</v>
      </c>
      <c r="H1895">
        <v>1337.3305664</v>
      </c>
      <c r="I1895">
        <v>1326.9830322</v>
      </c>
      <c r="J1895">
        <v>1325.2172852000001</v>
      </c>
      <c r="K1895">
        <v>2400</v>
      </c>
      <c r="L1895">
        <v>0</v>
      </c>
      <c r="M1895">
        <v>0</v>
      </c>
      <c r="N1895">
        <v>2400</v>
      </c>
    </row>
    <row r="1896" spans="1:14" x14ac:dyDescent="0.25">
      <c r="A1896">
        <v>1098.475727</v>
      </c>
      <c r="B1896" s="1">
        <f>DATE(2013,5,3) + TIME(11,25,2)</f>
        <v>41397.475717592592</v>
      </c>
      <c r="C1896">
        <v>80</v>
      </c>
      <c r="D1896">
        <v>79.931785583000007</v>
      </c>
      <c r="E1896">
        <v>50</v>
      </c>
      <c r="F1896">
        <v>49.790294647000003</v>
      </c>
      <c r="G1896">
        <v>1340.0726318</v>
      </c>
      <c r="H1896">
        <v>1337.3402100000001</v>
      </c>
      <c r="I1896">
        <v>1326.9831543</v>
      </c>
      <c r="J1896">
        <v>1325.2172852000001</v>
      </c>
      <c r="K1896">
        <v>2400</v>
      </c>
      <c r="L1896">
        <v>0</v>
      </c>
      <c r="M1896">
        <v>0</v>
      </c>
      <c r="N1896">
        <v>2400</v>
      </c>
    </row>
    <row r="1897" spans="1:14" x14ac:dyDescent="0.25">
      <c r="A1897">
        <v>1098.5709549999999</v>
      </c>
      <c r="B1897" s="1">
        <f>DATE(2013,5,3) + TIME(13,42,10)</f>
        <v>41397.570949074077</v>
      </c>
      <c r="C1897">
        <v>80</v>
      </c>
      <c r="D1897">
        <v>79.940979003999999</v>
      </c>
      <c r="E1897">
        <v>50</v>
      </c>
      <c r="F1897">
        <v>49.784545897999998</v>
      </c>
      <c r="G1897">
        <v>1340.0836182</v>
      </c>
      <c r="H1897">
        <v>1337.348999</v>
      </c>
      <c r="I1897">
        <v>1326.9832764</v>
      </c>
      <c r="J1897">
        <v>1325.2172852000001</v>
      </c>
      <c r="K1897">
        <v>2400</v>
      </c>
      <c r="L1897">
        <v>0</v>
      </c>
      <c r="M1897">
        <v>0</v>
      </c>
      <c r="N1897">
        <v>2400</v>
      </c>
    </row>
    <row r="1898" spans="1:14" x14ac:dyDescent="0.25">
      <c r="A1898">
        <v>1098.668629</v>
      </c>
      <c r="B1898" s="1">
        <f>DATE(2013,5,3) + TIME(16,2,49)</f>
        <v>41397.668622685182</v>
      </c>
      <c r="C1898">
        <v>80</v>
      </c>
      <c r="D1898">
        <v>79.948471068999993</v>
      </c>
      <c r="E1898">
        <v>50</v>
      </c>
      <c r="F1898">
        <v>49.778690337999997</v>
      </c>
      <c r="G1898">
        <v>1340.0932617000001</v>
      </c>
      <c r="H1898">
        <v>1337.3569336</v>
      </c>
      <c r="I1898">
        <v>1326.9832764</v>
      </c>
      <c r="J1898">
        <v>1325.2171631000001</v>
      </c>
      <c r="K1898">
        <v>2400</v>
      </c>
      <c r="L1898">
        <v>0</v>
      </c>
      <c r="M1898">
        <v>0</v>
      </c>
      <c r="N1898">
        <v>2400</v>
      </c>
    </row>
    <row r="1899" spans="1:14" x14ac:dyDescent="0.25">
      <c r="A1899">
        <v>1098.7691789999999</v>
      </c>
      <c r="B1899" s="1">
        <f>DATE(2013,5,3) + TIME(18,27,37)</f>
        <v>41397.769178240742</v>
      </c>
      <c r="C1899">
        <v>80</v>
      </c>
      <c r="D1899">
        <v>79.954559325999995</v>
      </c>
      <c r="E1899">
        <v>50</v>
      </c>
      <c r="F1899">
        <v>49.772701263000002</v>
      </c>
      <c r="G1899">
        <v>1340.1018065999999</v>
      </c>
      <c r="H1899">
        <v>1337.3640137</v>
      </c>
      <c r="I1899">
        <v>1326.9832764</v>
      </c>
      <c r="J1899">
        <v>1325.2169189000001</v>
      </c>
      <c r="K1899">
        <v>2400</v>
      </c>
      <c r="L1899">
        <v>0</v>
      </c>
      <c r="M1899">
        <v>0</v>
      </c>
      <c r="N1899">
        <v>2400</v>
      </c>
    </row>
    <row r="1900" spans="1:14" x14ac:dyDescent="0.25">
      <c r="A1900">
        <v>1098.8729530000001</v>
      </c>
      <c r="B1900" s="1">
        <f>DATE(2013,5,3) + TIME(20,57,3)</f>
        <v>41397.87295138889</v>
      </c>
      <c r="C1900">
        <v>80</v>
      </c>
      <c r="D1900">
        <v>79.959487914999997</v>
      </c>
      <c r="E1900">
        <v>50</v>
      </c>
      <c r="F1900">
        <v>49.76656723</v>
      </c>
      <c r="G1900">
        <v>1340.1072998</v>
      </c>
      <c r="H1900">
        <v>1337.3691406</v>
      </c>
      <c r="I1900">
        <v>1326.9831543</v>
      </c>
      <c r="J1900">
        <v>1325.2166748</v>
      </c>
      <c r="K1900">
        <v>2400</v>
      </c>
      <c r="L1900">
        <v>0</v>
      </c>
      <c r="M1900">
        <v>0</v>
      </c>
      <c r="N1900">
        <v>2400</v>
      </c>
    </row>
    <row r="1901" spans="1:14" x14ac:dyDescent="0.25">
      <c r="A1901">
        <v>1098.9804019999999</v>
      </c>
      <c r="B1901" s="1">
        <f>DATE(2013,5,3) + TIME(23,31,46)</f>
        <v>41397.980393518519</v>
      </c>
      <c r="C1901">
        <v>80</v>
      </c>
      <c r="D1901">
        <v>79.963470459000007</v>
      </c>
      <c r="E1901">
        <v>50</v>
      </c>
      <c r="F1901">
        <v>49.760257721000002</v>
      </c>
      <c r="G1901">
        <v>1340.1118164</v>
      </c>
      <c r="H1901">
        <v>1337.3736572</v>
      </c>
      <c r="I1901">
        <v>1326.9829102000001</v>
      </c>
      <c r="J1901">
        <v>1325.2163086</v>
      </c>
      <c r="K1901">
        <v>2400</v>
      </c>
      <c r="L1901">
        <v>0</v>
      </c>
      <c r="M1901">
        <v>0</v>
      </c>
      <c r="N1901">
        <v>2400</v>
      </c>
    </row>
    <row r="1902" spans="1:14" x14ac:dyDescent="0.25">
      <c r="A1902">
        <v>1099.0920490000001</v>
      </c>
      <c r="B1902" s="1">
        <f>DATE(2013,5,4) + TIME(2,12,33)</f>
        <v>41398.092048611114</v>
      </c>
      <c r="C1902">
        <v>80</v>
      </c>
      <c r="D1902">
        <v>79.966674804999997</v>
      </c>
      <c r="E1902">
        <v>50</v>
      </c>
      <c r="F1902">
        <v>49.753749847000002</v>
      </c>
      <c r="G1902">
        <v>1340.1154785000001</v>
      </c>
      <c r="H1902">
        <v>1337.3775635</v>
      </c>
      <c r="I1902">
        <v>1326.9825439000001</v>
      </c>
      <c r="J1902">
        <v>1325.2158202999999</v>
      </c>
      <c r="K1902">
        <v>2400</v>
      </c>
      <c r="L1902">
        <v>0</v>
      </c>
      <c r="M1902">
        <v>0</v>
      </c>
      <c r="N1902">
        <v>2400</v>
      </c>
    </row>
    <row r="1903" spans="1:14" x14ac:dyDescent="0.25">
      <c r="A1903">
        <v>1099.20642</v>
      </c>
      <c r="B1903" s="1">
        <f>DATE(2013,5,4) + TIME(4,57,14)</f>
        <v>41398.206412037034</v>
      </c>
      <c r="C1903">
        <v>80</v>
      </c>
      <c r="D1903">
        <v>79.969207764000004</v>
      </c>
      <c r="E1903">
        <v>50</v>
      </c>
      <c r="F1903">
        <v>49.747123717999997</v>
      </c>
      <c r="G1903">
        <v>1340.1182861</v>
      </c>
      <c r="H1903">
        <v>1337.3811035000001</v>
      </c>
      <c r="I1903">
        <v>1326.9821777</v>
      </c>
      <c r="J1903">
        <v>1325.215332</v>
      </c>
      <c r="K1903">
        <v>2400</v>
      </c>
      <c r="L1903">
        <v>0</v>
      </c>
      <c r="M1903">
        <v>0</v>
      </c>
      <c r="N1903">
        <v>2400</v>
      </c>
    </row>
    <row r="1904" spans="1:14" x14ac:dyDescent="0.25">
      <c r="A1904">
        <v>1099.323009</v>
      </c>
      <c r="B1904" s="1">
        <f>DATE(2013,5,4) + TIME(7,45,7)</f>
        <v>41398.322997685187</v>
      </c>
      <c r="C1904">
        <v>80</v>
      </c>
      <c r="D1904">
        <v>79.971199036000002</v>
      </c>
      <c r="E1904">
        <v>50</v>
      </c>
      <c r="F1904">
        <v>49.740398407000001</v>
      </c>
      <c r="G1904">
        <v>1340.1203613</v>
      </c>
      <c r="H1904">
        <v>1337.3840332</v>
      </c>
      <c r="I1904">
        <v>1326.9818115</v>
      </c>
      <c r="J1904">
        <v>1325.2147216999999</v>
      </c>
      <c r="K1904">
        <v>2400</v>
      </c>
      <c r="L1904">
        <v>0</v>
      </c>
      <c r="M1904">
        <v>0</v>
      </c>
      <c r="N1904">
        <v>2400</v>
      </c>
    </row>
    <row r="1905" spans="1:14" x14ac:dyDescent="0.25">
      <c r="A1905">
        <v>1099.4420230000001</v>
      </c>
      <c r="B1905" s="1">
        <f>DATE(2013,5,4) + TIME(10,36,30)</f>
        <v>41398.442013888889</v>
      </c>
      <c r="C1905">
        <v>80</v>
      </c>
      <c r="D1905">
        <v>79.972747803000004</v>
      </c>
      <c r="E1905">
        <v>50</v>
      </c>
      <c r="F1905">
        <v>49.733573913999997</v>
      </c>
      <c r="G1905">
        <v>1340.1217041</v>
      </c>
      <c r="H1905">
        <v>1337.3864745999999</v>
      </c>
      <c r="I1905">
        <v>1326.9813231999999</v>
      </c>
      <c r="J1905">
        <v>1325.2141113</v>
      </c>
      <c r="K1905">
        <v>2400</v>
      </c>
      <c r="L1905">
        <v>0</v>
      </c>
      <c r="M1905">
        <v>0</v>
      </c>
      <c r="N1905">
        <v>2400</v>
      </c>
    </row>
    <row r="1906" spans="1:14" x14ac:dyDescent="0.25">
      <c r="A1906">
        <v>1099.563701</v>
      </c>
      <c r="B1906" s="1">
        <f>DATE(2013,5,4) + TIME(13,31,43)</f>
        <v>41398.563692129632</v>
      </c>
      <c r="C1906">
        <v>80</v>
      </c>
      <c r="D1906">
        <v>79.973968506000006</v>
      </c>
      <c r="E1906">
        <v>50</v>
      </c>
      <c r="F1906">
        <v>49.726631165000001</v>
      </c>
      <c r="G1906">
        <v>1340.1223144999999</v>
      </c>
      <c r="H1906">
        <v>1337.3885498</v>
      </c>
      <c r="I1906">
        <v>1326.9808350000001</v>
      </c>
      <c r="J1906">
        <v>1325.2133789</v>
      </c>
      <c r="K1906">
        <v>2400</v>
      </c>
      <c r="L1906">
        <v>0</v>
      </c>
      <c r="M1906">
        <v>0</v>
      </c>
      <c r="N1906">
        <v>2400</v>
      </c>
    </row>
    <row r="1907" spans="1:14" x14ac:dyDescent="0.25">
      <c r="A1907">
        <v>1099.688302</v>
      </c>
      <c r="B1907" s="1">
        <f>DATE(2013,5,4) + TIME(16,31,9)</f>
        <v>41398.688298611109</v>
      </c>
      <c r="C1907">
        <v>80</v>
      </c>
      <c r="D1907">
        <v>79.974922179999993</v>
      </c>
      <c r="E1907">
        <v>50</v>
      </c>
      <c r="F1907">
        <v>49.719558716000002</v>
      </c>
      <c r="G1907">
        <v>1340.1223144999999</v>
      </c>
      <c r="H1907">
        <v>1337.3902588000001</v>
      </c>
      <c r="I1907">
        <v>1326.9802245999999</v>
      </c>
      <c r="J1907">
        <v>1325.2126464999999</v>
      </c>
      <c r="K1907">
        <v>2400</v>
      </c>
      <c r="L1907">
        <v>0</v>
      </c>
      <c r="M1907">
        <v>0</v>
      </c>
      <c r="N1907">
        <v>2400</v>
      </c>
    </row>
    <row r="1908" spans="1:14" x14ac:dyDescent="0.25">
      <c r="A1908">
        <v>1099.8161110000001</v>
      </c>
      <c r="B1908" s="1">
        <f>DATE(2013,5,4) + TIME(19,35,11)</f>
        <v>41398.816099537034</v>
      </c>
      <c r="C1908">
        <v>80</v>
      </c>
      <c r="D1908">
        <v>79.975662231000001</v>
      </c>
      <c r="E1908">
        <v>50</v>
      </c>
      <c r="F1908">
        <v>49.712348937999998</v>
      </c>
      <c r="G1908">
        <v>1340.1217041</v>
      </c>
      <c r="H1908">
        <v>1337.3916016000001</v>
      </c>
      <c r="I1908">
        <v>1326.9796143000001</v>
      </c>
      <c r="J1908">
        <v>1325.2119141000001</v>
      </c>
      <c r="K1908">
        <v>2400</v>
      </c>
      <c r="L1908">
        <v>0</v>
      </c>
      <c r="M1908">
        <v>0</v>
      </c>
      <c r="N1908">
        <v>2400</v>
      </c>
    </row>
    <row r="1909" spans="1:14" x14ac:dyDescent="0.25">
      <c r="A1909">
        <v>1099.9474439999999</v>
      </c>
      <c r="B1909" s="1">
        <f>DATE(2013,5,4) + TIME(22,44,19)</f>
        <v>41398.947442129633</v>
      </c>
      <c r="C1909">
        <v>80</v>
      </c>
      <c r="D1909">
        <v>79.976242064999994</v>
      </c>
      <c r="E1909">
        <v>50</v>
      </c>
      <c r="F1909">
        <v>49.704978943</v>
      </c>
      <c r="G1909">
        <v>1340.1204834</v>
      </c>
      <c r="H1909">
        <v>1337.3925781</v>
      </c>
      <c r="I1909">
        <v>1326.9790039</v>
      </c>
      <c r="J1909">
        <v>1325.2110596</v>
      </c>
      <c r="K1909">
        <v>2400</v>
      </c>
      <c r="L1909">
        <v>0</v>
      </c>
      <c r="M1909">
        <v>0</v>
      </c>
      <c r="N1909">
        <v>2400</v>
      </c>
    </row>
    <row r="1910" spans="1:14" x14ac:dyDescent="0.25">
      <c r="A1910">
        <v>1100.0826480000001</v>
      </c>
      <c r="B1910" s="1">
        <f>DATE(2013,5,5) + TIME(1,59,0)</f>
        <v>41399.082638888889</v>
      </c>
      <c r="C1910">
        <v>80</v>
      </c>
      <c r="D1910">
        <v>79.976692200000002</v>
      </c>
      <c r="E1910">
        <v>50</v>
      </c>
      <c r="F1910">
        <v>49.697441101000003</v>
      </c>
      <c r="G1910">
        <v>1340.1188964999999</v>
      </c>
      <c r="H1910">
        <v>1337.3933105000001</v>
      </c>
      <c r="I1910">
        <v>1326.9783935999999</v>
      </c>
      <c r="J1910">
        <v>1325.2102050999999</v>
      </c>
      <c r="K1910">
        <v>2400</v>
      </c>
      <c r="L1910">
        <v>0</v>
      </c>
      <c r="M1910">
        <v>0</v>
      </c>
      <c r="N1910">
        <v>2400</v>
      </c>
    </row>
    <row r="1911" spans="1:14" x14ac:dyDescent="0.25">
      <c r="A1911">
        <v>1100.2221079999999</v>
      </c>
      <c r="B1911" s="1">
        <f>DATE(2013,5,5) + TIME(5,19,50)</f>
        <v>41399.22210648148</v>
      </c>
      <c r="C1911">
        <v>80</v>
      </c>
      <c r="D1911">
        <v>79.977035521999994</v>
      </c>
      <c r="E1911">
        <v>50</v>
      </c>
      <c r="F1911">
        <v>49.689712524000001</v>
      </c>
      <c r="G1911">
        <v>1340.1166992000001</v>
      </c>
      <c r="H1911">
        <v>1337.3936768000001</v>
      </c>
      <c r="I1911">
        <v>1326.9776611</v>
      </c>
      <c r="J1911">
        <v>1325.2093506000001</v>
      </c>
      <c r="K1911">
        <v>2400</v>
      </c>
      <c r="L1911">
        <v>0</v>
      </c>
      <c r="M1911">
        <v>0</v>
      </c>
      <c r="N1911">
        <v>2400</v>
      </c>
    </row>
    <row r="1912" spans="1:14" x14ac:dyDescent="0.25">
      <c r="A1912">
        <v>1100.3663079999999</v>
      </c>
      <c r="B1912" s="1">
        <f>DATE(2013,5,5) + TIME(8,47,29)</f>
        <v>41399.366307870368</v>
      </c>
      <c r="C1912">
        <v>80</v>
      </c>
      <c r="D1912">
        <v>79.977310181000007</v>
      </c>
      <c r="E1912">
        <v>50</v>
      </c>
      <c r="F1912">
        <v>49.681774138999998</v>
      </c>
      <c r="G1912">
        <v>1340.1141356999999</v>
      </c>
      <c r="H1912">
        <v>1337.3939209</v>
      </c>
      <c r="I1912">
        <v>1326.9769286999999</v>
      </c>
      <c r="J1912">
        <v>1325.208374</v>
      </c>
      <c r="K1912">
        <v>2400</v>
      </c>
      <c r="L1912">
        <v>0</v>
      </c>
      <c r="M1912">
        <v>0</v>
      </c>
      <c r="N1912">
        <v>2400</v>
      </c>
    </row>
    <row r="1913" spans="1:14" x14ac:dyDescent="0.25">
      <c r="A1913">
        <v>1100.5161559999999</v>
      </c>
      <c r="B1913" s="1">
        <f>DATE(2013,5,5) + TIME(12,23,15)</f>
        <v>41399.516145833331</v>
      </c>
      <c r="C1913">
        <v>80</v>
      </c>
      <c r="D1913">
        <v>79.977516174000002</v>
      </c>
      <c r="E1913">
        <v>50</v>
      </c>
      <c r="F1913">
        <v>49.673583983999997</v>
      </c>
      <c r="G1913">
        <v>1340.1110839999999</v>
      </c>
      <c r="H1913">
        <v>1337.3937988</v>
      </c>
      <c r="I1913">
        <v>1326.9761963000001</v>
      </c>
      <c r="J1913">
        <v>1325.2073975000001</v>
      </c>
      <c r="K1913">
        <v>2400</v>
      </c>
      <c r="L1913">
        <v>0</v>
      </c>
      <c r="M1913">
        <v>0</v>
      </c>
      <c r="N1913">
        <v>2400</v>
      </c>
    </row>
    <row r="1914" spans="1:14" x14ac:dyDescent="0.25">
      <c r="A1914">
        <v>1100.6707269999999</v>
      </c>
      <c r="B1914" s="1">
        <f>DATE(2013,5,5) + TIME(16,5,50)</f>
        <v>41399.670717592591</v>
      </c>
      <c r="C1914">
        <v>80</v>
      </c>
      <c r="D1914">
        <v>79.977668761999993</v>
      </c>
      <c r="E1914">
        <v>50</v>
      </c>
      <c r="F1914">
        <v>49.665184021000002</v>
      </c>
      <c r="G1914">
        <v>1340.1060791</v>
      </c>
      <c r="H1914">
        <v>1337.3924560999999</v>
      </c>
      <c r="I1914">
        <v>1326.9753418</v>
      </c>
      <c r="J1914">
        <v>1325.2062988</v>
      </c>
      <c r="K1914">
        <v>2400</v>
      </c>
      <c r="L1914">
        <v>0</v>
      </c>
      <c r="M1914">
        <v>0</v>
      </c>
      <c r="N1914">
        <v>2400</v>
      </c>
    </row>
    <row r="1915" spans="1:14" x14ac:dyDescent="0.25">
      <c r="A1915">
        <v>1100.8296379999999</v>
      </c>
      <c r="B1915" s="1">
        <f>DATE(2013,5,5) + TIME(19,54,40)</f>
        <v>41399.829629629632</v>
      </c>
      <c r="C1915">
        <v>80</v>
      </c>
      <c r="D1915">
        <v>79.977783203000001</v>
      </c>
      <c r="E1915">
        <v>50</v>
      </c>
      <c r="F1915">
        <v>49.656597136999999</v>
      </c>
      <c r="G1915">
        <v>1340.1007079999999</v>
      </c>
      <c r="H1915">
        <v>1337.3911132999999</v>
      </c>
      <c r="I1915">
        <v>1326.9744873</v>
      </c>
      <c r="J1915">
        <v>1325.2053223</v>
      </c>
      <c r="K1915">
        <v>2400</v>
      </c>
      <c r="L1915">
        <v>0</v>
      </c>
      <c r="M1915">
        <v>0</v>
      </c>
      <c r="N1915">
        <v>2400</v>
      </c>
    </row>
    <row r="1916" spans="1:14" x14ac:dyDescent="0.25">
      <c r="A1916">
        <v>1100.993326</v>
      </c>
      <c r="B1916" s="1">
        <f>DATE(2013,5,5) + TIME(23,50,23)</f>
        <v>41399.993321759262</v>
      </c>
      <c r="C1916">
        <v>80</v>
      </c>
      <c r="D1916">
        <v>79.977874756000006</v>
      </c>
      <c r="E1916">
        <v>50</v>
      </c>
      <c r="F1916">
        <v>49.647800445999998</v>
      </c>
      <c r="G1916">
        <v>1340.0952147999999</v>
      </c>
      <c r="H1916">
        <v>1337.3895264</v>
      </c>
      <c r="I1916">
        <v>1326.9736327999999</v>
      </c>
      <c r="J1916">
        <v>1325.2041016000001</v>
      </c>
      <c r="K1916">
        <v>2400</v>
      </c>
      <c r="L1916">
        <v>0</v>
      </c>
      <c r="M1916">
        <v>0</v>
      </c>
      <c r="N1916">
        <v>2400</v>
      </c>
    </row>
    <row r="1917" spans="1:14" x14ac:dyDescent="0.25">
      <c r="A1917">
        <v>1101.161484</v>
      </c>
      <c r="B1917" s="1">
        <f>DATE(2013,5,6) + TIME(3,52,32)</f>
        <v>41400.161481481482</v>
      </c>
      <c r="C1917">
        <v>80</v>
      </c>
      <c r="D1917">
        <v>79.977935790999993</v>
      </c>
      <c r="E1917">
        <v>50</v>
      </c>
      <c r="F1917">
        <v>49.638809203999998</v>
      </c>
      <c r="G1917">
        <v>1340.0894774999999</v>
      </c>
      <c r="H1917">
        <v>1337.3878173999999</v>
      </c>
      <c r="I1917">
        <v>1326.9726562000001</v>
      </c>
      <c r="J1917">
        <v>1325.2030029</v>
      </c>
      <c r="K1917">
        <v>2400</v>
      </c>
      <c r="L1917">
        <v>0</v>
      </c>
      <c r="M1917">
        <v>0</v>
      </c>
      <c r="N1917">
        <v>2400</v>
      </c>
    </row>
    <row r="1918" spans="1:14" x14ac:dyDescent="0.25">
      <c r="A1918">
        <v>1101.332028</v>
      </c>
      <c r="B1918" s="1">
        <f>DATE(2013,5,6) + TIME(7,58,7)</f>
        <v>41400.332025462965</v>
      </c>
      <c r="C1918">
        <v>80</v>
      </c>
      <c r="D1918">
        <v>79.977973938000005</v>
      </c>
      <c r="E1918">
        <v>50</v>
      </c>
      <c r="F1918">
        <v>49.629722594999997</v>
      </c>
      <c r="G1918">
        <v>1340.0834961</v>
      </c>
      <c r="H1918">
        <v>1337.3861084</v>
      </c>
      <c r="I1918">
        <v>1326.9718018000001</v>
      </c>
      <c r="J1918">
        <v>1325.2017822</v>
      </c>
      <c r="K1918">
        <v>2400</v>
      </c>
      <c r="L1918">
        <v>0</v>
      </c>
      <c r="M1918">
        <v>0</v>
      </c>
      <c r="N1918">
        <v>2400</v>
      </c>
    </row>
    <row r="1919" spans="1:14" x14ac:dyDescent="0.25">
      <c r="A1919">
        <v>1101.505476</v>
      </c>
      <c r="B1919" s="1">
        <f>DATE(2013,5,6) + TIME(12,7,53)</f>
        <v>41400.505474537036</v>
      </c>
      <c r="C1919">
        <v>80</v>
      </c>
      <c r="D1919">
        <v>79.977996825999995</v>
      </c>
      <c r="E1919">
        <v>50</v>
      </c>
      <c r="F1919">
        <v>49.620517731</v>
      </c>
      <c r="G1919">
        <v>1340.0775146000001</v>
      </c>
      <c r="H1919">
        <v>1337.3843993999999</v>
      </c>
      <c r="I1919">
        <v>1326.9708252</v>
      </c>
      <c r="J1919">
        <v>1325.2005615</v>
      </c>
      <c r="K1919">
        <v>2400</v>
      </c>
      <c r="L1919">
        <v>0</v>
      </c>
      <c r="M1919">
        <v>0</v>
      </c>
      <c r="N1919">
        <v>2400</v>
      </c>
    </row>
    <row r="1920" spans="1:14" x14ac:dyDescent="0.25">
      <c r="A1920">
        <v>1101.6823360000001</v>
      </c>
      <c r="B1920" s="1">
        <f>DATE(2013,5,6) + TIME(16,22,33)</f>
        <v>41400.682326388887</v>
      </c>
      <c r="C1920">
        <v>80</v>
      </c>
      <c r="D1920">
        <v>79.978012085000003</v>
      </c>
      <c r="E1920">
        <v>50</v>
      </c>
      <c r="F1920">
        <v>49.611175537000001</v>
      </c>
      <c r="G1920">
        <v>1340.0712891000001</v>
      </c>
      <c r="H1920">
        <v>1337.3824463000001</v>
      </c>
      <c r="I1920">
        <v>1326.9697266000001</v>
      </c>
      <c r="J1920">
        <v>1325.1992187999999</v>
      </c>
      <c r="K1920">
        <v>2400</v>
      </c>
      <c r="L1920">
        <v>0</v>
      </c>
      <c r="M1920">
        <v>0</v>
      </c>
      <c r="N1920">
        <v>2400</v>
      </c>
    </row>
    <row r="1921" spans="1:14" x14ac:dyDescent="0.25">
      <c r="A1921">
        <v>1101.863145</v>
      </c>
      <c r="B1921" s="1">
        <f>DATE(2013,5,6) + TIME(20,42,55)</f>
        <v>41400.863136574073</v>
      </c>
      <c r="C1921">
        <v>80</v>
      </c>
      <c r="D1921">
        <v>79.978019713999998</v>
      </c>
      <c r="E1921">
        <v>50</v>
      </c>
      <c r="F1921">
        <v>49.601676941000001</v>
      </c>
      <c r="G1921">
        <v>1340.0650635</v>
      </c>
      <c r="H1921">
        <v>1337.3806152</v>
      </c>
      <c r="I1921">
        <v>1326.96875</v>
      </c>
      <c r="J1921">
        <v>1325.197876</v>
      </c>
      <c r="K1921">
        <v>2400</v>
      </c>
      <c r="L1921">
        <v>0</v>
      </c>
      <c r="M1921">
        <v>0</v>
      </c>
      <c r="N1921">
        <v>2400</v>
      </c>
    </row>
    <row r="1922" spans="1:14" x14ac:dyDescent="0.25">
      <c r="A1922">
        <v>1102.04683</v>
      </c>
      <c r="B1922" s="1">
        <f>DATE(2013,5,7) + TIME(1,7,26)</f>
        <v>41401.0468287037</v>
      </c>
      <c r="C1922">
        <v>80</v>
      </c>
      <c r="D1922">
        <v>79.978019713999998</v>
      </c>
      <c r="E1922">
        <v>50</v>
      </c>
      <c r="F1922">
        <v>49.592063904</v>
      </c>
      <c r="G1922">
        <v>1340.0587158000001</v>
      </c>
      <c r="H1922">
        <v>1337.3786620999999</v>
      </c>
      <c r="I1922">
        <v>1326.9676514</v>
      </c>
      <c r="J1922">
        <v>1325.1965332</v>
      </c>
      <c r="K1922">
        <v>2400</v>
      </c>
      <c r="L1922">
        <v>0</v>
      </c>
      <c r="M1922">
        <v>0</v>
      </c>
      <c r="N1922">
        <v>2400</v>
      </c>
    </row>
    <row r="1923" spans="1:14" x14ac:dyDescent="0.25">
      <c r="A1923">
        <v>1102.233806</v>
      </c>
      <c r="B1923" s="1">
        <f>DATE(2013,5,7) + TIME(5,36,40)</f>
        <v>41401.233796296299</v>
      </c>
      <c r="C1923">
        <v>80</v>
      </c>
      <c r="D1923">
        <v>79.978012085000003</v>
      </c>
      <c r="E1923">
        <v>50</v>
      </c>
      <c r="F1923">
        <v>49.582328795999999</v>
      </c>
      <c r="G1923">
        <v>1340.0522461</v>
      </c>
      <c r="H1923">
        <v>1337.3767089999999</v>
      </c>
      <c r="I1923">
        <v>1326.9665527</v>
      </c>
      <c r="J1923">
        <v>1325.1950684000001</v>
      </c>
      <c r="K1923">
        <v>2400</v>
      </c>
      <c r="L1923">
        <v>0</v>
      </c>
      <c r="M1923">
        <v>0</v>
      </c>
      <c r="N1923">
        <v>2400</v>
      </c>
    </row>
    <row r="1924" spans="1:14" x14ac:dyDescent="0.25">
      <c r="A1924">
        <v>1102.4245659999999</v>
      </c>
      <c r="B1924" s="1">
        <f>DATE(2013,5,7) + TIME(10,11,22)</f>
        <v>41401.424560185187</v>
      </c>
      <c r="C1924">
        <v>80</v>
      </c>
      <c r="D1924">
        <v>79.977996825999995</v>
      </c>
      <c r="E1924">
        <v>50</v>
      </c>
      <c r="F1924">
        <v>49.572444916000002</v>
      </c>
      <c r="G1924">
        <v>1340.0457764</v>
      </c>
      <c r="H1924">
        <v>1337.3747559000001</v>
      </c>
      <c r="I1924">
        <v>1326.9654541</v>
      </c>
      <c r="J1924">
        <v>1325.1936035000001</v>
      </c>
      <c r="K1924">
        <v>2400</v>
      </c>
      <c r="L1924">
        <v>0</v>
      </c>
      <c r="M1924">
        <v>0</v>
      </c>
      <c r="N1924">
        <v>2400</v>
      </c>
    </row>
    <row r="1925" spans="1:14" x14ac:dyDescent="0.25">
      <c r="A1925">
        <v>1102.619635</v>
      </c>
      <c r="B1925" s="1">
        <f>DATE(2013,5,7) + TIME(14,52,16)</f>
        <v>41401.619629629633</v>
      </c>
      <c r="C1925">
        <v>80</v>
      </c>
      <c r="D1925">
        <v>79.977981567</v>
      </c>
      <c r="E1925">
        <v>50</v>
      </c>
      <c r="F1925">
        <v>49.562400818</v>
      </c>
      <c r="G1925">
        <v>1340.0391846</v>
      </c>
      <c r="H1925">
        <v>1337.3726807</v>
      </c>
      <c r="I1925">
        <v>1326.9643555</v>
      </c>
      <c r="J1925">
        <v>1325.1921387</v>
      </c>
      <c r="K1925">
        <v>2400</v>
      </c>
      <c r="L1925">
        <v>0</v>
      </c>
      <c r="M1925">
        <v>0</v>
      </c>
      <c r="N1925">
        <v>2400</v>
      </c>
    </row>
    <row r="1926" spans="1:14" x14ac:dyDescent="0.25">
      <c r="A1926">
        <v>1102.8195780000001</v>
      </c>
      <c r="B1926" s="1">
        <f>DATE(2013,5,7) + TIME(19,40,11)</f>
        <v>41401.819571759261</v>
      </c>
      <c r="C1926">
        <v>80</v>
      </c>
      <c r="D1926">
        <v>79.977958678999997</v>
      </c>
      <c r="E1926">
        <v>50</v>
      </c>
      <c r="F1926">
        <v>49.552165985000002</v>
      </c>
      <c r="G1926">
        <v>1340.0324707</v>
      </c>
      <c r="H1926">
        <v>1337.3706055</v>
      </c>
      <c r="I1926">
        <v>1326.9631348</v>
      </c>
      <c r="J1926">
        <v>1325.1905518000001</v>
      </c>
      <c r="K1926">
        <v>2400</v>
      </c>
      <c r="L1926">
        <v>0</v>
      </c>
      <c r="M1926">
        <v>0</v>
      </c>
      <c r="N1926">
        <v>2400</v>
      </c>
    </row>
    <row r="1927" spans="1:14" x14ac:dyDescent="0.25">
      <c r="A1927">
        <v>1103.0253600000001</v>
      </c>
      <c r="B1927" s="1">
        <f>DATE(2013,5,8) + TIME(0,36,31)</f>
        <v>41402.025358796294</v>
      </c>
      <c r="C1927">
        <v>80</v>
      </c>
      <c r="D1927">
        <v>79.977935790999993</v>
      </c>
      <c r="E1927">
        <v>50</v>
      </c>
      <c r="F1927">
        <v>49.541709900000001</v>
      </c>
      <c r="G1927">
        <v>1340.0257568</v>
      </c>
      <c r="H1927">
        <v>1337.3686522999999</v>
      </c>
      <c r="I1927">
        <v>1326.9617920000001</v>
      </c>
      <c r="J1927">
        <v>1325.1889647999999</v>
      </c>
      <c r="K1927">
        <v>2400</v>
      </c>
      <c r="L1927">
        <v>0</v>
      </c>
      <c r="M1927">
        <v>0</v>
      </c>
      <c r="N1927">
        <v>2400</v>
      </c>
    </row>
    <row r="1928" spans="1:14" x14ac:dyDescent="0.25">
      <c r="A1928">
        <v>1103.23541</v>
      </c>
      <c r="B1928" s="1">
        <f>DATE(2013,5,8) + TIME(5,38,59)</f>
        <v>41402.235405092593</v>
      </c>
      <c r="C1928">
        <v>80</v>
      </c>
      <c r="D1928">
        <v>79.977905273000005</v>
      </c>
      <c r="E1928">
        <v>50</v>
      </c>
      <c r="F1928">
        <v>49.531085967999999</v>
      </c>
      <c r="G1928">
        <v>1340.0189209</v>
      </c>
      <c r="H1928">
        <v>1337.3665771000001</v>
      </c>
      <c r="I1928">
        <v>1326.9605713000001</v>
      </c>
      <c r="J1928">
        <v>1325.1872559000001</v>
      </c>
      <c r="K1928">
        <v>2400</v>
      </c>
      <c r="L1928">
        <v>0</v>
      </c>
      <c r="M1928">
        <v>0</v>
      </c>
      <c r="N1928">
        <v>2400</v>
      </c>
    </row>
    <row r="1929" spans="1:14" x14ac:dyDescent="0.25">
      <c r="A1929">
        <v>1103.448067</v>
      </c>
      <c r="B1929" s="1">
        <f>DATE(2013,5,8) + TIME(10,45,12)</f>
        <v>41402.448055555556</v>
      </c>
      <c r="C1929">
        <v>80</v>
      </c>
      <c r="D1929">
        <v>79.977882385000001</v>
      </c>
      <c r="E1929">
        <v>50</v>
      </c>
      <c r="F1929">
        <v>49.520374298</v>
      </c>
      <c r="G1929">
        <v>1340.0120850000001</v>
      </c>
      <c r="H1929">
        <v>1337.3645019999999</v>
      </c>
      <c r="I1929">
        <v>1326.9592285000001</v>
      </c>
      <c r="J1929">
        <v>1325.1855469</v>
      </c>
      <c r="K1929">
        <v>2400</v>
      </c>
      <c r="L1929">
        <v>0</v>
      </c>
      <c r="M1929">
        <v>0</v>
      </c>
      <c r="N1929">
        <v>2400</v>
      </c>
    </row>
    <row r="1930" spans="1:14" x14ac:dyDescent="0.25">
      <c r="A1930">
        <v>1103.663771</v>
      </c>
      <c r="B1930" s="1">
        <f>DATE(2013,5,8) + TIME(15,55,49)</f>
        <v>41402.663761574076</v>
      </c>
      <c r="C1930">
        <v>80</v>
      </c>
      <c r="D1930">
        <v>79.977851868000002</v>
      </c>
      <c r="E1930">
        <v>50</v>
      </c>
      <c r="F1930">
        <v>49.509555816999999</v>
      </c>
      <c r="G1930">
        <v>1340.005249</v>
      </c>
      <c r="H1930">
        <v>1337.3624268000001</v>
      </c>
      <c r="I1930">
        <v>1326.9578856999999</v>
      </c>
      <c r="J1930">
        <v>1325.1837158000001</v>
      </c>
      <c r="K1930">
        <v>2400</v>
      </c>
      <c r="L1930">
        <v>0</v>
      </c>
      <c r="M1930">
        <v>0</v>
      </c>
      <c r="N1930">
        <v>2400</v>
      </c>
    </row>
    <row r="1931" spans="1:14" x14ac:dyDescent="0.25">
      <c r="A1931">
        <v>1103.883012</v>
      </c>
      <c r="B1931" s="1">
        <f>DATE(2013,5,8) + TIME(21,11,32)</f>
        <v>41402.883009259262</v>
      </c>
      <c r="C1931">
        <v>80</v>
      </c>
      <c r="D1931">
        <v>79.977813721000004</v>
      </c>
      <c r="E1931">
        <v>50</v>
      </c>
      <c r="F1931">
        <v>49.498615264999998</v>
      </c>
      <c r="G1931">
        <v>1339.9984131000001</v>
      </c>
      <c r="H1931">
        <v>1337.3603516000001</v>
      </c>
      <c r="I1931">
        <v>1326.9564209</v>
      </c>
      <c r="J1931">
        <v>1325.1818848</v>
      </c>
      <c r="K1931">
        <v>2400</v>
      </c>
      <c r="L1931">
        <v>0</v>
      </c>
      <c r="M1931">
        <v>0</v>
      </c>
      <c r="N1931">
        <v>2400</v>
      </c>
    </row>
    <row r="1932" spans="1:14" x14ac:dyDescent="0.25">
      <c r="A1932">
        <v>1104.106311</v>
      </c>
      <c r="B1932" s="1">
        <f>DATE(2013,5,9) + TIME(2,33,5)</f>
        <v>41403.106307870374</v>
      </c>
      <c r="C1932">
        <v>80</v>
      </c>
      <c r="D1932">
        <v>79.977783203000001</v>
      </c>
      <c r="E1932">
        <v>50</v>
      </c>
      <c r="F1932">
        <v>49.487533569</v>
      </c>
      <c r="G1932">
        <v>1339.9915771000001</v>
      </c>
      <c r="H1932">
        <v>1337.3582764</v>
      </c>
      <c r="I1932">
        <v>1326.9549560999999</v>
      </c>
      <c r="J1932">
        <v>1325.1799315999999</v>
      </c>
      <c r="K1932">
        <v>2400</v>
      </c>
      <c r="L1932">
        <v>0</v>
      </c>
      <c r="M1932">
        <v>0</v>
      </c>
      <c r="N1932">
        <v>2400</v>
      </c>
    </row>
    <row r="1933" spans="1:14" x14ac:dyDescent="0.25">
      <c r="A1933">
        <v>1104.3342239999999</v>
      </c>
      <c r="B1933" s="1">
        <f>DATE(2013,5,9) + TIME(8,1,16)</f>
        <v>41403.33421296296</v>
      </c>
      <c r="C1933">
        <v>80</v>
      </c>
      <c r="D1933">
        <v>79.977752686000002</v>
      </c>
      <c r="E1933">
        <v>50</v>
      </c>
      <c r="F1933">
        <v>49.476291656000001</v>
      </c>
      <c r="G1933">
        <v>1339.9848632999999</v>
      </c>
      <c r="H1933">
        <v>1337.3562012</v>
      </c>
      <c r="I1933">
        <v>1326.9534911999999</v>
      </c>
      <c r="J1933">
        <v>1325.1779785000001</v>
      </c>
      <c r="K1933">
        <v>2400</v>
      </c>
      <c r="L1933">
        <v>0</v>
      </c>
      <c r="M1933">
        <v>0</v>
      </c>
      <c r="N1933">
        <v>2400</v>
      </c>
    </row>
    <row r="1934" spans="1:14" x14ac:dyDescent="0.25">
      <c r="A1934">
        <v>1104.56735</v>
      </c>
      <c r="B1934" s="1">
        <f>DATE(2013,5,9) + TIME(13,36,59)</f>
        <v>41403.567349537036</v>
      </c>
      <c r="C1934">
        <v>80</v>
      </c>
      <c r="D1934">
        <v>79.977714539000004</v>
      </c>
      <c r="E1934">
        <v>50</v>
      </c>
      <c r="F1934">
        <v>49.464870453000003</v>
      </c>
      <c r="G1934">
        <v>1339.9780272999999</v>
      </c>
      <c r="H1934">
        <v>1337.354126</v>
      </c>
      <c r="I1934">
        <v>1326.9519043</v>
      </c>
      <c r="J1934">
        <v>1325.1759033000001</v>
      </c>
      <c r="K1934">
        <v>2400</v>
      </c>
      <c r="L1934">
        <v>0</v>
      </c>
      <c r="M1934">
        <v>0</v>
      </c>
      <c r="N1934">
        <v>2400</v>
      </c>
    </row>
    <row r="1935" spans="1:14" x14ac:dyDescent="0.25">
      <c r="A1935">
        <v>1104.8063400000001</v>
      </c>
      <c r="B1935" s="1">
        <f>DATE(2013,5,9) + TIME(19,21,7)</f>
        <v>41403.806331018517</v>
      </c>
      <c r="C1935">
        <v>80</v>
      </c>
      <c r="D1935">
        <v>79.977676392000006</v>
      </c>
      <c r="E1935">
        <v>50</v>
      </c>
      <c r="F1935">
        <v>49.453239441000001</v>
      </c>
      <c r="G1935">
        <v>1339.9710693</v>
      </c>
      <c r="H1935">
        <v>1337.3521728999999</v>
      </c>
      <c r="I1935">
        <v>1326.9503173999999</v>
      </c>
      <c r="J1935">
        <v>1325.1738281</v>
      </c>
      <c r="K1935">
        <v>2400</v>
      </c>
      <c r="L1935">
        <v>0</v>
      </c>
      <c r="M1935">
        <v>0</v>
      </c>
      <c r="N1935">
        <v>2400</v>
      </c>
    </row>
    <row r="1936" spans="1:14" x14ac:dyDescent="0.25">
      <c r="A1936">
        <v>1105.051911</v>
      </c>
      <c r="B1936" s="1">
        <f>DATE(2013,5,10) + TIME(1,14,45)</f>
        <v>41404.05190972222</v>
      </c>
      <c r="C1936">
        <v>80</v>
      </c>
      <c r="D1936">
        <v>79.977645874000004</v>
      </c>
      <c r="E1936">
        <v>50</v>
      </c>
      <c r="F1936">
        <v>49.441375731999997</v>
      </c>
      <c r="G1936">
        <v>1339.9642334</v>
      </c>
      <c r="H1936">
        <v>1337.3500977000001</v>
      </c>
      <c r="I1936">
        <v>1326.9487305</v>
      </c>
      <c r="J1936">
        <v>1325.1716309000001</v>
      </c>
      <c r="K1936">
        <v>2400</v>
      </c>
      <c r="L1936">
        <v>0</v>
      </c>
      <c r="M1936">
        <v>0</v>
      </c>
      <c r="N1936">
        <v>2400</v>
      </c>
    </row>
    <row r="1937" spans="1:14" x14ac:dyDescent="0.25">
      <c r="A1937">
        <v>1105.305233</v>
      </c>
      <c r="B1937" s="1">
        <f>DATE(2013,5,10) + TIME(7,19,32)</f>
        <v>41404.305231481485</v>
      </c>
      <c r="C1937">
        <v>80</v>
      </c>
      <c r="D1937">
        <v>79.977607727000006</v>
      </c>
      <c r="E1937">
        <v>50</v>
      </c>
      <c r="F1937">
        <v>49.429237366000002</v>
      </c>
      <c r="G1937">
        <v>1339.9572754000001</v>
      </c>
      <c r="H1937">
        <v>1337.3480225000001</v>
      </c>
      <c r="I1937">
        <v>1326.9470214999999</v>
      </c>
      <c r="J1937">
        <v>1325.1693115</v>
      </c>
      <c r="K1937">
        <v>2400</v>
      </c>
      <c r="L1937">
        <v>0</v>
      </c>
      <c r="M1937">
        <v>0</v>
      </c>
      <c r="N1937">
        <v>2400</v>
      </c>
    </row>
    <row r="1938" spans="1:14" x14ac:dyDescent="0.25">
      <c r="A1938">
        <v>1105.5626789999999</v>
      </c>
      <c r="B1938" s="1">
        <f>DATE(2013,5,10) + TIME(13,30,15)</f>
        <v>41404.562673611108</v>
      </c>
      <c r="C1938">
        <v>80</v>
      </c>
      <c r="D1938">
        <v>79.977569579999994</v>
      </c>
      <c r="E1938">
        <v>50</v>
      </c>
      <c r="F1938">
        <v>49.416950225999997</v>
      </c>
      <c r="G1938">
        <v>1339.9501952999999</v>
      </c>
      <c r="H1938">
        <v>1337.3460693</v>
      </c>
      <c r="I1938">
        <v>1326.9451904</v>
      </c>
      <c r="J1938">
        <v>1325.1668701000001</v>
      </c>
      <c r="K1938">
        <v>2400</v>
      </c>
      <c r="L1938">
        <v>0</v>
      </c>
      <c r="M1938">
        <v>0</v>
      </c>
      <c r="N1938">
        <v>2400</v>
      </c>
    </row>
    <row r="1939" spans="1:14" x14ac:dyDescent="0.25">
      <c r="A1939">
        <v>1105.824895</v>
      </c>
      <c r="B1939" s="1">
        <f>DATE(2013,5,10) + TIME(19,47,50)</f>
        <v>41404.824884259258</v>
      </c>
      <c r="C1939">
        <v>80</v>
      </c>
      <c r="D1939">
        <v>79.977531432999996</v>
      </c>
      <c r="E1939">
        <v>50</v>
      </c>
      <c r="F1939">
        <v>49.404499053999999</v>
      </c>
      <c r="G1939">
        <v>1339.9432373</v>
      </c>
      <c r="H1939">
        <v>1337.3439940999999</v>
      </c>
      <c r="I1939">
        <v>1326.9433594</v>
      </c>
      <c r="J1939">
        <v>1325.1644286999999</v>
      </c>
      <c r="K1939">
        <v>2400</v>
      </c>
      <c r="L1939">
        <v>0</v>
      </c>
      <c r="M1939">
        <v>0</v>
      </c>
      <c r="N1939">
        <v>2400</v>
      </c>
    </row>
    <row r="1940" spans="1:14" x14ac:dyDescent="0.25">
      <c r="A1940">
        <v>1106.092474</v>
      </c>
      <c r="B1940" s="1">
        <f>DATE(2013,5,11) + TIME(2,13,9)</f>
        <v>41405.092465277776</v>
      </c>
      <c r="C1940">
        <v>80</v>
      </c>
      <c r="D1940">
        <v>79.977485657000003</v>
      </c>
      <c r="E1940">
        <v>50</v>
      </c>
      <c r="F1940">
        <v>49.391868590999998</v>
      </c>
      <c r="G1940">
        <v>1339.9361572</v>
      </c>
      <c r="H1940">
        <v>1337.3420410000001</v>
      </c>
      <c r="I1940">
        <v>1326.9414062000001</v>
      </c>
      <c r="J1940">
        <v>1325.1618652</v>
      </c>
      <c r="K1940">
        <v>2400</v>
      </c>
      <c r="L1940">
        <v>0</v>
      </c>
      <c r="M1940">
        <v>0</v>
      </c>
      <c r="N1940">
        <v>2400</v>
      </c>
    </row>
    <row r="1941" spans="1:14" x14ac:dyDescent="0.25">
      <c r="A1941">
        <v>1106.36607</v>
      </c>
      <c r="B1941" s="1">
        <f>DATE(2013,5,11) + TIME(8,47,8)</f>
        <v>41405.366064814814</v>
      </c>
      <c r="C1941">
        <v>80</v>
      </c>
      <c r="D1941">
        <v>79.977447510000005</v>
      </c>
      <c r="E1941">
        <v>50</v>
      </c>
      <c r="F1941">
        <v>49.379035950000002</v>
      </c>
      <c r="G1941">
        <v>1339.9291992000001</v>
      </c>
      <c r="H1941">
        <v>1337.3400879000001</v>
      </c>
      <c r="I1941">
        <v>1326.9394531</v>
      </c>
      <c r="J1941">
        <v>1325.1591797000001</v>
      </c>
      <c r="K1941">
        <v>2400</v>
      </c>
      <c r="L1941">
        <v>0</v>
      </c>
      <c r="M1941">
        <v>0</v>
      </c>
      <c r="N1941">
        <v>2400</v>
      </c>
    </row>
    <row r="1942" spans="1:14" x14ac:dyDescent="0.25">
      <c r="A1942">
        <v>1106.646399</v>
      </c>
      <c r="B1942" s="1">
        <f>DATE(2013,5,11) + TIME(15,30,48)</f>
        <v>41405.64638888889</v>
      </c>
      <c r="C1942">
        <v>80</v>
      </c>
      <c r="D1942">
        <v>79.977409363000007</v>
      </c>
      <c r="E1942">
        <v>50</v>
      </c>
      <c r="F1942">
        <v>49.365978241000001</v>
      </c>
      <c r="G1942">
        <v>1339.9222411999999</v>
      </c>
      <c r="H1942">
        <v>1337.3380127</v>
      </c>
      <c r="I1942">
        <v>1326.9373779</v>
      </c>
      <c r="J1942">
        <v>1325.1563721</v>
      </c>
      <c r="K1942">
        <v>2400</v>
      </c>
      <c r="L1942">
        <v>0</v>
      </c>
      <c r="M1942">
        <v>0</v>
      </c>
      <c r="N1942">
        <v>2400</v>
      </c>
    </row>
    <row r="1943" spans="1:14" x14ac:dyDescent="0.25">
      <c r="A1943">
        <v>1106.9342509999999</v>
      </c>
      <c r="B1943" s="1">
        <f>DATE(2013,5,11) + TIME(22,25,19)</f>
        <v>41405.934247685182</v>
      </c>
      <c r="C1943">
        <v>80</v>
      </c>
      <c r="D1943">
        <v>79.977371215999995</v>
      </c>
      <c r="E1943">
        <v>50</v>
      </c>
      <c r="F1943">
        <v>49.352668762</v>
      </c>
      <c r="G1943">
        <v>1339.9151611</v>
      </c>
      <c r="H1943">
        <v>1337.3360596</v>
      </c>
      <c r="I1943">
        <v>1326.9351807</v>
      </c>
      <c r="J1943">
        <v>1325.1535644999999</v>
      </c>
      <c r="K1943">
        <v>2400</v>
      </c>
      <c r="L1943">
        <v>0</v>
      </c>
      <c r="M1943">
        <v>0</v>
      </c>
      <c r="N1943">
        <v>2400</v>
      </c>
    </row>
    <row r="1944" spans="1:14" x14ac:dyDescent="0.25">
      <c r="A1944">
        <v>1107.230505</v>
      </c>
      <c r="B1944" s="1">
        <f>DATE(2013,5,12) + TIME(5,31,55)</f>
        <v>41406.230497685188</v>
      </c>
      <c r="C1944">
        <v>80</v>
      </c>
      <c r="D1944">
        <v>79.977325438999998</v>
      </c>
      <c r="E1944">
        <v>50</v>
      </c>
      <c r="F1944">
        <v>49.339080811000002</v>
      </c>
      <c r="G1944">
        <v>1339.9082031</v>
      </c>
      <c r="H1944">
        <v>1337.3341064000001</v>
      </c>
      <c r="I1944">
        <v>1326.9329834</v>
      </c>
      <c r="J1944">
        <v>1325.1505127</v>
      </c>
      <c r="K1944">
        <v>2400</v>
      </c>
      <c r="L1944">
        <v>0</v>
      </c>
      <c r="M1944">
        <v>0</v>
      </c>
      <c r="N1944">
        <v>2400</v>
      </c>
    </row>
    <row r="1945" spans="1:14" x14ac:dyDescent="0.25">
      <c r="A1945">
        <v>1107.534952</v>
      </c>
      <c r="B1945" s="1">
        <f>DATE(2013,5,12) + TIME(12,50,19)</f>
        <v>41406.534942129627</v>
      </c>
      <c r="C1945">
        <v>80</v>
      </c>
      <c r="D1945">
        <v>79.977287292</v>
      </c>
      <c r="E1945">
        <v>50</v>
      </c>
      <c r="F1945">
        <v>49.325210571</v>
      </c>
      <c r="G1945">
        <v>1339.901001</v>
      </c>
      <c r="H1945">
        <v>1337.3321533000001</v>
      </c>
      <c r="I1945">
        <v>1326.9306641000001</v>
      </c>
      <c r="J1945">
        <v>1325.1473389</v>
      </c>
      <c r="K1945">
        <v>2400</v>
      </c>
      <c r="L1945">
        <v>0</v>
      </c>
      <c r="M1945">
        <v>0</v>
      </c>
      <c r="N1945">
        <v>2400</v>
      </c>
    </row>
    <row r="1946" spans="1:14" x14ac:dyDescent="0.25">
      <c r="A1946">
        <v>1107.84483</v>
      </c>
      <c r="B1946" s="1">
        <f>DATE(2013,5,12) + TIME(20,16,33)</f>
        <v>41406.844826388886</v>
      </c>
      <c r="C1946">
        <v>80</v>
      </c>
      <c r="D1946">
        <v>79.977241516000007</v>
      </c>
      <c r="E1946">
        <v>50</v>
      </c>
      <c r="F1946">
        <v>49.311161040999998</v>
      </c>
      <c r="G1946">
        <v>1339.8939209</v>
      </c>
      <c r="H1946">
        <v>1337.3303223</v>
      </c>
      <c r="I1946">
        <v>1326.9283447</v>
      </c>
      <c r="J1946">
        <v>1325.1441649999999</v>
      </c>
      <c r="K1946">
        <v>2400</v>
      </c>
      <c r="L1946">
        <v>0</v>
      </c>
      <c r="M1946">
        <v>0</v>
      </c>
      <c r="N1946">
        <v>2400</v>
      </c>
    </row>
    <row r="1947" spans="1:14" x14ac:dyDescent="0.25">
      <c r="A1947">
        <v>1108.161116</v>
      </c>
      <c r="B1947" s="1">
        <f>DATE(2013,5,13) + TIME(3,52,0)</f>
        <v>41407.161111111112</v>
      </c>
      <c r="C1947">
        <v>80</v>
      </c>
      <c r="D1947">
        <v>79.977203368999994</v>
      </c>
      <c r="E1947">
        <v>50</v>
      </c>
      <c r="F1947">
        <v>49.296905518000003</v>
      </c>
      <c r="G1947">
        <v>1339.8868408000001</v>
      </c>
      <c r="H1947">
        <v>1337.3283690999999</v>
      </c>
      <c r="I1947">
        <v>1326.9257812000001</v>
      </c>
      <c r="J1947">
        <v>1325.1407471</v>
      </c>
      <c r="K1947">
        <v>2400</v>
      </c>
      <c r="L1947">
        <v>0</v>
      </c>
      <c r="M1947">
        <v>0</v>
      </c>
      <c r="N1947">
        <v>2400</v>
      </c>
    </row>
    <row r="1948" spans="1:14" x14ac:dyDescent="0.25">
      <c r="A1948">
        <v>1108.485428</v>
      </c>
      <c r="B1948" s="1">
        <f>DATE(2013,5,13) + TIME(11,39,0)</f>
        <v>41407.48541666667</v>
      </c>
      <c r="C1948">
        <v>80</v>
      </c>
      <c r="D1948">
        <v>79.977157593000001</v>
      </c>
      <c r="E1948">
        <v>50</v>
      </c>
      <c r="F1948">
        <v>49.282394408999998</v>
      </c>
      <c r="G1948">
        <v>1339.8797606999999</v>
      </c>
      <c r="H1948">
        <v>1337.3264160000001</v>
      </c>
      <c r="I1948">
        <v>1326.9232178</v>
      </c>
      <c r="J1948">
        <v>1325.137207</v>
      </c>
      <c r="K1948">
        <v>2400</v>
      </c>
      <c r="L1948">
        <v>0</v>
      </c>
      <c r="M1948">
        <v>0</v>
      </c>
      <c r="N1948">
        <v>2400</v>
      </c>
    </row>
    <row r="1949" spans="1:14" x14ac:dyDescent="0.25">
      <c r="A1949">
        <v>1108.8154770000001</v>
      </c>
      <c r="B1949" s="1">
        <f>DATE(2013,5,13) + TIME(19,34,17)</f>
        <v>41407.815474537034</v>
      </c>
      <c r="C1949">
        <v>80</v>
      </c>
      <c r="D1949">
        <v>79.977119446000003</v>
      </c>
      <c r="E1949">
        <v>50</v>
      </c>
      <c r="F1949">
        <v>49.267704010000003</v>
      </c>
      <c r="G1949">
        <v>1339.8726807</v>
      </c>
      <c r="H1949">
        <v>1337.3245850000001</v>
      </c>
      <c r="I1949">
        <v>1326.9206543</v>
      </c>
      <c r="J1949">
        <v>1325.1335449000001</v>
      </c>
      <c r="K1949">
        <v>2400</v>
      </c>
      <c r="L1949">
        <v>0</v>
      </c>
      <c r="M1949">
        <v>0</v>
      </c>
      <c r="N1949">
        <v>2400</v>
      </c>
    </row>
    <row r="1950" spans="1:14" x14ac:dyDescent="0.25">
      <c r="A1950">
        <v>1109.1489799999999</v>
      </c>
      <c r="B1950" s="1">
        <f>DATE(2013,5,14) + TIME(3,34,31)</f>
        <v>41408.148969907408</v>
      </c>
      <c r="C1950">
        <v>80</v>
      </c>
      <c r="D1950">
        <v>79.977073669000006</v>
      </c>
      <c r="E1950">
        <v>50</v>
      </c>
      <c r="F1950">
        <v>49.252914429</v>
      </c>
      <c r="G1950">
        <v>1339.8656006000001</v>
      </c>
      <c r="H1950">
        <v>1337.3227539</v>
      </c>
      <c r="I1950">
        <v>1326.9178466999999</v>
      </c>
      <c r="J1950">
        <v>1325.1298827999999</v>
      </c>
      <c r="K1950">
        <v>2400</v>
      </c>
      <c r="L1950">
        <v>0</v>
      </c>
      <c r="M1950">
        <v>0</v>
      </c>
      <c r="N1950">
        <v>2400</v>
      </c>
    </row>
    <row r="1951" spans="1:14" x14ac:dyDescent="0.25">
      <c r="A1951">
        <v>1109.486791</v>
      </c>
      <c r="B1951" s="1">
        <f>DATE(2013,5,14) + TIME(11,40,58)</f>
        <v>41408.48678240741</v>
      </c>
      <c r="C1951">
        <v>80</v>
      </c>
      <c r="D1951">
        <v>79.977035521999994</v>
      </c>
      <c r="E1951">
        <v>50</v>
      </c>
      <c r="F1951">
        <v>49.238014221</v>
      </c>
      <c r="G1951">
        <v>1339.8586425999999</v>
      </c>
      <c r="H1951">
        <v>1337.3209228999999</v>
      </c>
      <c r="I1951">
        <v>1326.9150391000001</v>
      </c>
      <c r="J1951">
        <v>1325.1259766000001</v>
      </c>
      <c r="K1951">
        <v>2400</v>
      </c>
      <c r="L1951">
        <v>0</v>
      </c>
      <c r="M1951">
        <v>0</v>
      </c>
      <c r="N1951">
        <v>2400</v>
      </c>
    </row>
    <row r="1952" spans="1:14" x14ac:dyDescent="0.25">
      <c r="A1952">
        <v>1109.8298339999999</v>
      </c>
      <c r="B1952" s="1">
        <f>DATE(2013,5,14) + TIME(19,54,57)</f>
        <v>41408.829826388886</v>
      </c>
      <c r="C1952">
        <v>80</v>
      </c>
      <c r="D1952">
        <v>79.976989746000001</v>
      </c>
      <c r="E1952">
        <v>50</v>
      </c>
      <c r="F1952">
        <v>49.222976684999999</v>
      </c>
      <c r="G1952">
        <v>1339.8518065999999</v>
      </c>
      <c r="H1952">
        <v>1337.3190918</v>
      </c>
      <c r="I1952">
        <v>1326.9122314000001</v>
      </c>
      <c r="J1952">
        <v>1325.1219481999999</v>
      </c>
      <c r="K1952">
        <v>2400</v>
      </c>
      <c r="L1952">
        <v>0</v>
      </c>
      <c r="M1952">
        <v>0</v>
      </c>
      <c r="N1952">
        <v>2400</v>
      </c>
    </row>
    <row r="1953" spans="1:14" x14ac:dyDescent="0.25">
      <c r="A1953">
        <v>1110.1790679999999</v>
      </c>
      <c r="B1953" s="1">
        <f>DATE(2013,5,15) + TIME(4,17,51)</f>
        <v>41409.179062499999</v>
      </c>
      <c r="C1953">
        <v>80</v>
      </c>
      <c r="D1953">
        <v>79.976951599000003</v>
      </c>
      <c r="E1953">
        <v>50</v>
      </c>
      <c r="F1953">
        <v>49.207778931</v>
      </c>
      <c r="G1953">
        <v>1339.8449707</v>
      </c>
      <c r="H1953">
        <v>1337.3172606999999</v>
      </c>
      <c r="I1953">
        <v>1326.9091797000001</v>
      </c>
      <c r="J1953">
        <v>1325.1179199000001</v>
      </c>
      <c r="K1953">
        <v>2400</v>
      </c>
      <c r="L1953">
        <v>0</v>
      </c>
      <c r="M1953">
        <v>0</v>
      </c>
      <c r="N1953">
        <v>2400</v>
      </c>
    </row>
    <row r="1954" spans="1:14" x14ac:dyDescent="0.25">
      <c r="A1954">
        <v>1110.535525</v>
      </c>
      <c r="B1954" s="1">
        <f>DATE(2013,5,15) + TIME(12,51,9)</f>
        <v>41409.535520833335</v>
      </c>
      <c r="C1954">
        <v>80</v>
      </c>
      <c r="D1954">
        <v>79.976905822999996</v>
      </c>
      <c r="E1954">
        <v>50</v>
      </c>
      <c r="F1954">
        <v>49.192390441999997</v>
      </c>
      <c r="G1954">
        <v>1339.8381348</v>
      </c>
      <c r="H1954">
        <v>1337.3155518000001</v>
      </c>
      <c r="I1954">
        <v>1326.9061279</v>
      </c>
      <c r="J1954">
        <v>1325.1136475000001</v>
      </c>
      <c r="K1954">
        <v>2400</v>
      </c>
      <c r="L1954">
        <v>0</v>
      </c>
      <c r="M1954">
        <v>0</v>
      </c>
      <c r="N1954">
        <v>2400</v>
      </c>
    </row>
    <row r="1955" spans="1:14" x14ac:dyDescent="0.25">
      <c r="A1955">
        <v>1110.900705</v>
      </c>
      <c r="B1955" s="1">
        <f>DATE(2013,5,15) + TIME(21,37,0)</f>
        <v>41409.900694444441</v>
      </c>
      <c r="C1955">
        <v>80</v>
      </c>
      <c r="D1955">
        <v>79.976867675999998</v>
      </c>
      <c r="E1955">
        <v>50</v>
      </c>
      <c r="F1955">
        <v>49.176765441999997</v>
      </c>
      <c r="G1955">
        <v>1339.8314209</v>
      </c>
      <c r="H1955">
        <v>1337.3138428</v>
      </c>
      <c r="I1955">
        <v>1326.9029541</v>
      </c>
      <c r="J1955">
        <v>1325.109375</v>
      </c>
      <c r="K1955">
        <v>2400</v>
      </c>
      <c r="L1955">
        <v>0</v>
      </c>
      <c r="M1955">
        <v>0</v>
      </c>
      <c r="N1955">
        <v>2400</v>
      </c>
    </row>
    <row r="1956" spans="1:14" x14ac:dyDescent="0.25">
      <c r="A1956">
        <v>1111.27385</v>
      </c>
      <c r="B1956" s="1">
        <f>DATE(2013,5,16) + TIME(6,34,20)</f>
        <v>41410.273842592593</v>
      </c>
      <c r="C1956">
        <v>80</v>
      </c>
      <c r="D1956">
        <v>79.976821899000001</v>
      </c>
      <c r="E1956">
        <v>50</v>
      </c>
      <c r="F1956">
        <v>49.160923003999997</v>
      </c>
      <c r="G1956">
        <v>1339.8245850000001</v>
      </c>
      <c r="H1956">
        <v>1337.3121338000001</v>
      </c>
      <c r="I1956">
        <v>1326.8997803</v>
      </c>
      <c r="J1956">
        <v>1325.1047363</v>
      </c>
      <c r="K1956">
        <v>2400</v>
      </c>
      <c r="L1956">
        <v>0</v>
      </c>
      <c r="M1956">
        <v>0</v>
      </c>
      <c r="N1956">
        <v>2400</v>
      </c>
    </row>
    <row r="1957" spans="1:14" x14ac:dyDescent="0.25">
      <c r="A1957">
        <v>1111.6580489999999</v>
      </c>
      <c r="B1957" s="1">
        <f>DATE(2013,5,16) + TIME(15,47,35)</f>
        <v>41410.658043981479</v>
      </c>
      <c r="C1957">
        <v>80</v>
      </c>
      <c r="D1957">
        <v>79.976783752000003</v>
      </c>
      <c r="E1957">
        <v>50</v>
      </c>
      <c r="F1957">
        <v>49.144767760999997</v>
      </c>
      <c r="G1957">
        <v>1339.8178711</v>
      </c>
      <c r="H1957">
        <v>1337.3104248</v>
      </c>
      <c r="I1957">
        <v>1326.8963623</v>
      </c>
      <c r="J1957">
        <v>1325.1000977000001</v>
      </c>
      <c r="K1957">
        <v>2400</v>
      </c>
      <c r="L1957">
        <v>0</v>
      </c>
      <c r="M1957">
        <v>0</v>
      </c>
      <c r="N1957">
        <v>2400</v>
      </c>
    </row>
    <row r="1958" spans="1:14" x14ac:dyDescent="0.25">
      <c r="A1958">
        <v>1112.056268</v>
      </c>
      <c r="B1958" s="1">
        <f>DATE(2013,5,17) + TIME(1,21,1)</f>
        <v>41411.056261574071</v>
      </c>
      <c r="C1958">
        <v>80</v>
      </c>
      <c r="D1958">
        <v>79.976737975999995</v>
      </c>
      <c r="E1958">
        <v>50</v>
      </c>
      <c r="F1958">
        <v>49.128215789999999</v>
      </c>
      <c r="G1958">
        <v>1339.8110352000001</v>
      </c>
      <c r="H1958">
        <v>1337.3087158000001</v>
      </c>
      <c r="I1958">
        <v>1326.8928223</v>
      </c>
      <c r="J1958">
        <v>1325.0952147999999</v>
      </c>
      <c r="K1958">
        <v>2400</v>
      </c>
      <c r="L1958">
        <v>0</v>
      </c>
      <c r="M1958">
        <v>0</v>
      </c>
      <c r="N1958">
        <v>2400</v>
      </c>
    </row>
    <row r="1959" spans="1:14" x14ac:dyDescent="0.25">
      <c r="A1959">
        <v>1112.4706839999999</v>
      </c>
      <c r="B1959" s="1">
        <f>DATE(2013,5,17) + TIME(11,17,47)</f>
        <v>41411.470682870371</v>
      </c>
      <c r="C1959">
        <v>80</v>
      </c>
      <c r="D1959">
        <v>79.976699828999998</v>
      </c>
      <c r="E1959">
        <v>50</v>
      </c>
      <c r="F1959">
        <v>49.111186981000003</v>
      </c>
      <c r="G1959">
        <v>1339.8040771000001</v>
      </c>
      <c r="H1959">
        <v>1337.3070068</v>
      </c>
      <c r="I1959">
        <v>1326.8891602000001</v>
      </c>
      <c r="J1959">
        <v>1325.0900879000001</v>
      </c>
      <c r="K1959">
        <v>2400</v>
      </c>
      <c r="L1959">
        <v>0</v>
      </c>
      <c r="M1959">
        <v>0</v>
      </c>
      <c r="N1959">
        <v>2400</v>
      </c>
    </row>
    <row r="1960" spans="1:14" x14ac:dyDescent="0.25">
      <c r="A1960">
        <v>1112.8881280000001</v>
      </c>
      <c r="B1960" s="1">
        <f>DATE(2013,5,17) + TIME(21,18,54)</f>
        <v>41411.888124999998</v>
      </c>
      <c r="C1960">
        <v>80</v>
      </c>
      <c r="D1960">
        <v>79.976654053000004</v>
      </c>
      <c r="E1960">
        <v>50</v>
      </c>
      <c r="F1960">
        <v>49.094032288000001</v>
      </c>
      <c r="G1960">
        <v>1339.7971190999999</v>
      </c>
      <c r="H1960">
        <v>1337.3052978999999</v>
      </c>
      <c r="I1960">
        <v>1326.8852539</v>
      </c>
      <c r="J1960">
        <v>1325.0845947</v>
      </c>
      <c r="K1960">
        <v>2400</v>
      </c>
      <c r="L1960">
        <v>0</v>
      </c>
      <c r="M1960">
        <v>0</v>
      </c>
      <c r="N1960">
        <v>2400</v>
      </c>
    </row>
    <row r="1961" spans="1:14" x14ac:dyDescent="0.25">
      <c r="A1961">
        <v>1113.309358</v>
      </c>
      <c r="B1961" s="1">
        <f>DATE(2013,5,18) + TIME(7,25,28)</f>
        <v>41412.309351851851</v>
      </c>
      <c r="C1961">
        <v>80</v>
      </c>
      <c r="D1961">
        <v>79.976608275999993</v>
      </c>
      <c r="E1961">
        <v>50</v>
      </c>
      <c r="F1961">
        <v>49.076774596999996</v>
      </c>
      <c r="G1961">
        <v>1339.7901611</v>
      </c>
      <c r="H1961">
        <v>1337.3035889</v>
      </c>
      <c r="I1961">
        <v>1326.8813477000001</v>
      </c>
      <c r="J1961">
        <v>1325.0791016000001</v>
      </c>
      <c r="K1961">
        <v>2400</v>
      </c>
      <c r="L1961">
        <v>0</v>
      </c>
      <c r="M1961">
        <v>0</v>
      </c>
      <c r="N1961">
        <v>2400</v>
      </c>
    </row>
    <row r="1962" spans="1:14" x14ac:dyDescent="0.25">
      <c r="A1962">
        <v>1113.7355070000001</v>
      </c>
      <c r="B1962" s="1">
        <f>DATE(2013,5,18) + TIME(17,39,7)</f>
        <v>41412.735497685186</v>
      </c>
      <c r="C1962">
        <v>80</v>
      </c>
      <c r="D1962">
        <v>79.976570128999995</v>
      </c>
      <c r="E1962">
        <v>50</v>
      </c>
      <c r="F1962">
        <v>49.059410094999997</v>
      </c>
      <c r="G1962">
        <v>1339.7834473</v>
      </c>
      <c r="H1962">
        <v>1337.3020019999999</v>
      </c>
      <c r="I1962">
        <v>1326.8773193</v>
      </c>
      <c r="J1962">
        <v>1325.0734863</v>
      </c>
      <c r="K1962">
        <v>2400</v>
      </c>
      <c r="L1962">
        <v>0</v>
      </c>
      <c r="M1962">
        <v>0</v>
      </c>
      <c r="N1962">
        <v>2400</v>
      </c>
    </row>
    <row r="1963" spans="1:14" x14ac:dyDescent="0.25">
      <c r="A1963">
        <v>1114.16767</v>
      </c>
      <c r="B1963" s="1">
        <f>DATE(2013,5,19) + TIME(4,1,26)</f>
        <v>41413.167662037034</v>
      </c>
      <c r="C1963">
        <v>80</v>
      </c>
      <c r="D1963">
        <v>79.976524353000002</v>
      </c>
      <c r="E1963">
        <v>50</v>
      </c>
      <c r="F1963">
        <v>49.041919708000002</v>
      </c>
      <c r="G1963">
        <v>1339.7767334</v>
      </c>
      <c r="H1963">
        <v>1337.3004149999999</v>
      </c>
      <c r="I1963">
        <v>1326.8731689000001</v>
      </c>
      <c r="J1963">
        <v>1325.067749</v>
      </c>
      <c r="K1963">
        <v>2400</v>
      </c>
      <c r="L1963">
        <v>0</v>
      </c>
      <c r="M1963">
        <v>0</v>
      </c>
      <c r="N1963">
        <v>2400</v>
      </c>
    </row>
    <row r="1964" spans="1:14" x14ac:dyDescent="0.25">
      <c r="A1964">
        <v>1114.60688</v>
      </c>
      <c r="B1964" s="1">
        <f>DATE(2013,5,19) + TIME(14,33,54)</f>
        <v>41413.606874999998</v>
      </c>
      <c r="C1964">
        <v>80</v>
      </c>
      <c r="D1964">
        <v>79.976486206000004</v>
      </c>
      <c r="E1964">
        <v>50</v>
      </c>
      <c r="F1964">
        <v>49.024288177000003</v>
      </c>
      <c r="G1964">
        <v>1339.7700195</v>
      </c>
      <c r="H1964">
        <v>1337.2988281</v>
      </c>
      <c r="I1964">
        <v>1326.8690185999999</v>
      </c>
      <c r="J1964">
        <v>1325.0617675999999</v>
      </c>
      <c r="K1964">
        <v>2400</v>
      </c>
      <c r="L1964">
        <v>0</v>
      </c>
      <c r="M1964">
        <v>0</v>
      </c>
      <c r="N1964">
        <v>2400</v>
      </c>
    </row>
    <row r="1965" spans="1:14" x14ac:dyDescent="0.25">
      <c r="A1965">
        <v>1115.0543660000001</v>
      </c>
      <c r="B1965" s="1">
        <f>DATE(2013,5,20) + TIME(1,18,17)</f>
        <v>41414.054363425923</v>
      </c>
      <c r="C1965">
        <v>80</v>
      </c>
      <c r="D1965">
        <v>79.976440429999997</v>
      </c>
      <c r="E1965">
        <v>50</v>
      </c>
      <c r="F1965">
        <v>49.006481170999997</v>
      </c>
      <c r="G1965">
        <v>1339.7634277</v>
      </c>
      <c r="H1965">
        <v>1337.2972411999999</v>
      </c>
      <c r="I1965">
        <v>1326.864624</v>
      </c>
      <c r="J1965">
        <v>1325.0556641000001</v>
      </c>
      <c r="K1965">
        <v>2400</v>
      </c>
      <c r="L1965">
        <v>0</v>
      </c>
      <c r="M1965">
        <v>0</v>
      </c>
      <c r="N1965">
        <v>2400</v>
      </c>
    </row>
    <row r="1966" spans="1:14" x14ac:dyDescent="0.25">
      <c r="A1966">
        <v>1115.5114450000001</v>
      </c>
      <c r="B1966" s="1">
        <f>DATE(2013,5,20) + TIME(12,16,28)</f>
        <v>41414.511435185188</v>
      </c>
      <c r="C1966">
        <v>80</v>
      </c>
      <c r="D1966">
        <v>79.976402282999999</v>
      </c>
      <c r="E1966">
        <v>50</v>
      </c>
      <c r="F1966">
        <v>48.988464354999998</v>
      </c>
      <c r="G1966">
        <v>1339.7569579999999</v>
      </c>
      <c r="H1966">
        <v>1337.2956543</v>
      </c>
      <c r="I1966">
        <v>1326.8601074000001</v>
      </c>
      <c r="J1966">
        <v>1325.0493164</v>
      </c>
      <c r="K1966">
        <v>2400</v>
      </c>
      <c r="L1966">
        <v>0</v>
      </c>
      <c r="M1966">
        <v>0</v>
      </c>
      <c r="N1966">
        <v>2400</v>
      </c>
    </row>
    <row r="1967" spans="1:14" x14ac:dyDescent="0.25">
      <c r="A1967">
        <v>1115.9796899999999</v>
      </c>
      <c r="B1967" s="1">
        <f>DATE(2013,5,20) + TIME(23,30,45)</f>
        <v>41414.979687500003</v>
      </c>
      <c r="C1967">
        <v>80</v>
      </c>
      <c r="D1967">
        <v>79.976356506000002</v>
      </c>
      <c r="E1967">
        <v>50</v>
      </c>
      <c r="F1967">
        <v>48.970191956000001</v>
      </c>
      <c r="G1967">
        <v>1339.7503661999999</v>
      </c>
      <c r="H1967">
        <v>1337.2941894999999</v>
      </c>
      <c r="I1967">
        <v>1326.8555908000001</v>
      </c>
      <c r="J1967">
        <v>1325.0428466999999</v>
      </c>
      <c r="K1967">
        <v>2400</v>
      </c>
      <c r="L1967">
        <v>0</v>
      </c>
      <c r="M1967">
        <v>0</v>
      </c>
      <c r="N1967">
        <v>2400</v>
      </c>
    </row>
    <row r="1968" spans="1:14" x14ac:dyDescent="0.25">
      <c r="A1968">
        <v>1116.4570639999999</v>
      </c>
      <c r="B1968" s="1">
        <f>DATE(2013,5,21) + TIME(10,58,10)</f>
        <v>41415.457060185188</v>
      </c>
      <c r="C1968">
        <v>80</v>
      </c>
      <c r="D1968">
        <v>79.976318359000004</v>
      </c>
      <c r="E1968">
        <v>50</v>
      </c>
      <c r="F1968">
        <v>48.951705933</v>
      </c>
      <c r="G1968">
        <v>1339.7438964999999</v>
      </c>
      <c r="H1968">
        <v>1337.2926024999999</v>
      </c>
      <c r="I1968">
        <v>1326.8508300999999</v>
      </c>
      <c r="J1968">
        <v>1325.0360106999999</v>
      </c>
      <c r="K1968">
        <v>2400</v>
      </c>
      <c r="L1968">
        <v>0</v>
      </c>
      <c r="M1968">
        <v>0</v>
      </c>
      <c r="N1968">
        <v>2400</v>
      </c>
    </row>
    <row r="1969" spans="1:14" x14ac:dyDescent="0.25">
      <c r="A1969">
        <v>1116.939404</v>
      </c>
      <c r="B1969" s="1">
        <f>DATE(2013,5,21) + TIME(22,32,44)</f>
        <v>41415.939398148148</v>
      </c>
      <c r="C1969">
        <v>80</v>
      </c>
      <c r="D1969">
        <v>79.976280212000006</v>
      </c>
      <c r="E1969">
        <v>50</v>
      </c>
      <c r="F1969">
        <v>48.933116912999999</v>
      </c>
      <c r="G1969">
        <v>1339.7373047000001</v>
      </c>
      <c r="H1969">
        <v>1337.2911377</v>
      </c>
      <c r="I1969">
        <v>1326.8458252</v>
      </c>
      <c r="J1969">
        <v>1325.0291748</v>
      </c>
      <c r="K1969">
        <v>2400</v>
      </c>
      <c r="L1969">
        <v>0</v>
      </c>
      <c r="M1969">
        <v>0</v>
      </c>
      <c r="N1969">
        <v>2400</v>
      </c>
    </row>
    <row r="1970" spans="1:14" x14ac:dyDescent="0.25">
      <c r="A1970">
        <v>1117.428132</v>
      </c>
      <c r="B1970" s="1">
        <f>DATE(2013,5,22) + TIME(10,16,30)</f>
        <v>41416.428124999999</v>
      </c>
      <c r="C1970">
        <v>80</v>
      </c>
      <c r="D1970">
        <v>79.976234435999999</v>
      </c>
      <c r="E1970">
        <v>50</v>
      </c>
      <c r="F1970">
        <v>48.914409636999999</v>
      </c>
      <c r="G1970">
        <v>1339.7308350000001</v>
      </c>
      <c r="H1970">
        <v>1337.2895507999999</v>
      </c>
      <c r="I1970">
        <v>1326.8408202999999</v>
      </c>
      <c r="J1970">
        <v>1325.0219727000001</v>
      </c>
      <c r="K1970">
        <v>2400</v>
      </c>
      <c r="L1970">
        <v>0</v>
      </c>
      <c r="M1970">
        <v>0</v>
      </c>
      <c r="N1970">
        <v>2400</v>
      </c>
    </row>
    <row r="1971" spans="1:14" x14ac:dyDescent="0.25">
      <c r="A1971">
        <v>1117.9250569999999</v>
      </c>
      <c r="B1971" s="1">
        <f>DATE(2013,5,22) + TIME(22,12,4)</f>
        <v>41416.925046296295</v>
      </c>
      <c r="C1971">
        <v>80</v>
      </c>
      <c r="D1971">
        <v>79.976196289000001</v>
      </c>
      <c r="E1971">
        <v>50</v>
      </c>
      <c r="F1971">
        <v>48.895557404000002</v>
      </c>
      <c r="G1971">
        <v>1339.7244873</v>
      </c>
      <c r="H1971">
        <v>1337.2880858999999</v>
      </c>
      <c r="I1971">
        <v>1326.8358154</v>
      </c>
      <c r="J1971">
        <v>1325.0147704999999</v>
      </c>
      <c r="K1971">
        <v>2400</v>
      </c>
      <c r="L1971">
        <v>0</v>
      </c>
      <c r="M1971">
        <v>0</v>
      </c>
      <c r="N1971">
        <v>2400</v>
      </c>
    </row>
    <row r="1972" spans="1:14" x14ac:dyDescent="0.25">
      <c r="A1972">
        <v>1118.4319499999999</v>
      </c>
      <c r="B1972" s="1">
        <f>DATE(2013,5,23) + TIME(10,22,0)</f>
        <v>41417.431944444441</v>
      </c>
      <c r="C1972">
        <v>80</v>
      </c>
      <c r="D1972">
        <v>79.976158142000003</v>
      </c>
      <c r="E1972">
        <v>50</v>
      </c>
      <c r="F1972">
        <v>48.876514434999997</v>
      </c>
      <c r="G1972">
        <v>1339.7181396000001</v>
      </c>
      <c r="H1972">
        <v>1337.2866211</v>
      </c>
      <c r="I1972">
        <v>1326.8305664</v>
      </c>
      <c r="J1972">
        <v>1325.0073242000001</v>
      </c>
      <c r="K1972">
        <v>2400</v>
      </c>
      <c r="L1972">
        <v>0</v>
      </c>
      <c r="M1972">
        <v>0</v>
      </c>
      <c r="N1972">
        <v>2400</v>
      </c>
    </row>
    <row r="1973" spans="1:14" x14ac:dyDescent="0.25">
      <c r="A1973">
        <v>1118.9536579999999</v>
      </c>
      <c r="B1973" s="1">
        <f>DATE(2013,5,23) + TIME(22,53,16)</f>
        <v>41417.953657407408</v>
      </c>
      <c r="C1973">
        <v>80</v>
      </c>
      <c r="D1973">
        <v>79.976119995000005</v>
      </c>
      <c r="E1973">
        <v>50</v>
      </c>
      <c r="F1973">
        <v>48.857162475999999</v>
      </c>
      <c r="G1973">
        <v>1339.7117920000001</v>
      </c>
      <c r="H1973">
        <v>1337.2851562000001</v>
      </c>
      <c r="I1973">
        <v>1326.8250731999999</v>
      </c>
      <c r="J1973">
        <v>1324.9996338000001</v>
      </c>
      <c r="K1973">
        <v>2400</v>
      </c>
      <c r="L1973">
        <v>0</v>
      </c>
      <c r="M1973">
        <v>0</v>
      </c>
      <c r="N1973">
        <v>2400</v>
      </c>
    </row>
    <row r="1974" spans="1:14" x14ac:dyDescent="0.25">
      <c r="A1974">
        <v>1119.4952720000001</v>
      </c>
      <c r="B1974" s="1">
        <f>DATE(2013,5,24) + TIME(11,53,11)</f>
        <v>41418.495266203703</v>
      </c>
      <c r="C1974">
        <v>80</v>
      </c>
      <c r="D1974">
        <v>79.976074218999997</v>
      </c>
      <c r="E1974">
        <v>50</v>
      </c>
      <c r="F1974">
        <v>48.837364196999999</v>
      </c>
      <c r="G1974">
        <v>1339.7054443</v>
      </c>
      <c r="H1974">
        <v>1337.2835693</v>
      </c>
      <c r="I1974">
        <v>1326.8194579999999</v>
      </c>
      <c r="J1974">
        <v>1324.9915771000001</v>
      </c>
      <c r="K1974">
        <v>2400</v>
      </c>
      <c r="L1974">
        <v>0</v>
      </c>
      <c r="M1974">
        <v>0</v>
      </c>
      <c r="N1974">
        <v>2400</v>
      </c>
    </row>
    <row r="1975" spans="1:14" x14ac:dyDescent="0.25">
      <c r="A1975">
        <v>1120.060123</v>
      </c>
      <c r="B1975" s="1">
        <f>DATE(2013,5,25) + TIME(1,26,34)</f>
        <v>41419.060115740744</v>
      </c>
      <c r="C1975">
        <v>80</v>
      </c>
      <c r="D1975">
        <v>79.976036071999999</v>
      </c>
      <c r="E1975">
        <v>50</v>
      </c>
      <c r="F1975">
        <v>48.817012787000003</v>
      </c>
      <c r="G1975">
        <v>1339.6988524999999</v>
      </c>
      <c r="H1975">
        <v>1337.2821045000001</v>
      </c>
      <c r="I1975">
        <v>1326.8135986</v>
      </c>
      <c r="J1975">
        <v>1324.9831543</v>
      </c>
      <c r="K1975">
        <v>2400</v>
      </c>
      <c r="L1975">
        <v>0</v>
      </c>
      <c r="M1975">
        <v>0</v>
      </c>
      <c r="N1975">
        <v>2400</v>
      </c>
    </row>
    <row r="1976" spans="1:14" x14ac:dyDescent="0.25">
      <c r="A1976">
        <v>1120.652268</v>
      </c>
      <c r="B1976" s="1">
        <f>DATE(2013,5,25) + TIME(15,39,15)</f>
        <v>41419.652256944442</v>
      </c>
      <c r="C1976">
        <v>80</v>
      </c>
      <c r="D1976">
        <v>79.975997925000001</v>
      </c>
      <c r="E1976">
        <v>50</v>
      </c>
      <c r="F1976">
        <v>48.795989990000002</v>
      </c>
      <c r="G1976">
        <v>1339.6922606999999</v>
      </c>
      <c r="H1976">
        <v>1337.2805175999999</v>
      </c>
      <c r="I1976">
        <v>1326.8074951000001</v>
      </c>
      <c r="J1976">
        <v>1324.9743652</v>
      </c>
      <c r="K1976">
        <v>2400</v>
      </c>
      <c r="L1976">
        <v>0</v>
      </c>
      <c r="M1976">
        <v>0</v>
      </c>
      <c r="N1976">
        <v>2400</v>
      </c>
    </row>
    <row r="1977" spans="1:14" x14ac:dyDescent="0.25">
      <c r="A1977">
        <v>1121.2576979999999</v>
      </c>
      <c r="B1977" s="1">
        <f>DATE(2013,5,26) + TIME(6,11,5)</f>
        <v>41420.257696759261</v>
      </c>
      <c r="C1977">
        <v>80</v>
      </c>
      <c r="D1977">
        <v>79.975952148000005</v>
      </c>
      <c r="E1977">
        <v>50</v>
      </c>
      <c r="F1977">
        <v>48.774543762</v>
      </c>
      <c r="G1977">
        <v>1339.6853027</v>
      </c>
      <c r="H1977">
        <v>1337.2788086</v>
      </c>
      <c r="I1977">
        <v>1326.8010254000001</v>
      </c>
      <c r="J1977">
        <v>1324.9652100000001</v>
      </c>
      <c r="K1977">
        <v>2400</v>
      </c>
      <c r="L1977">
        <v>0</v>
      </c>
      <c r="M1977">
        <v>0</v>
      </c>
      <c r="N1977">
        <v>2400</v>
      </c>
    </row>
    <row r="1978" spans="1:14" x14ac:dyDescent="0.25">
      <c r="A1978">
        <v>1121.8664759999999</v>
      </c>
      <c r="B1978" s="1">
        <f>DATE(2013,5,26) + TIME(20,47,43)</f>
        <v>41420.866469907407</v>
      </c>
      <c r="C1978">
        <v>80</v>
      </c>
      <c r="D1978">
        <v>79.975906371999997</v>
      </c>
      <c r="E1978">
        <v>50</v>
      </c>
      <c r="F1978">
        <v>48.752944946</v>
      </c>
      <c r="G1978">
        <v>1339.6781006000001</v>
      </c>
      <c r="H1978">
        <v>1337.2768555</v>
      </c>
      <c r="I1978">
        <v>1326.7943115</v>
      </c>
      <c r="J1978">
        <v>1324.9555664</v>
      </c>
      <c r="K1978">
        <v>2400</v>
      </c>
      <c r="L1978">
        <v>0</v>
      </c>
      <c r="M1978">
        <v>0</v>
      </c>
      <c r="N1978">
        <v>2400</v>
      </c>
    </row>
    <row r="1979" spans="1:14" x14ac:dyDescent="0.25">
      <c r="A1979">
        <v>1122.480908</v>
      </c>
      <c r="B1979" s="1">
        <f>DATE(2013,5,27) + TIME(11,32,30)</f>
        <v>41421.480902777781</v>
      </c>
      <c r="C1979">
        <v>80</v>
      </c>
      <c r="D1979">
        <v>79.975868224999999</v>
      </c>
      <c r="E1979">
        <v>50</v>
      </c>
      <c r="F1979">
        <v>48.731243134000003</v>
      </c>
      <c r="G1979">
        <v>1339.6710204999999</v>
      </c>
      <c r="H1979">
        <v>1337.2750243999999</v>
      </c>
      <c r="I1979">
        <v>1326.7875977000001</v>
      </c>
      <c r="J1979">
        <v>1324.9459228999999</v>
      </c>
      <c r="K1979">
        <v>2400</v>
      </c>
      <c r="L1979">
        <v>0</v>
      </c>
      <c r="M1979">
        <v>0</v>
      </c>
      <c r="N1979">
        <v>2400</v>
      </c>
    </row>
    <row r="1980" spans="1:14" x14ac:dyDescent="0.25">
      <c r="A1980">
        <v>1123.1035199999999</v>
      </c>
      <c r="B1980" s="1">
        <f>DATE(2013,5,28) + TIME(2,29,4)</f>
        <v>41422.103518518517</v>
      </c>
      <c r="C1980">
        <v>80</v>
      </c>
      <c r="D1980">
        <v>79.975822449000006</v>
      </c>
      <c r="E1980">
        <v>50</v>
      </c>
      <c r="F1980">
        <v>48.709434508999998</v>
      </c>
      <c r="G1980">
        <v>1339.6640625</v>
      </c>
      <c r="H1980">
        <v>1337.2731934000001</v>
      </c>
      <c r="I1980">
        <v>1326.7806396000001</v>
      </c>
      <c r="J1980">
        <v>1324.9359131000001</v>
      </c>
      <c r="K1980">
        <v>2400</v>
      </c>
      <c r="L1980">
        <v>0</v>
      </c>
      <c r="M1980">
        <v>0</v>
      </c>
      <c r="N1980">
        <v>2400</v>
      </c>
    </row>
    <row r="1981" spans="1:14" x14ac:dyDescent="0.25">
      <c r="A1981">
        <v>1123.7369189999999</v>
      </c>
      <c r="B1981" s="1">
        <f>DATE(2013,5,28) + TIME(17,41,9)</f>
        <v>41422.736909722225</v>
      </c>
      <c r="C1981">
        <v>80</v>
      </c>
      <c r="D1981">
        <v>79.975784301999994</v>
      </c>
      <c r="E1981">
        <v>50</v>
      </c>
      <c r="F1981">
        <v>48.687480927000003</v>
      </c>
      <c r="G1981">
        <v>1339.6571045000001</v>
      </c>
      <c r="H1981">
        <v>1337.2714844</v>
      </c>
      <c r="I1981">
        <v>1326.7735596</v>
      </c>
      <c r="J1981">
        <v>1324.9257812000001</v>
      </c>
      <c r="K1981">
        <v>2400</v>
      </c>
      <c r="L1981">
        <v>0</v>
      </c>
      <c r="M1981">
        <v>0</v>
      </c>
      <c r="N1981">
        <v>2400</v>
      </c>
    </row>
    <row r="1982" spans="1:14" x14ac:dyDescent="0.25">
      <c r="A1982">
        <v>1124.378962</v>
      </c>
      <c r="B1982" s="1">
        <f>DATE(2013,5,29) + TIME(9,5,42)</f>
        <v>41423.378958333335</v>
      </c>
      <c r="C1982">
        <v>80</v>
      </c>
      <c r="D1982">
        <v>79.975746154999996</v>
      </c>
      <c r="E1982">
        <v>50</v>
      </c>
      <c r="F1982">
        <v>48.665416718000003</v>
      </c>
      <c r="G1982">
        <v>1339.6503906</v>
      </c>
      <c r="H1982">
        <v>1337.2696533000001</v>
      </c>
      <c r="I1982">
        <v>1326.7663574000001</v>
      </c>
      <c r="J1982">
        <v>1324.9154053</v>
      </c>
      <c r="K1982">
        <v>2400</v>
      </c>
      <c r="L1982">
        <v>0</v>
      </c>
      <c r="M1982">
        <v>0</v>
      </c>
      <c r="N1982">
        <v>2400</v>
      </c>
    </row>
    <row r="1983" spans="1:14" x14ac:dyDescent="0.25">
      <c r="A1983">
        <v>1125.027376</v>
      </c>
      <c r="B1983" s="1">
        <f>DATE(2013,5,30) + TIME(0,39,25)</f>
        <v>41424.027372685188</v>
      </c>
      <c r="C1983">
        <v>80</v>
      </c>
      <c r="D1983">
        <v>79.975700377999999</v>
      </c>
      <c r="E1983">
        <v>50</v>
      </c>
      <c r="F1983">
        <v>48.643299102999997</v>
      </c>
      <c r="G1983">
        <v>1339.6435547000001</v>
      </c>
      <c r="H1983">
        <v>1337.2679443</v>
      </c>
      <c r="I1983">
        <v>1326.7589111</v>
      </c>
      <c r="J1983">
        <v>1324.9047852000001</v>
      </c>
      <c r="K1983">
        <v>2400</v>
      </c>
      <c r="L1983">
        <v>0</v>
      </c>
      <c r="M1983">
        <v>0</v>
      </c>
      <c r="N1983">
        <v>2400</v>
      </c>
    </row>
    <row r="1984" spans="1:14" x14ac:dyDescent="0.25">
      <c r="A1984">
        <v>1125.6845860000001</v>
      </c>
      <c r="B1984" s="1">
        <f>DATE(2013,5,30) + TIME(16,25,48)</f>
        <v>41424.684583333335</v>
      </c>
      <c r="C1984">
        <v>80</v>
      </c>
      <c r="D1984">
        <v>79.975662231000001</v>
      </c>
      <c r="E1984">
        <v>50</v>
      </c>
      <c r="F1984">
        <v>48.621109009000001</v>
      </c>
      <c r="G1984">
        <v>1339.6369629000001</v>
      </c>
      <c r="H1984">
        <v>1337.2661132999999</v>
      </c>
      <c r="I1984">
        <v>1326.7514647999999</v>
      </c>
      <c r="J1984">
        <v>1324.8939209</v>
      </c>
      <c r="K1984">
        <v>2400</v>
      </c>
      <c r="L1984">
        <v>0</v>
      </c>
      <c r="M1984">
        <v>0</v>
      </c>
      <c r="N1984">
        <v>2400</v>
      </c>
    </row>
    <row r="1985" spans="1:14" x14ac:dyDescent="0.25">
      <c r="A1985">
        <v>1126.3534340000001</v>
      </c>
      <c r="B1985" s="1">
        <f>DATE(2013,5,31) + TIME(8,28,56)</f>
        <v>41425.353425925925</v>
      </c>
      <c r="C1985">
        <v>80</v>
      </c>
      <c r="D1985">
        <v>79.975624084000003</v>
      </c>
      <c r="E1985">
        <v>50</v>
      </c>
      <c r="F1985">
        <v>48.598781586000001</v>
      </c>
      <c r="G1985">
        <v>1339.6303711</v>
      </c>
      <c r="H1985">
        <v>1337.2644043</v>
      </c>
      <c r="I1985">
        <v>1326.7437743999999</v>
      </c>
      <c r="J1985">
        <v>1324.8828125</v>
      </c>
      <c r="K1985">
        <v>2400</v>
      </c>
      <c r="L1985">
        <v>0</v>
      </c>
      <c r="M1985">
        <v>0</v>
      </c>
      <c r="N1985">
        <v>2400</v>
      </c>
    </row>
    <row r="1986" spans="1:14" x14ac:dyDescent="0.25">
      <c r="A1986">
        <v>1127</v>
      </c>
      <c r="B1986" s="1">
        <f>DATE(2013,6,1) + TIME(0,0,0)</f>
        <v>41426</v>
      </c>
      <c r="C1986">
        <v>80</v>
      </c>
      <c r="D1986">
        <v>79.975585937999995</v>
      </c>
      <c r="E1986">
        <v>50</v>
      </c>
      <c r="F1986">
        <v>48.576946259000003</v>
      </c>
      <c r="G1986">
        <v>1339.6239014</v>
      </c>
      <c r="H1986">
        <v>1337.2626952999999</v>
      </c>
      <c r="I1986">
        <v>1326.7360839999999</v>
      </c>
      <c r="J1986">
        <v>1324.871582</v>
      </c>
      <c r="K1986">
        <v>2400</v>
      </c>
      <c r="L1986">
        <v>0</v>
      </c>
      <c r="M1986">
        <v>0</v>
      </c>
      <c r="N1986">
        <v>2400</v>
      </c>
    </row>
    <row r="1987" spans="1:14" x14ac:dyDescent="0.25">
      <c r="A1987">
        <v>1127.6825389999999</v>
      </c>
      <c r="B1987" s="1">
        <f>DATE(2013,6,1) + TIME(16,22,51)</f>
        <v>41426.682534722226</v>
      </c>
      <c r="C1987">
        <v>80</v>
      </c>
      <c r="D1987">
        <v>79.975547790999997</v>
      </c>
      <c r="E1987">
        <v>50</v>
      </c>
      <c r="F1987">
        <v>48.554714203000003</v>
      </c>
      <c r="G1987">
        <v>1339.6176757999999</v>
      </c>
      <c r="H1987">
        <v>1337.2611084</v>
      </c>
      <c r="I1987">
        <v>1326.7282714999999</v>
      </c>
      <c r="J1987">
        <v>1324.8604736</v>
      </c>
      <c r="K1987">
        <v>2400</v>
      </c>
      <c r="L1987">
        <v>0</v>
      </c>
      <c r="M1987">
        <v>0</v>
      </c>
      <c r="N1987">
        <v>2400</v>
      </c>
    </row>
    <row r="1988" spans="1:14" x14ac:dyDescent="0.25">
      <c r="A1988">
        <v>1128.398823</v>
      </c>
      <c r="B1988" s="1">
        <f>DATE(2013,6,2) + TIME(9,34,18)</f>
        <v>41427.398819444446</v>
      </c>
      <c r="C1988">
        <v>80</v>
      </c>
      <c r="D1988">
        <v>79.975509643999999</v>
      </c>
      <c r="E1988">
        <v>50</v>
      </c>
      <c r="F1988">
        <v>48.531902313000003</v>
      </c>
      <c r="G1988">
        <v>1339.6113281</v>
      </c>
      <c r="H1988">
        <v>1337.2593993999999</v>
      </c>
      <c r="I1988">
        <v>1326.7202147999999</v>
      </c>
      <c r="J1988">
        <v>1324.8487548999999</v>
      </c>
      <c r="K1988">
        <v>2400</v>
      </c>
      <c r="L1988">
        <v>0</v>
      </c>
      <c r="M1988">
        <v>0</v>
      </c>
      <c r="N1988">
        <v>2400</v>
      </c>
    </row>
    <row r="1989" spans="1:14" x14ac:dyDescent="0.25">
      <c r="A1989">
        <v>1129.136215</v>
      </c>
      <c r="B1989" s="1">
        <f>DATE(2013,6,3) + TIME(3,16,8)</f>
        <v>41428.136203703703</v>
      </c>
      <c r="C1989">
        <v>80</v>
      </c>
      <c r="D1989">
        <v>79.975471497000001</v>
      </c>
      <c r="E1989">
        <v>50</v>
      </c>
      <c r="F1989">
        <v>48.508609772</v>
      </c>
      <c r="G1989">
        <v>1339.6048584</v>
      </c>
      <c r="H1989">
        <v>1337.2576904</v>
      </c>
      <c r="I1989">
        <v>1326.7117920000001</v>
      </c>
      <c r="J1989">
        <v>1324.8364257999999</v>
      </c>
      <c r="K1989">
        <v>2400</v>
      </c>
      <c r="L1989">
        <v>0</v>
      </c>
      <c r="M1989">
        <v>0</v>
      </c>
      <c r="N1989">
        <v>2400</v>
      </c>
    </row>
    <row r="1990" spans="1:14" x14ac:dyDescent="0.25">
      <c r="A1990">
        <v>1129.898543</v>
      </c>
      <c r="B1990" s="1">
        <f>DATE(2013,6,3) + TIME(21,33,54)</f>
        <v>41428.898541666669</v>
      </c>
      <c r="C1990">
        <v>80</v>
      </c>
      <c r="D1990">
        <v>79.975433350000003</v>
      </c>
      <c r="E1990">
        <v>50</v>
      </c>
      <c r="F1990">
        <v>48.484802246000001</v>
      </c>
      <c r="G1990">
        <v>1339.5983887</v>
      </c>
      <c r="H1990">
        <v>1337.2559814000001</v>
      </c>
      <c r="I1990">
        <v>1326.7030029</v>
      </c>
      <c r="J1990">
        <v>1324.8237305</v>
      </c>
      <c r="K1990">
        <v>2400</v>
      </c>
      <c r="L1990">
        <v>0</v>
      </c>
      <c r="M1990">
        <v>0</v>
      </c>
      <c r="N1990">
        <v>2400</v>
      </c>
    </row>
    <row r="1991" spans="1:14" x14ac:dyDescent="0.25">
      <c r="A1991">
        <v>1130.6875359999999</v>
      </c>
      <c r="B1991" s="1">
        <f>DATE(2013,6,4) + TIME(16,30,3)</f>
        <v>41429.687534722223</v>
      </c>
      <c r="C1991">
        <v>80</v>
      </c>
      <c r="D1991">
        <v>79.975402832</v>
      </c>
      <c r="E1991">
        <v>50</v>
      </c>
      <c r="F1991">
        <v>48.460441588999998</v>
      </c>
      <c r="G1991">
        <v>1339.5917969</v>
      </c>
      <c r="H1991">
        <v>1337.2542725000001</v>
      </c>
      <c r="I1991">
        <v>1326.6939697</v>
      </c>
      <c r="J1991">
        <v>1324.8104248</v>
      </c>
      <c r="K1991">
        <v>2400</v>
      </c>
      <c r="L1991">
        <v>0</v>
      </c>
      <c r="M1991">
        <v>0</v>
      </c>
      <c r="N1991">
        <v>2400</v>
      </c>
    </row>
    <row r="1992" spans="1:14" x14ac:dyDescent="0.25">
      <c r="A1992">
        <v>1131.5102730000001</v>
      </c>
      <c r="B1992" s="1">
        <f>DATE(2013,6,5) + TIME(12,14,47)</f>
        <v>41430.510266203702</v>
      </c>
      <c r="C1992">
        <v>80</v>
      </c>
      <c r="D1992">
        <v>79.975364685000002</v>
      </c>
      <c r="E1992">
        <v>50</v>
      </c>
      <c r="F1992">
        <v>48.435417174999998</v>
      </c>
      <c r="G1992">
        <v>1339.5850829999999</v>
      </c>
      <c r="H1992">
        <v>1337.2524414</v>
      </c>
      <c r="I1992">
        <v>1326.6844481999999</v>
      </c>
      <c r="J1992">
        <v>1324.7967529</v>
      </c>
      <c r="K1992">
        <v>2400</v>
      </c>
      <c r="L1992">
        <v>0</v>
      </c>
      <c r="M1992">
        <v>0</v>
      </c>
      <c r="N1992">
        <v>2400</v>
      </c>
    </row>
    <row r="1993" spans="1:14" x14ac:dyDescent="0.25">
      <c r="A1993">
        <v>1132.337734</v>
      </c>
      <c r="B1993" s="1">
        <f>DATE(2013,6,6) + TIME(8,6,20)</f>
        <v>41431.337731481479</v>
      </c>
      <c r="C1993">
        <v>80</v>
      </c>
      <c r="D1993">
        <v>79.975326538000004</v>
      </c>
      <c r="E1993">
        <v>50</v>
      </c>
      <c r="F1993">
        <v>48.410121918000002</v>
      </c>
      <c r="G1993">
        <v>1339.5783690999999</v>
      </c>
      <c r="H1993">
        <v>1337.2506103999999</v>
      </c>
      <c r="I1993">
        <v>1326.6746826000001</v>
      </c>
      <c r="J1993">
        <v>1324.7823486</v>
      </c>
      <c r="K1993">
        <v>2400</v>
      </c>
      <c r="L1993">
        <v>0</v>
      </c>
      <c r="M1993">
        <v>0</v>
      </c>
      <c r="N1993">
        <v>2400</v>
      </c>
    </row>
    <row r="1994" spans="1:14" x14ac:dyDescent="0.25">
      <c r="A1994">
        <v>1133.1728929999999</v>
      </c>
      <c r="B1994" s="1">
        <f>DATE(2013,6,7) + TIME(4,8,57)</f>
        <v>41432.172881944447</v>
      </c>
      <c r="C1994">
        <v>80</v>
      </c>
      <c r="D1994">
        <v>79.975288391000007</v>
      </c>
      <c r="E1994">
        <v>50</v>
      </c>
      <c r="F1994">
        <v>48.384716034</v>
      </c>
      <c r="G1994">
        <v>1339.5717772999999</v>
      </c>
      <c r="H1994">
        <v>1337.2489014</v>
      </c>
      <c r="I1994">
        <v>1326.6646728999999</v>
      </c>
      <c r="J1994">
        <v>1324.7678223</v>
      </c>
      <c r="K1994">
        <v>2400</v>
      </c>
      <c r="L1994">
        <v>0</v>
      </c>
      <c r="M1994">
        <v>0</v>
      </c>
      <c r="N1994">
        <v>2400</v>
      </c>
    </row>
    <row r="1995" spans="1:14" x14ac:dyDescent="0.25">
      <c r="A1995">
        <v>1134.019479</v>
      </c>
      <c r="B1995" s="1">
        <f>DATE(2013,6,8) + TIME(0,28,2)</f>
        <v>41433.019467592596</v>
      </c>
      <c r="C1995">
        <v>80</v>
      </c>
      <c r="D1995">
        <v>79.975250243999994</v>
      </c>
      <c r="E1995">
        <v>50</v>
      </c>
      <c r="F1995">
        <v>48.359218597000002</v>
      </c>
      <c r="G1995">
        <v>1339.5651855000001</v>
      </c>
      <c r="H1995">
        <v>1337.2470702999999</v>
      </c>
      <c r="I1995">
        <v>1326.6545410000001</v>
      </c>
      <c r="J1995">
        <v>1324.7529297000001</v>
      </c>
      <c r="K1995">
        <v>2400</v>
      </c>
      <c r="L1995">
        <v>0</v>
      </c>
      <c r="M1995">
        <v>0</v>
      </c>
      <c r="N1995">
        <v>2400</v>
      </c>
    </row>
    <row r="1996" spans="1:14" x14ac:dyDescent="0.25">
      <c r="A1996">
        <v>1134.881453</v>
      </c>
      <c r="B1996" s="1">
        <f>DATE(2013,6,8) + TIME(21,9,17)</f>
        <v>41433.88144675926</v>
      </c>
      <c r="C1996">
        <v>80</v>
      </c>
      <c r="D1996">
        <v>79.975212096999996</v>
      </c>
      <c r="E1996">
        <v>50</v>
      </c>
      <c r="F1996">
        <v>48.333587645999998</v>
      </c>
      <c r="G1996">
        <v>1339.5588379000001</v>
      </c>
      <c r="H1996">
        <v>1337.2452393000001</v>
      </c>
      <c r="I1996">
        <v>1326.6441649999999</v>
      </c>
      <c r="J1996">
        <v>1324.7379149999999</v>
      </c>
      <c r="K1996">
        <v>2400</v>
      </c>
      <c r="L1996">
        <v>0</v>
      </c>
      <c r="M1996">
        <v>0</v>
      </c>
      <c r="N1996">
        <v>2400</v>
      </c>
    </row>
    <row r="1997" spans="1:14" x14ac:dyDescent="0.25">
      <c r="A1997">
        <v>1135.7629529999999</v>
      </c>
      <c r="B1997" s="1">
        <f>DATE(2013,6,9) + TIME(18,18,39)</f>
        <v>41434.76295138889</v>
      </c>
      <c r="C1997">
        <v>80</v>
      </c>
      <c r="D1997">
        <v>79.975181579999997</v>
      </c>
      <c r="E1997">
        <v>50</v>
      </c>
      <c r="F1997">
        <v>48.307746887</v>
      </c>
      <c r="G1997">
        <v>1339.5523682</v>
      </c>
      <c r="H1997">
        <v>1337.2435303</v>
      </c>
      <c r="I1997">
        <v>1326.6336670000001</v>
      </c>
      <c r="J1997">
        <v>1324.7224120999999</v>
      </c>
      <c r="K1997">
        <v>2400</v>
      </c>
      <c r="L1997">
        <v>0</v>
      </c>
      <c r="M1997">
        <v>0</v>
      </c>
      <c r="N1997">
        <v>2400</v>
      </c>
    </row>
    <row r="1998" spans="1:14" x14ac:dyDescent="0.25">
      <c r="A1998">
        <v>1136.668439</v>
      </c>
      <c r="B1998" s="1">
        <f>DATE(2013,6,10) + TIME(16,2,33)</f>
        <v>41435.668437499997</v>
      </c>
      <c r="C1998">
        <v>80</v>
      </c>
      <c r="D1998">
        <v>79.975143433</v>
      </c>
      <c r="E1998">
        <v>50</v>
      </c>
      <c r="F1998">
        <v>48.281600951999998</v>
      </c>
      <c r="G1998">
        <v>1339.5460204999999</v>
      </c>
      <c r="H1998">
        <v>1337.2416992000001</v>
      </c>
      <c r="I1998">
        <v>1326.6228027</v>
      </c>
      <c r="J1998">
        <v>1324.7066649999999</v>
      </c>
      <c r="K1998">
        <v>2400</v>
      </c>
      <c r="L1998">
        <v>0</v>
      </c>
      <c r="M1998">
        <v>0</v>
      </c>
      <c r="N1998">
        <v>2400</v>
      </c>
    </row>
    <row r="1999" spans="1:14" x14ac:dyDescent="0.25">
      <c r="A1999">
        <v>1137.6028249999999</v>
      </c>
      <c r="B1999" s="1">
        <f>DATE(2013,6,11) + TIME(14,28,4)</f>
        <v>41436.602824074071</v>
      </c>
      <c r="C1999">
        <v>80</v>
      </c>
      <c r="D1999">
        <v>79.975112914999997</v>
      </c>
      <c r="E1999">
        <v>50</v>
      </c>
      <c r="F1999">
        <v>48.255043030000003</v>
      </c>
      <c r="G1999">
        <v>1339.5395507999999</v>
      </c>
      <c r="H1999">
        <v>1337.2398682</v>
      </c>
      <c r="I1999">
        <v>1326.6116943</v>
      </c>
      <c r="J1999">
        <v>1324.6903076000001</v>
      </c>
      <c r="K1999">
        <v>2400</v>
      </c>
      <c r="L1999">
        <v>0</v>
      </c>
      <c r="M1999">
        <v>0</v>
      </c>
      <c r="N1999">
        <v>2400</v>
      </c>
    </row>
    <row r="2000" spans="1:14" x14ac:dyDescent="0.25">
      <c r="A2000">
        <v>1138.5497350000001</v>
      </c>
      <c r="B2000" s="1">
        <f>DATE(2013,6,12) + TIME(13,11,37)</f>
        <v>41437.549733796295</v>
      </c>
      <c r="C2000">
        <v>80</v>
      </c>
      <c r="D2000">
        <v>79.975074767999999</v>
      </c>
      <c r="E2000">
        <v>50</v>
      </c>
      <c r="F2000">
        <v>48.228229523000003</v>
      </c>
      <c r="G2000">
        <v>1339.5330810999999</v>
      </c>
      <c r="H2000">
        <v>1337.2380370999999</v>
      </c>
      <c r="I2000">
        <v>1326.6003418</v>
      </c>
      <c r="J2000">
        <v>1324.6735839999999</v>
      </c>
      <c r="K2000">
        <v>2400</v>
      </c>
      <c r="L2000">
        <v>0</v>
      </c>
      <c r="M2000">
        <v>0</v>
      </c>
      <c r="N2000">
        <v>2400</v>
      </c>
    </row>
    <row r="2001" spans="1:14" x14ac:dyDescent="0.25">
      <c r="A2001">
        <v>1139.5097969999999</v>
      </c>
      <c r="B2001" s="1">
        <f>DATE(2013,6,13) + TIME(12,14,6)</f>
        <v>41438.509791666664</v>
      </c>
      <c r="C2001">
        <v>80</v>
      </c>
      <c r="D2001">
        <v>79.975044249999996</v>
      </c>
      <c r="E2001">
        <v>50</v>
      </c>
      <c r="F2001">
        <v>48.201267242</v>
      </c>
      <c r="G2001">
        <v>1339.5267334</v>
      </c>
      <c r="H2001">
        <v>1337.2362060999999</v>
      </c>
      <c r="I2001">
        <v>1326.5887451000001</v>
      </c>
      <c r="J2001">
        <v>1324.6564940999999</v>
      </c>
      <c r="K2001">
        <v>2400</v>
      </c>
      <c r="L2001">
        <v>0</v>
      </c>
      <c r="M2001">
        <v>0</v>
      </c>
      <c r="N2001">
        <v>2400</v>
      </c>
    </row>
    <row r="2002" spans="1:14" x14ac:dyDescent="0.25">
      <c r="A2002">
        <v>1140.487971</v>
      </c>
      <c r="B2002" s="1">
        <f>DATE(2013,6,14) + TIME(11,42,40)</f>
        <v>41439.487962962965</v>
      </c>
      <c r="C2002">
        <v>80</v>
      </c>
      <c r="D2002">
        <v>79.975013732999997</v>
      </c>
      <c r="E2002">
        <v>50</v>
      </c>
      <c r="F2002">
        <v>48.174148559999999</v>
      </c>
      <c r="G2002">
        <v>1339.5203856999999</v>
      </c>
      <c r="H2002">
        <v>1337.234375</v>
      </c>
      <c r="I2002">
        <v>1326.5769043</v>
      </c>
      <c r="J2002">
        <v>1324.6390381000001</v>
      </c>
      <c r="K2002">
        <v>2400</v>
      </c>
      <c r="L2002">
        <v>0</v>
      </c>
      <c r="M2002">
        <v>0</v>
      </c>
      <c r="N2002">
        <v>2400</v>
      </c>
    </row>
    <row r="2003" spans="1:14" x14ac:dyDescent="0.25">
      <c r="A2003">
        <v>1141.497433</v>
      </c>
      <c r="B2003" s="1">
        <f>DATE(2013,6,15) + TIME(11,56,18)</f>
        <v>41440.497430555559</v>
      </c>
      <c r="C2003">
        <v>80</v>
      </c>
      <c r="D2003">
        <v>79.974983214999995</v>
      </c>
      <c r="E2003">
        <v>50</v>
      </c>
      <c r="F2003">
        <v>48.146697998</v>
      </c>
      <c r="G2003">
        <v>1339.5140381000001</v>
      </c>
      <c r="H2003">
        <v>1337.2325439000001</v>
      </c>
      <c r="I2003">
        <v>1326.5648193</v>
      </c>
      <c r="J2003">
        <v>1324.6212158000001</v>
      </c>
      <c r="K2003">
        <v>2400</v>
      </c>
      <c r="L2003">
        <v>0</v>
      </c>
      <c r="M2003">
        <v>0</v>
      </c>
      <c r="N2003">
        <v>2400</v>
      </c>
    </row>
    <row r="2004" spans="1:14" x14ac:dyDescent="0.25">
      <c r="A2004">
        <v>1142.534406</v>
      </c>
      <c r="B2004" s="1">
        <f>DATE(2013,6,16) + TIME(12,49,32)</f>
        <v>41441.534398148149</v>
      </c>
      <c r="C2004">
        <v>80</v>
      </c>
      <c r="D2004">
        <v>79.974952697999996</v>
      </c>
      <c r="E2004">
        <v>50</v>
      </c>
      <c r="F2004">
        <v>48.118858336999999</v>
      </c>
      <c r="G2004">
        <v>1339.5076904</v>
      </c>
      <c r="H2004">
        <v>1337.2307129000001</v>
      </c>
      <c r="I2004">
        <v>1326.5523682</v>
      </c>
      <c r="J2004">
        <v>1324.6029053</v>
      </c>
      <c r="K2004">
        <v>2400</v>
      </c>
      <c r="L2004">
        <v>0</v>
      </c>
      <c r="M2004">
        <v>0</v>
      </c>
      <c r="N2004">
        <v>2400</v>
      </c>
    </row>
    <row r="2005" spans="1:14" x14ac:dyDescent="0.25">
      <c r="A2005">
        <v>1143.5840270000001</v>
      </c>
      <c r="B2005" s="1">
        <f>DATE(2013,6,17) + TIME(14,0,59)</f>
        <v>41442.584016203706</v>
      </c>
      <c r="C2005">
        <v>80</v>
      </c>
      <c r="D2005">
        <v>79.974922179999993</v>
      </c>
      <c r="E2005">
        <v>50</v>
      </c>
      <c r="F2005">
        <v>48.090801239000001</v>
      </c>
      <c r="G2005">
        <v>1339.5013428</v>
      </c>
      <c r="H2005">
        <v>1337.2287598</v>
      </c>
      <c r="I2005">
        <v>1326.5396728999999</v>
      </c>
      <c r="J2005">
        <v>1324.5841064000001</v>
      </c>
      <c r="K2005">
        <v>2400</v>
      </c>
      <c r="L2005">
        <v>0</v>
      </c>
      <c r="M2005">
        <v>0</v>
      </c>
      <c r="N2005">
        <v>2400</v>
      </c>
    </row>
    <row r="2006" spans="1:14" x14ac:dyDescent="0.25">
      <c r="A2006">
        <v>1144.650439</v>
      </c>
      <c r="B2006" s="1">
        <f>DATE(2013,6,18) + TIME(15,36,37)</f>
        <v>41443.65042824074</v>
      </c>
      <c r="C2006">
        <v>80</v>
      </c>
      <c r="D2006">
        <v>79.974891662999994</v>
      </c>
      <c r="E2006">
        <v>50</v>
      </c>
      <c r="F2006">
        <v>48.062602996999999</v>
      </c>
      <c r="G2006">
        <v>1339.4949951000001</v>
      </c>
      <c r="H2006">
        <v>1337.2268065999999</v>
      </c>
      <c r="I2006">
        <v>1326.5268555</v>
      </c>
      <c r="J2006">
        <v>1324.5649414</v>
      </c>
      <c r="K2006">
        <v>2400</v>
      </c>
      <c r="L2006">
        <v>0</v>
      </c>
      <c r="M2006">
        <v>0</v>
      </c>
      <c r="N2006">
        <v>2400</v>
      </c>
    </row>
    <row r="2007" spans="1:14" x14ac:dyDescent="0.25">
      <c r="A2007">
        <v>1145.7380270000001</v>
      </c>
      <c r="B2007" s="1">
        <f>DATE(2013,6,19) + TIME(17,42,45)</f>
        <v>41444.738020833334</v>
      </c>
      <c r="C2007">
        <v>80</v>
      </c>
      <c r="D2007">
        <v>79.974861145000006</v>
      </c>
      <c r="E2007">
        <v>50</v>
      </c>
      <c r="F2007">
        <v>48.034248351999999</v>
      </c>
      <c r="G2007">
        <v>1339.4887695</v>
      </c>
      <c r="H2007">
        <v>1337.2249756000001</v>
      </c>
      <c r="I2007">
        <v>1326.5136719</v>
      </c>
      <c r="J2007">
        <v>1324.5455322</v>
      </c>
      <c r="K2007">
        <v>2400</v>
      </c>
      <c r="L2007">
        <v>0</v>
      </c>
      <c r="M2007">
        <v>0</v>
      </c>
      <c r="N2007">
        <v>2400</v>
      </c>
    </row>
    <row r="2008" spans="1:14" x14ac:dyDescent="0.25">
      <c r="A2008">
        <v>1146.851478</v>
      </c>
      <c r="B2008" s="1">
        <f>DATE(2013,6,20) + TIME(20,26,7)</f>
        <v>41445.851469907408</v>
      </c>
      <c r="C2008">
        <v>80</v>
      </c>
      <c r="D2008">
        <v>79.974830627000003</v>
      </c>
      <c r="E2008">
        <v>50</v>
      </c>
      <c r="F2008">
        <v>48.005668640000003</v>
      </c>
      <c r="G2008">
        <v>1339.4825439000001</v>
      </c>
      <c r="H2008">
        <v>1337.2230225000001</v>
      </c>
      <c r="I2008">
        <v>1326.5003661999999</v>
      </c>
      <c r="J2008">
        <v>1324.5257568</v>
      </c>
      <c r="K2008">
        <v>2400</v>
      </c>
      <c r="L2008">
        <v>0</v>
      </c>
      <c r="M2008">
        <v>0</v>
      </c>
      <c r="N2008">
        <v>2400</v>
      </c>
    </row>
    <row r="2009" spans="1:14" x14ac:dyDescent="0.25">
      <c r="A2009">
        <v>1148.003457</v>
      </c>
      <c r="B2009" s="1">
        <f>DATE(2013,6,22) + TIME(0,4,58)</f>
        <v>41447.003449074073</v>
      </c>
      <c r="C2009">
        <v>80</v>
      </c>
      <c r="D2009">
        <v>79.974807738999999</v>
      </c>
      <c r="E2009">
        <v>50</v>
      </c>
      <c r="F2009">
        <v>47.976696013999998</v>
      </c>
      <c r="G2009">
        <v>1339.4763184000001</v>
      </c>
      <c r="H2009">
        <v>1337.2210693</v>
      </c>
      <c r="I2009">
        <v>1326.4866943</v>
      </c>
      <c r="J2009">
        <v>1324.5054932</v>
      </c>
      <c r="K2009">
        <v>2400</v>
      </c>
      <c r="L2009">
        <v>0</v>
      </c>
      <c r="M2009">
        <v>0</v>
      </c>
      <c r="N2009">
        <v>2400</v>
      </c>
    </row>
    <row r="2010" spans="1:14" x14ac:dyDescent="0.25">
      <c r="A2010">
        <v>1149.1798839999999</v>
      </c>
      <c r="B2010" s="1">
        <f>DATE(2013,6,23) + TIME(4,19,1)</f>
        <v>41448.179872685185</v>
      </c>
      <c r="C2010">
        <v>80</v>
      </c>
      <c r="D2010">
        <v>79.974777222</v>
      </c>
      <c r="E2010">
        <v>50</v>
      </c>
      <c r="F2010">
        <v>47.947368621999999</v>
      </c>
      <c r="G2010">
        <v>1339.4699707</v>
      </c>
      <c r="H2010">
        <v>1337.2189940999999</v>
      </c>
      <c r="I2010">
        <v>1326.4727783000001</v>
      </c>
      <c r="J2010">
        <v>1324.4846190999999</v>
      </c>
      <c r="K2010">
        <v>2400</v>
      </c>
      <c r="L2010">
        <v>0</v>
      </c>
      <c r="M2010">
        <v>0</v>
      </c>
      <c r="N2010">
        <v>2400</v>
      </c>
    </row>
    <row r="2011" spans="1:14" x14ac:dyDescent="0.25">
      <c r="A2011">
        <v>1150.379357</v>
      </c>
      <c r="B2011" s="1">
        <f>DATE(2013,6,24) + TIME(9,6,16)</f>
        <v>41449.379351851851</v>
      </c>
      <c r="C2011">
        <v>80</v>
      </c>
      <c r="D2011">
        <v>79.974746703999998</v>
      </c>
      <c r="E2011">
        <v>50</v>
      </c>
      <c r="F2011">
        <v>47.917793273999997</v>
      </c>
      <c r="G2011">
        <v>1339.4637451000001</v>
      </c>
      <c r="H2011">
        <v>1337.2170410000001</v>
      </c>
      <c r="I2011">
        <v>1326.4584961</v>
      </c>
      <c r="J2011">
        <v>1324.4632568</v>
      </c>
      <c r="K2011">
        <v>2400</v>
      </c>
      <c r="L2011">
        <v>0</v>
      </c>
      <c r="M2011">
        <v>0</v>
      </c>
      <c r="N2011">
        <v>2400</v>
      </c>
    </row>
    <row r="2012" spans="1:14" x14ac:dyDescent="0.25">
      <c r="A2012">
        <v>1151.6088139999999</v>
      </c>
      <c r="B2012" s="1">
        <f>DATE(2013,6,25) + TIME(14,36,41)</f>
        <v>41450.608807870369</v>
      </c>
      <c r="C2012">
        <v>80</v>
      </c>
      <c r="D2012">
        <v>79.974723815999994</v>
      </c>
      <c r="E2012">
        <v>50</v>
      </c>
      <c r="F2012">
        <v>47.887973785</v>
      </c>
      <c r="G2012">
        <v>1339.4573975000001</v>
      </c>
      <c r="H2012">
        <v>1337.2149658000001</v>
      </c>
      <c r="I2012">
        <v>1326.4439697</v>
      </c>
      <c r="J2012">
        <v>1324.4415283000001</v>
      </c>
      <c r="K2012">
        <v>2400</v>
      </c>
      <c r="L2012">
        <v>0</v>
      </c>
      <c r="M2012">
        <v>0</v>
      </c>
      <c r="N2012">
        <v>2400</v>
      </c>
    </row>
    <row r="2013" spans="1:14" x14ac:dyDescent="0.25">
      <c r="A2013">
        <v>1152.875693</v>
      </c>
      <c r="B2013" s="1">
        <f>DATE(2013,6,26) + TIME(21,0,59)</f>
        <v>41451.87568287037</v>
      </c>
      <c r="C2013">
        <v>80</v>
      </c>
      <c r="D2013">
        <v>79.974700928000004</v>
      </c>
      <c r="E2013">
        <v>50</v>
      </c>
      <c r="F2013">
        <v>47.857822417999998</v>
      </c>
      <c r="G2013">
        <v>1339.4511719</v>
      </c>
      <c r="H2013">
        <v>1337.2128906</v>
      </c>
      <c r="I2013">
        <v>1326.4290771000001</v>
      </c>
      <c r="J2013">
        <v>1324.4193115</v>
      </c>
      <c r="K2013">
        <v>2400</v>
      </c>
      <c r="L2013">
        <v>0</v>
      </c>
      <c r="M2013">
        <v>0</v>
      </c>
      <c r="N2013">
        <v>2400</v>
      </c>
    </row>
    <row r="2014" spans="1:14" x14ac:dyDescent="0.25">
      <c r="A2014">
        <v>1154.182497</v>
      </c>
      <c r="B2014" s="1">
        <f>DATE(2013,6,28) + TIME(4,22,47)</f>
        <v>41453.182488425926</v>
      </c>
      <c r="C2014">
        <v>80</v>
      </c>
      <c r="D2014">
        <v>79.974670410000002</v>
      </c>
      <c r="E2014">
        <v>50</v>
      </c>
      <c r="F2014">
        <v>47.827278137</v>
      </c>
      <c r="G2014">
        <v>1339.4448242000001</v>
      </c>
      <c r="H2014">
        <v>1337.2108154</v>
      </c>
      <c r="I2014">
        <v>1326.4139404</v>
      </c>
      <c r="J2014">
        <v>1324.3964844</v>
      </c>
      <c r="K2014">
        <v>2400</v>
      </c>
      <c r="L2014">
        <v>0</v>
      </c>
      <c r="M2014">
        <v>0</v>
      </c>
      <c r="N2014">
        <v>2400</v>
      </c>
    </row>
    <row r="2015" spans="1:14" x14ac:dyDescent="0.25">
      <c r="A2015">
        <v>1155.5451069999999</v>
      </c>
      <c r="B2015" s="1">
        <f>DATE(2013,6,29) + TIME(13,4,57)</f>
        <v>41454.545104166667</v>
      </c>
      <c r="C2015">
        <v>80</v>
      </c>
      <c r="D2015">
        <v>79.974647521999998</v>
      </c>
      <c r="E2015">
        <v>50</v>
      </c>
      <c r="F2015">
        <v>47.796199799</v>
      </c>
      <c r="G2015">
        <v>1339.4384766000001</v>
      </c>
      <c r="H2015">
        <v>1337.2086182</v>
      </c>
      <c r="I2015">
        <v>1326.3983154</v>
      </c>
      <c r="J2015">
        <v>1324.3730469</v>
      </c>
      <c r="K2015">
        <v>2400</v>
      </c>
      <c r="L2015">
        <v>0</v>
      </c>
      <c r="M2015">
        <v>0</v>
      </c>
      <c r="N2015">
        <v>2400</v>
      </c>
    </row>
    <row r="2016" spans="1:14" x14ac:dyDescent="0.25">
      <c r="A2016">
        <v>1156.2725539999999</v>
      </c>
      <c r="B2016" s="1">
        <f>DATE(2013,6,30) + TIME(6,32,28)</f>
        <v>41455.272546296299</v>
      </c>
      <c r="C2016">
        <v>80</v>
      </c>
      <c r="D2016">
        <v>79.974624633999994</v>
      </c>
      <c r="E2016">
        <v>50</v>
      </c>
      <c r="F2016">
        <v>47.772510529000002</v>
      </c>
      <c r="G2016">
        <v>1339.4324951000001</v>
      </c>
      <c r="H2016">
        <v>1337.2067870999999</v>
      </c>
      <c r="I2016">
        <v>1326.3834228999999</v>
      </c>
      <c r="J2016">
        <v>1324.3507079999999</v>
      </c>
      <c r="K2016">
        <v>2400</v>
      </c>
      <c r="L2016">
        <v>0</v>
      </c>
      <c r="M2016">
        <v>0</v>
      </c>
      <c r="N2016">
        <v>2400</v>
      </c>
    </row>
    <row r="2017" spans="1:14" x14ac:dyDescent="0.25">
      <c r="A2017">
        <v>1157</v>
      </c>
      <c r="B2017" s="1">
        <f>DATE(2013,7,1) + TIME(0,0,0)</f>
        <v>41456</v>
      </c>
      <c r="C2017">
        <v>80</v>
      </c>
      <c r="D2017">
        <v>79.974601746000005</v>
      </c>
      <c r="E2017">
        <v>50</v>
      </c>
      <c r="F2017">
        <v>47.752311706999997</v>
      </c>
      <c r="G2017">
        <v>1339.4287108999999</v>
      </c>
      <c r="H2017">
        <v>1337.2053223</v>
      </c>
      <c r="I2017">
        <v>1326.3732910000001</v>
      </c>
      <c r="J2017">
        <v>1324.3352050999999</v>
      </c>
      <c r="K2017">
        <v>2400</v>
      </c>
      <c r="L2017">
        <v>0</v>
      </c>
      <c r="M2017">
        <v>0</v>
      </c>
      <c r="N2017">
        <v>2400</v>
      </c>
    </row>
    <row r="2018" spans="1:14" x14ac:dyDescent="0.25">
      <c r="A2018">
        <v>1158.4396830000001</v>
      </c>
      <c r="B2018" s="1">
        <f>DATE(2013,7,2) + TIME(10,33,8)</f>
        <v>41457.439675925925</v>
      </c>
      <c r="C2018">
        <v>80</v>
      </c>
      <c r="D2018">
        <v>79.974594116000006</v>
      </c>
      <c r="E2018">
        <v>50</v>
      </c>
      <c r="F2018">
        <v>47.727703093999999</v>
      </c>
      <c r="G2018">
        <v>1339.4250488</v>
      </c>
      <c r="H2018">
        <v>1337.2038574000001</v>
      </c>
      <c r="I2018">
        <v>1326.3630370999999</v>
      </c>
      <c r="J2018">
        <v>1324.3192139</v>
      </c>
      <c r="K2018">
        <v>2400</v>
      </c>
      <c r="L2018">
        <v>0</v>
      </c>
      <c r="M2018">
        <v>0</v>
      </c>
      <c r="N2018">
        <v>2400</v>
      </c>
    </row>
    <row r="2019" spans="1:14" x14ac:dyDescent="0.25">
      <c r="A2019">
        <v>1159.906295</v>
      </c>
      <c r="B2019" s="1">
        <f>DATE(2013,7,3) + TIME(21,45,3)</f>
        <v>41458.906284722223</v>
      </c>
      <c r="C2019">
        <v>80</v>
      </c>
      <c r="D2019">
        <v>79.974578856999997</v>
      </c>
      <c r="E2019">
        <v>50</v>
      </c>
      <c r="F2019">
        <v>47.698326111</v>
      </c>
      <c r="G2019">
        <v>1339.4187012</v>
      </c>
      <c r="H2019">
        <v>1337.2016602000001</v>
      </c>
      <c r="I2019">
        <v>1326.3476562000001</v>
      </c>
      <c r="J2019">
        <v>1324.2961425999999</v>
      </c>
      <c r="K2019">
        <v>2400</v>
      </c>
      <c r="L2019">
        <v>0</v>
      </c>
      <c r="M2019">
        <v>0</v>
      </c>
      <c r="N2019">
        <v>2400</v>
      </c>
    </row>
    <row r="2020" spans="1:14" x14ac:dyDescent="0.25">
      <c r="A2020">
        <v>1161.4281659999999</v>
      </c>
      <c r="B2020" s="1">
        <f>DATE(2013,7,5) + TIME(10,16,33)</f>
        <v>41460.428159722222</v>
      </c>
      <c r="C2020">
        <v>80</v>
      </c>
      <c r="D2020">
        <v>79.974555968999994</v>
      </c>
      <c r="E2020">
        <v>50</v>
      </c>
      <c r="F2020">
        <v>47.667198181000003</v>
      </c>
      <c r="G2020">
        <v>1339.4122314000001</v>
      </c>
      <c r="H2020">
        <v>1337.1993408000001</v>
      </c>
      <c r="I2020">
        <v>1326.3311768000001</v>
      </c>
      <c r="J2020">
        <v>1324.2711182</v>
      </c>
      <c r="K2020">
        <v>2400</v>
      </c>
      <c r="L2020">
        <v>0</v>
      </c>
      <c r="M2020">
        <v>0</v>
      </c>
      <c r="N2020">
        <v>2400</v>
      </c>
    </row>
    <row r="2021" spans="1:14" x14ac:dyDescent="0.25">
      <c r="A2021">
        <v>1162.9708989999999</v>
      </c>
      <c r="B2021" s="1">
        <f>DATE(2013,7,6) + TIME(23,18,5)</f>
        <v>41461.970891203702</v>
      </c>
      <c r="C2021">
        <v>80</v>
      </c>
      <c r="D2021">
        <v>79.974533081000004</v>
      </c>
      <c r="E2021">
        <v>50</v>
      </c>
      <c r="F2021">
        <v>47.635543822999999</v>
      </c>
      <c r="G2021">
        <v>1339.4056396000001</v>
      </c>
      <c r="H2021">
        <v>1337.1970214999999</v>
      </c>
      <c r="I2021">
        <v>1326.3139647999999</v>
      </c>
      <c r="J2021">
        <v>1324.2449951000001</v>
      </c>
      <c r="K2021">
        <v>2400</v>
      </c>
      <c r="L2021">
        <v>0</v>
      </c>
      <c r="M2021">
        <v>0</v>
      </c>
      <c r="N2021">
        <v>2400</v>
      </c>
    </row>
    <row r="2022" spans="1:14" x14ac:dyDescent="0.25">
      <c r="A2022">
        <v>1164.5215780000001</v>
      </c>
      <c r="B2022" s="1">
        <f>DATE(2013,7,8) + TIME(12,31,4)</f>
        <v>41463.521574074075</v>
      </c>
      <c r="C2022">
        <v>80</v>
      </c>
      <c r="D2022">
        <v>79.974517821999996</v>
      </c>
      <c r="E2022">
        <v>50</v>
      </c>
      <c r="F2022">
        <v>47.604217529000003</v>
      </c>
      <c r="G2022">
        <v>1339.3990478999999</v>
      </c>
      <c r="H2022">
        <v>1337.1945800999999</v>
      </c>
      <c r="I2022">
        <v>1326.2966309000001</v>
      </c>
      <c r="J2022">
        <v>1324.2182617000001</v>
      </c>
      <c r="K2022">
        <v>2400</v>
      </c>
      <c r="L2022">
        <v>0</v>
      </c>
      <c r="M2022">
        <v>0</v>
      </c>
      <c r="N2022">
        <v>2400</v>
      </c>
    </row>
    <row r="2023" spans="1:14" x14ac:dyDescent="0.25">
      <c r="A2023">
        <v>1166.0909489999999</v>
      </c>
      <c r="B2023" s="1">
        <f>DATE(2013,7,10) + TIME(2,10,58)</f>
        <v>41465.090949074074</v>
      </c>
      <c r="C2023">
        <v>80</v>
      </c>
      <c r="D2023">
        <v>79.974494934000006</v>
      </c>
      <c r="E2023">
        <v>50</v>
      </c>
      <c r="F2023">
        <v>47.573627471999998</v>
      </c>
      <c r="G2023">
        <v>1339.3927002</v>
      </c>
      <c r="H2023">
        <v>1337.1922606999999</v>
      </c>
      <c r="I2023">
        <v>1326.2791748</v>
      </c>
      <c r="J2023">
        <v>1324.1915283000001</v>
      </c>
      <c r="K2023">
        <v>2400</v>
      </c>
      <c r="L2023">
        <v>0</v>
      </c>
      <c r="M2023">
        <v>0</v>
      </c>
      <c r="N2023">
        <v>2400</v>
      </c>
    </row>
    <row r="2024" spans="1:14" x14ac:dyDescent="0.25">
      <c r="A2024">
        <v>1167.6891780000001</v>
      </c>
      <c r="B2024" s="1">
        <f>DATE(2013,7,11) + TIME(16,32,24)</f>
        <v>41466.689166666663</v>
      </c>
      <c r="C2024">
        <v>80</v>
      </c>
      <c r="D2024">
        <v>79.974479674999998</v>
      </c>
      <c r="E2024">
        <v>50</v>
      </c>
      <c r="F2024">
        <v>47.543895720999998</v>
      </c>
      <c r="G2024">
        <v>1339.3863524999999</v>
      </c>
      <c r="H2024">
        <v>1337.1898193</v>
      </c>
      <c r="I2024">
        <v>1326.2617187999999</v>
      </c>
      <c r="J2024">
        <v>1324.1645507999999</v>
      </c>
      <c r="K2024">
        <v>2400</v>
      </c>
      <c r="L2024">
        <v>0</v>
      </c>
      <c r="M2024">
        <v>0</v>
      </c>
      <c r="N2024">
        <v>2400</v>
      </c>
    </row>
    <row r="2025" spans="1:14" x14ac:dyDescent="0.25">
      <c r="A2025">
        <v>1169.32188</v>
      </c>
      <c r="B2025" s="1">
        <f>DATE(2013,7,13) + TIME(7,43,30)</f>
        <v>41468.321875000001</v>
      </c>
      <c r="C2025">
        <v>80</v>
      </c>
      <c r="D2025">
        <v>79.974464416999993</v>
      </c>
      <c r="E2025">
        <v>50</v>
      </c>
      <c r="F2025">
        <v>47.515136718999997</v>
      </c>
      <c r="G2025">
        <v>1339.3800048999999</v>
      </c>
      <c r="H2025">
        <v>1337.1873779</v>
      </c>
      <c r="I2025">
        <v>1326.2442627</v>
      </c>
      <c r="J2025">
        <v>1324.1373291</v>
      </c>
      <c r="K2025">
        <v>2400</v>
      </c>
      <c r="L2025">
        <v>0</v>
      </c>
      <c r="M2025">
        <v>0</v>
      </c>
      <c r="N2025">
        <v>2400</v>
      </c>
    </row>
    <row r="2026" spans="1:14" x14ac:dyDescent="0.25">
      <c r="A2026">
        <v>1170.9866059999999</v>
      </c>
      <c r="B2026" s="1">
        <f>DATE(2013,7,14) + TIME(23,40,42)</f>
        <v>41469.986597222225</v>
      </c>
      <c r="C2026">
        <v>80</v>
      </c>
      <c r="D2026">
        <v>79.974441528</v>
      </c>
      <c r="E2026">
        <v>50</v>
      </c>
      <c r="F2026">
        <v>47.487590789999999</v>
      </c>
      <c r="G2026">
        <v>1339.3736572</v>
      </c>
      <c r="H2026">
        <v>1337.1849365</v>
      </c>
      <c r="I2026">
        <v>1326.2266846</v>
      </c>
      <c r="J2026">
        <v>1324.1099853999999</v>
      </c>
      <c r="K2026">
        <v>2400</v>
      </c>
      <c r="L2026">
        <v>0</v>
      </c>
      <c r="M2026">
        <v>0</v>
      </c>
      <c r="N2026">
        <v>2400</v>
      </c>
    </row>
    <row r="2027" spans="1:14" x14ac:dyDescent="0.25">
      <c r="A2027">
        <v>1172.711886</v>
      </c>
      <c r="B2027" s="1">
        <f>DATE(2013,7,16) + TIME(17,5,6)</f>
        <v>41471.711875000001</v>
      </c>
      <c r="C2027">
        <v>80</v>
      </c>
      <c r="D2027">
        <v>79.974433899000005</v>
      </c>
      <c r="E2027">
        <v>50</v>
      </c>
      <c r="F2027">
        <v>47.461475372000002</v>
      </c>
      <c r="G2027">
        <v>1339.3673096</v>
      </c>
      <c r="H2027">
        <v>1337.1824951000001</v>
      </c>
      <c r="I2027">
        <v>1326.2089844</v>
      </c>
      <c r="J2027">
        <v>1324.0822754000001</v>
      </c>
      <c r="K2027">
        <v>2400</v>
      </c>
      <c r="L2027">
        <v>0</v>
      </c>
      <c r="M2027">
        <v>0</v>
      </c>
      <c r="N2027">
        <v>2400</v>
      </c>
    </row>
    <row r="2028" spans="1:14" x14ac:dyDescent="0.25">
      <c r="A2028">
        <v>1174.448564</v>
      </c>
      <c r="B2028" s="1">
        <f>DATE(2013,7,18) + TIME(10,45,55)</f>
        <v>41473.448553240742</v>
      </c>
      <c r="C2028">
        <v>80</v>
      </c>
      <c r="D2028">
        <v>79.974418639999996</v>
      </c>
      <c r="E2028">
        <v>50</v>
      </c>
      <c r="F2028">
        <v>47.437294006000002</v>
      </c>
      <c r="G2028">
        <v>1339.3609618999999</v>
      </c>
      <c r="H2028">
        <v>1337.1799315999999</v>
      </c>
      <c r="I2028">
        <v>1326.1911620999999</v>
      </c>
      <c r="J2028">
        <v>1324.0541992000001</v>
      </c>
      <c r="K2028">
        <v>2400</v>
      </c>
      <c r="L2028">
        <v>0</v>
      </c>
      <c r="M2028">
        <v>0</v>
      </c>
      <c r="N2028">
        <v>2400</v>
      </c>
    </row>
    <row r="2029" spans="1:14" x14ac:dyDescent="0.25">
      <c r="A2029">
        <v>1176.197167</v>
      </c>
      <c r="B2029" s="1">
        <f>DATE(2013,7,20) + TIME(4,43,55)</f>
        <v>41475.197164351855</v>
      </c>
      <c r="C2029">
        <v>80</v>
      </c>
      <c r="D2029">
        <v>79.974403381000002</v>
      </c>
      <c r="E2029">
        <v>50</v>
      </c>
      <c r="F2029">
        <v>47.415904998999999</v>
      </c>
      <c r="G2029">
        <v>1339.3547363</v>
      </c>
      <c r="H2029">
        <v>1337.1773682</v>
      </c>
      <c r="I2029">
        <v>1326.1734618999999</v>
      </c>
      <c r="J2029">
        <v>1324.026001</v>
      </c>
      <c r="K2029">
        <v>2400</v>
      </c>
      <c r="L2029">
        <v>0</v>
      </c>
      <c r="M2029">
        <v>0</v>
      </c>
      <c r="N2029">
        <v>2400</v>
      </c>
    </row>
    <row r="2030" spans="1:14" x14ac:dyDescent="0.25">
      <c r="A2030">
        <v>1177.0894639999999</v>
      </c>
      <c r="B2030" s="1">
        <f>DATE(2013,7,21) + TIME(2,8,49)</f>
        <v>41476.089456018519</v>
      </c>
      <c r="C2030">
        <v>80</v>
      </c>
      <c r="D2030">
        <v>79.974380492999998</v>
      </c>
      <c r="E2030">
        <v>50</v>
      </c>
      <c r="F2030">
        <v>47.402011870999999</v>
      </c>
      <c r="G2030">
        <v>1339.348999</v>
      </c>
      <c r="H2030">
        <v>1337.175293</v>
      </c>
      <c r="I2030">
        <v>1326.1573486</v>
      </c>
      <c r="J2030">
        <v>1324.0001221</v>
      </c>
      <c r="K2030">
        <v>2400</v>
      </c>
      <c r="L2030">
        <v>0</v>
      </c>
      <c r="M2030">
        <v>0</v>
      </c>
      <c r="N2030">
        <v>2400</v>
      </c>
    </row>
    <row r="2031" spans="1:14" x14ac:dyDescent="0.25">
      <c r="A2031">
        <v>1177.981761</v>
      </c>
      <c r="B2031" s="1">
        <f>DATE(2013,7,21) + TIME(23,33,44)</f>
        <v>41476.981759259259</v>
      </c>
      <c r="C2031">
        <v>80</v>
      </c>
      <c r="D2031">
        <v>79.974372864000003</v>
      </c>
      <c r="E2031">
        <v>50</v>
      </c>
      <c r="F2031">
        <v>47.392398833999998</v>
      </c>
      <c r="G2031">
        <v>1339.3455810999999</v>
      </c>
      <c r="H2031">
        <v>1337.1737060999999</v>
      </c>
      <c r="I2031">
        <v>1326.1464844</v>
      </c>
      <c r="J2031">
        <v>1323.9825439000001</v>
      </c>
      <c r="K2031">
        <v>2400</v>
      </c>
      <c r="L2031">
        <v>0</v>
      </c>
      <c r="M2031">
        <v>0</v>
      </c>
      <c r="N2031">
        <v>2400</v>
      </c>
    </row>
    <row r="2032" spans="1:14" x14ac:dyDescent="0.25">
      <c r="A2032">
        <v>1178.8740580000001</v>
      </c>
      <c r="B2032" s="1">
        <f>DATE(2013,7,22) + TIME(20,58,38)</f>
        <v>41477.874050925922</v>
      </c>
      <c r="C2032">
        <v>80</v>
      </c>
      <c r="D2032">
        <v>79.974365234000004</v>
      </c>
      <c r="E2032">
        <v>50</v>
      </c>
      <c r="F2032">
        <v>47.385494231999999</v>
      </c>
      <c r="G2032">
        <v>1339.3424072</v>
      </c>
      <c r="H2032">
        <v>1337.1723632999999</v>
      </c>
      <c r="I2032">
        <v>1326.1368408000001</v>
      </c>
      <c r="J2032">
        <v>1323.9669189000001</v>
      </c>
      <c r="K2032">
        <v>2400</v>
      </c>
      <c r="L2032">
        <v>0</v>
      </c>
      <c r="M2032">
        <v>0</v>
      </c>
      <c r="N2032">
        <v>2400</v>
      </c>
    </row>
    <row r="2033" spans="1:14" x14ac:dyDescent="0.25">
      <c r="A2033">
        <v>1179.766355</v>
      </c>
      <c r="B2033" s="1">
        <f>DATE(2013,7,23) + TIME(18,23,33)</f>
        <v>41478.76635416667</v>
      </c>
      <c r="C2033">
        <v>80</v>
      </c>
      <c r="D2033">
        <v>79.974357604999994</v>
      </c>
      <c r="E2033">
        <v>50</v>
      </c>
      <c r="F2033">
        <v>47.380661011000001</v>
      </c>
      <c r="G2033">
        <v>1339.3394774999999</v>
      </c>
      <c r="H2033">
        <v>1337.1710204999999</v>
      </c>
      <c r="I2033">
        <v>1326.1279297000001</v>
      </c>
      <c r="J2033">
        <v>1323.9522704999999</v>
      </c>
      <c r="K2033">
        <v>2400</v>
      </c>
      <c r="L2033">
        <v>0</v>
      </c>
      <c r="M2033">
        <v>0</v>
      </c>
      <c r="N2033">
        <v>2400</v>
      </c>
    </row>
    <row r="2034" spans="1:14" x14ac:dyDescent="0.25">
      <c r="A2034">
        <v>1180.658651</v>
      </c>
      <c r="B2034" s="1">
        <f>DATE(2013,7,24) + TIME(15,48,27)</f>
        <v>41479.658645833333</v>
      </c>
      <c r="C2034">
        <v>80</v>
      </c>
      <c r="D2034">
        <v>79.974349975999999</v>
      </c>
      <c r="E2034">
        <v>50</v>
      </c>
      <c r="F2034">
        <v>47.377685546999999</v>
      </c>
      <c r="G2034">
        <v>1339.3364257999999</v>
      </c>
      <c r="H2034">
        <v>1337.1696777</v>
      </c>
      <c r="I2034">
        <v>1326.1192627</v>
      </c>
      <c r="J2034">
        <v>1323.9382324000001</v>
      </c>
      <c r="K2034">
        <v>2400</v>
      </c>
      <c r="L2034">
        <v>0</v>
      </c>
      <c r="M2034">
        <v>0</v>
      </c>
      <c r="N2034">
        <v>2400</v>
      </c>
    </row>
    <row r="2035" spans="1:14" x14ac:dyDescent="0.25">
      <c r="A2035">
        <v>1181.5509480000001</v>
      </c>
      <c r="B2035" s="1">
        <f>DATE(2013,7,25) + TIME(13,13,21)</f>
        <v>41480.550937499997</v>
      </c>
      <c r="C2035">
        <v>80</v>
      </c>
      <c r="D2035">
        <v>79.974349975999999</v>
      </c>
      <c r="E2035">
        <v>50</v>
      </c>
      <c r="F2035">
        <v>47.376560210999997</v>
      </c>
      <c r="G2035">
        <v>1339.3334961</v>
      </c>
      <c r="H2035">
        <v>1337.168457</v>
      </c>
      <c r="I2035">
        <v>1326.1109618999999</v>
      </c>
      <c r="J2035">
        <v>1323.9244385</v>
      </c>
      <c r="K2035">
        <v>2400</v>
      </c>
      <c r="L2035">
        <v>0</v>
      </c>
      <c r="M2035">
        <v>0</v>
      </c>
      <c r="N2035">
        <v>2400</v>
      </c>
    </row>
    <row r="2036" spans="1:14" x14ac:dyDescent="0.25">
      <c r="A2036">
        <v>1182.4432449999999</v>
      </c>
      <c r="B2036" s="1">
        <f>DATE(2013,7,26) + TIME(10,38,16)</f>
        <v>41481.443240740744</v>
      </c>
      <c r="C2036">
        <v>80</v>
      </c>
      <c r="D2036">
        <v>79.974342346</v>
      </c>
      <c r="E2036">
        <v>50</v>
      </c>
      <c r="F2036">
        <v>47.377365112</v>
      </c>
      <c r="G2036">
        <v>1339.3305664</v>
      </c>
      <c r="H2036">
        <v>1337.1672363</v>
      </c>
      <c r="I2036">
        <v>1326.1027832</v>
      </c>
      <c r="J2036">
        <v>1323.9110106999999</v>
      </c>
      <c r="K2036">
        <v>2400</v>
      </c>
      <c r="L2036">
        <v>0</v>
      </c>
      <c r="M2036">
        <v>0</v>
      </c>
      <c r="N2036">
        <v>2400</v>
      </c>
    </row>
    <row r="2037" spans="1:14" x14ac:dyDescent="0.25">
      <c r="A2037">
        <v>1183.335542</v>
      </c>
      <c r="B2037" s="1">
        <f>DATE(2013,7,27) + TIME(8,3,10)</f>
        <v>41482.335532407407</v>
      </c>
      <c r="C2037">
        <v>80</v>
      </c>
      <c r="D2037">
        <v>79.974342346</v>
      </c>
      <c r="E2037">
        <v>50</v>
      </c>
      <c r="F2037">
        <v>47.380233765</v>
      </c>
      <c r="G2037">
        <v>1339.3276367000001</v>
      </c>
      <c r="H2037">
        <v>1337.1660156</v>
      </c>
      <c r="I2037">
        <v>1326.0948486</v>
      </c>
      <c r="J2037">
        <v>1323.8977050999999</v>
      </c>
      <c r="K2037">
        <v>2400</v>
      </c>
      <c r="L2037">
        <v>0</v>
      </c>
      <c r="M2037">
        <v>0</v>
      </c>
      <c r="N2037">
        <v>2400</v>
      </c>
    </row>
    <row r="2038" spans="1:14" x14ac:dyDescent="0.25">
      <c r="A2038">
        <v>1184.2278389999999</v>
      </c>
      <c r="B2038" s="1">
        <f>DATE(2013,7,28) + TIME(5,28,5)</f>
        <v>41483.227835648147</v>
      </c>
      <c r="C2038">
        <v>80</v>
      </c>
      <c r="D2038">
        <v>79.974334717000005</v>
      </c>
      <c r="E2038">
        <v>50</v>
      </c>
      <c r="F2038">
        <v>47.385322571000003</v>
      </c>
      <c r="G2038">
        <v>1339.3248291</v>
      </c>
      <c r="H2038">
        <v>1337.1646728999999</v>
      </c>
      <c r="I2038">
        <v>1326.0869141000001</v>
      </c>
      <c r="J2038">
        <v>1323.8846435999999</v>
      </c>
      <c r="K2038">
        <v>2400</v>
      </c>
      <c r="L2038">
        <v>0</v>
      </c>
      <c r="M2038">
        <v>0</v>
      </c>
      <c r="N2038">
        <v>2400</v>
      </c>
    </row>
    <row r="2039" spans="1:14" x14ac:dyDescent="0.25">
      <c r="A2039">
        <v>1186.012432</v>
      </c>
      <c r="B2039" s="1">
        <f>DATE(2013,7,30) + TIME(0,17,54)</f>
        <v>41485.012430555558</v>
      </c>
      <c r="C2039">
        <v>80</v>
      </c>
      <c r="D2039">
        <v>79.974342346</v>
      </c>
      <c r="E2039">
        <v>50</v>
      </c>
      <c r="F2039">
        <v>47.394992827999999</v>
      </c>
      <c r="G2039">
        <v>1339.3216553</v>
      </c>
      <c r="H2039">
        <v>1337.1632079999999</v>
      </c>
      <c r="I2039">
        <v>1326.0783690999999</v>
      </c>
      <c r="J2039">
        <v>1323.8703613</v>
      </c>
      <c r="K2039">
        <v>2400</v>
      </c>
      <c r="L2039">
        <v>0</v>
      </c>
      <c r="M2039">
        <v>0</v>
      </c>
      <c r="N2039">
        <v>2400</v>
      </c>
    </row>
    <row r="2040" spans="1:14" x14ac:dyDescent="0.25">
      <c r="A2040">
        <v>1187.8002289999999</v>
      </c>
      <c r="B2040" s="1">
        <f>DATE(2013,7,31) + TIME(19,12,19)</f>
        <v>41486.800219907411</v>
      </c>
      <c r="C2040">
        <v>80</v>
      </c>
      <c r="D2040">
        <v>79.974342346</v>
      </c>
      <c r="E2040">
        <v>50</v>
      </c>
      <c r="F2040">
        <v>47.415275573999999</v>
      </c>
      <c r="G2040">
        <v>1339.3161620999999</v>
      </c>
      <c r="H2040">
        <v>1337.1608887</v>
      </c>
      <c r="I2040">
        <v>1326.0657959</v>
      </c>
      <c r="J2040">
        <v>1323.848999</v>
      </c>
      <c r="K2040">
        <v>2400</v>
      </c>
      <c r="L2040">
        <v>0</v>
      </c>
      <c r="M2040">
        <v>0</v>
      </c>
      <c r="N2040">
        <v>2400</v>
      </c>
    </row>
    <row r="2041" spans="1:14" x14ac:dyDescent="0.25">
      <c r="A2041">
        <v>1188</v>
      </c>
      <c r="B2041" s="1">
        <f>DATE(2013,8,1) + TIME(0,0,0)</f>
        <v>41487</v>
      </c>
      <c r="C2041">
        <v>80</v>
      </c>
      <c r="D2041">
        <v>79.974327087000006</v>
      </c>
      <c r="E2041">
        <v>50</v>
      </c>
      <c r="F2041">
        <v>47.425041198999999</v>
      </c>
      <c r="G2041">
        <v>1339.3128661999999</v>
      </c>
      <c r="H2041">
        <v>1337.1604004000001</v>
      </c>
      <c r="I2041">
        <v>1326.0559082</v>
      </c>
      <c r="J2041">
        <v>1323.8308105000001</v>
      </c>
      <c r="K2041">
        <v>2400</v>
      </c>
      <c r="L2041">
        <v>0</v>
      </c>
      <c r="M2041">
        <v>0</v>
      </c>
      <c r="N2041">
        <v>2400</v>
      </c>
    </row>
    <row r="2042" spans="1:14" x14ac:dyDescent="0.25">
      <c r="A2042">
        <v>1189.8766430000001</v>
      </c>
      <c r="B2042" s="1">
        <f>DATE(2013,8,2) + TIME(21,2,21)</f>
        <v>41488.876631944448</v>
      </c>
      <c r="C2042">
        <v>80</v>
      </c>
      <c r="D2042">
        <v>79.974334717000005</v>
      </c>
      <c r="E2042">
        <v>50</v>
      </c>
      <c r="F2042">
        <v>47.454597473</v>
      </c>
      <c r="G2042">
        <v>1339.3098144999999</v>
      </c>
      <c r="H2042">
        <v>1337.1579589999999</v>
      </c>
      <c r="I2042">
        <v>1326.0494385</v>
      </c>
      <c r="J2042">
        <v>1323.8209228999999</v>
      </c>
      <c r="K2042">
        <v>2400</v>
      </c>
      <c r="L2042">
        <v>0</v>
      </c>
      <c r="M2042">
        <v>0</v>
      </c>
      <c r="N2042">
        <v>2400</v>
      </c>
    </row>
    <row r="2043" spans="1:14" x14ac:dyDescent="0.25">
      <c r="A2043">
        <v>1191.775885</v>
      </c>
      <c r="B2043" s="1">
        <f>DATE(2013,8,4) + TIME(18,37,16)</f>
        <v>41490.775879629633</v>
      </c>
      <c r="C2043">
        <v>80</v>
      </c>
      <c r="D2043">
        <v>79.974327087000006</v>
      </c>
      <c r="E2043">
        <v>50</v>
      </c>
      <c r="F2043">
        <v>47.503131865999997</v>
      </c>
      <c r="G2043">
        <v>1339.3041992000001</v>
      </c>
      <c r="H2043">
        <v>1337.1555175999999</v>
      </c>
      <c r="I2043">
        <v>1326.0362548999999</v>
      </c>
      <c r="J2043">
        <v>1323.7977295000001</v>
      </c>
      <c r="K2043">
        <v>2400</v>
      </c>
      <c r="L2043">
        <v>0</v>
      </c>
      <c r="M2043">
        <v>0</v>
      </c>
      <c r="N2043">
        <v>2400</v>
      </c>
    </row>
    <row r="2044" spans="1:14" x14ac:dyDescent="0.25">
      <c r="A2044">
        <v>1192.7431859999999</v>
      </c>
      <c r="B2044" s="1">
        <f>DATE(2013,8,5) + TIME(17,50,11)</f>
        <v>41491.74318287037</v>
      </c>
      <c r="C2044">
        <v>80</v>
      </c>
      <c r="D2044">
        <v>79.974311829000001</v>
      </c>
      <c r="E2044">
        <v>50</v>
      </c>
      <c r="F2044">
        <v>47.556865692000002</v>
      </c>
      <c r="G2044">
        <v>1339.2990723</v>
      </c>
      <c r="H2044">
        <v>1337.1534423999999</v>
      </c>
      <c r="I2044">
        <v>1326.0242920000001</v>
      </c>
      <c r="J2044">
        <v>1323.7758789</v>
      </c>
      <c r="K2044">
        <v>2400</v>
      </c>
      <c r="L2044">
        <v>0</v>
      </c>
      <c r="M2044">
        <v>0</v>
      </c>
      <c r="N2044">
        <v>2400</v>
      </c>
    </row>
    <row r="2045" spans="1:14" x14ac:dyDescent="0.25">
      <c r="A2045">
        <v>1194.591981</v>
      </c>
      <c r="B2045" s="1">
        <f>DATE(2013,8,7) + TIME(14,12,27)</f>
        <v>41493.591979166667</v>
      </c>
      <c r="C2045">
        <v>80</v>
      </c>
      <c r="D2045">
        <v>79.974319457999997</v>
      </c>
      <c r="E2045">
        <v>50</v>
      </c>
      <c r="F2045">
        <v>47.621139526</v>
      </c>
      <c r="G2045">
        <v>1339.2955322</v>
      </c>
      <c r="H2045">
        <v>1337.1514893000001</v>
      </c>
      <c r="I2045">
        <v>1326.0144043</v>
      </c>
      <c r="J2045">
        <v>1323.7593993999999</v>
      </c>
      <c r="K2045">
        <v>2400</v>
      </c>
      <c r="L2045">
        <v>0</v>
      </c>
      <c r="M2045">
        <v>0</v>
      </c>
      <c r="N2045">
        <v>2400</v>
      </c>
    </row>
    <row r="2046" spans="1:14" x14ac:dyDescent="0.25">
      <c r="A2046">
        <v>1196.4648609999999</v>
      </c>
      <c r="B2046" s="1">
        <f>DATE(2013,8,9) + TIME(11,9,23)</f>
        <v>41495.464849537035</v>
      </c>
      <c r="C2046">
        <v>80</v>
      </c>
      <c r="D2046">
        <v>79.974319457999997</v>
      </c>
      <c r="E2046">
        <v>50</v>
      </c>
      <c r="F2046">
        <v>47.716609955000003</v>
      </c>
      <c r="G2046">
        <v>1339.2902832</v>
      </c>
      <c r="H2046">
        <v>1337.1490478999999</v>
      </c>
      <c r="I2046">
        <v>1326.003418</v>
      </c>
      <c r="J2046">
        <v>1323.7390137</v>
      </c>
      <c r="K2046">
        <v>2400</v>
      </c>
      <c r="L2046">
        <v>0</v>
      </c>
      <c r="M2046">
        <v>0</v>
      </c>
      <c r="N2046">
        <v>2400</v>
      </c>
    </row>
    <row r="2047" spans="1:14" x14ac:dyDescent="0.25">
      <c r="A2047">
        <v>1198.374384</v>
      </c>
      <c r="B2047" s="1">
        <f>DATE(2013,8,11) + TIME(8,59,6)</f>
        <v>41497.374374999999</v>
      </c>
      <c r="C2047">
        <v>80</v>
      </c>
      <c r="D2047">
        <v>79.974319457999997</v>
      </c>
      <c r="E2047">
        <v>50</v>
      </c>
      <c r="F2047">
        <v>47.840637207</v>
      </c>
      <c r="G2047">
        <v>1339.2849120999999</v>
      </c>
      <c r="H2047">
        <v>1337.1466064000001</v>
      </c>
      <c r="I2047">
        <v>1325.9920654</v>
      </c>
      <c r="J2047">
        <v>1323.7182617000001</v>
      </c>
      <c r="K2047">
        <v>2400</v>
      </c>
      <c r="L2047">
        <v>0</v>
      </c>
      <c r="M2047">
        <v>0</v>
      </c>
      <c r="N2047">
        <v>2400</v>
      </c>
    </row>
    <row r="2048" spans="1:14" x14ac:dyDescent="0.25">
      <c r="A2048">
        <v>1200.3019469999999</v>
      </c>
      <c r="B2048" s="1">
        <f>DATE(2013,8,13) + TIME(7,14,48)</f>
        <v>41499.301944444444</v>
      </c>
      <c r="C2048">
        <v>80</v>
      </c>
      <c r="D2048">
        <v>79.974311829000001</v>
      </c>
      <c r="E2048">
        <v>50</v>
      </c>
      <c r="F2048">
        <v>47.995353698999999</v>
      </c>
      <c r="G2048">
        <v>1339.2795410000001</v>
      </c>
      <c r="H2048">
        <v>1337.144043</v>
      </c>
      <c r="I2048">
        <v>1325.9813231999999</v>
      </c>
      <c r="J2048">
        <v>1323.6979980000001</v>
      </c>
      <c r="K2048">
        <v>2400</v>
      </c>
      <c r="L2048">
        <v>0</v>
      </c>
      <c r="M2048">
        <v>0</v>
      </c>
      <c r="N2048">
        <v>2400</v>
      </c>
    </row>
    <row r="2049" spans="1:14" x14ac:dyDescent="0.25">
      <c r="A2049">
        <v>1202.2385429999999</v>
      </c>
      <c r="B2049" s="1">
        <f>DATE(2013,8,15) + TIME(5,43,30)</f>
        <v>41501.238541666666</v>
      </c>
      <c r="C2049">
        <v>80</v>
      </c>
      <c r="D2049">
        <v>79.974311829000001</v>
      </c>
      <c r="E2049">
        <v>50</v>
      </c>
      <c r="F2049">
        <v>48.183071136000002</v>
      </c>
      <c r="G2049">
        <v>1339.2741699000001</v>
      </c>
      <c r="H2049">
        <v>1337.1413574000001</v>
      </c>
      <c r="I2049">
        <v>1325.9711914</v>
      </c>
      <c r="J2049">
        <v>1323.6788329999999</v>
      </c>
      <c r="K2049">
        <v>2400</v>
      </c>
      <c r="L2049">
        <v>0</v>
      </c>
      <c r="M2049">
        <v>0</v>
      </c>
      <c r="N2049">
        <v>2400</v>
      </c>
    </row>
    <row r="2050" spans="1:14" x14ac:dyDescent="0.25">
      <c r="A2050">
        <v>1203.2114349999999</v>
      </c>
      <c r="B2050" s="1">
        <f>DATE(2013,8,16) + TIME(5,4,27)</f>
        <v>41502.211423611108</v>
      </c>
      <c r="C2050">
        <v>80</v>
      </c>
      <c r="D2050">
        <v>79.974304199000002</v>
      </c>
      <c r="E2050">
        <v>50</v>
      </c>
      <c r="F2050">
        <v>48.360237122000001</v>
      </c>
      <c r="G2050">
        <v>1339.2694091999999</v>
      </c>
      <c r="H2050">
        <v>1337.1392822</v>
      </c>
      <c r="I2050">
        <v>1325.9638672000001</v>
      </c>
      <c r="J2050">
        <v>1323.6625977000001</v>
      </c>
      <c r="K2050">
        <v>2400</v>
      </c>
      <c r="L2050">
        <v>0</v>
      </c>
      <c r="M2050">
        <v>0</v>
      </c>
      <c r="N2050">
        <v>2400</v>
      </c>
    </row>
    <row r="2051" spans="1:14" x14ac:dyDescent="0.25">
      <c r="A2051">
        <v>1204.9290619999999</v>
      </c>
      <c r="B2051" s="1">
        <f>DATE(2013,8,17) + TIME(22,17,50)</f>
        <v>41503.929050925923</v>
      </c>
      <c r="C2051">
        <v>80</v>
      </c>
      <c r="D2051">
        <v>79.974311829000001</v>
      </c>
      <c r="E2051">
        <v>50</v>
      </c>
      <c r="F2051">
        <v>48.547111510999997</v>
      </c>
      <c r="G2051">
        <v>1339.2661132999999</v>
      </c>
      <c r="H2051">
        <v>1337.1374512</v>
      </c>
      <c r="I2051">
        <v>1325.9564209</v>
      </c>
      <c r="J2051">
        <v>1323.651001</v>
      </c>
      <c r="K2051">
        <v>2400</v>
      </c>
      <c r="L2051">
        <v>0</v>
      </c>
      <c r="M2051">
        <v>0</v>
      </c>
      <c r="N2051">
        <v>2400</v>
      </c>
    </row>
    <row r="2052" spans="1:14" x14ac:dyDescent="0.25">
      <c r="A2052">
        <v>1206.798869</v>
      </c>
      <c r="B2052" s="1">
        <f>DATE(2013,8,19) + TIME(19,10,22)</f>
        <v>41505.79886574074</v>
      </c>
      <c r="C2052">
        <v>80</v>
      </c>
      <c r="D2052">
        <v>79.974311829000001</v>
      </c>
      <c r="E2052">
        <v>50</v>
      </c>
      <c r="F2052">
        <v>48.790416718000003</v>
      </c>
      <c r="G2052">
        <v>1339.2617187999999</v>
      </c>
      <c r="H2052">
        <v>1337.1352539</v>
      </c>
      <c r="I2052">
        <v>1325.949707</v>
      </c>
      <c r="J2052">
        <v>1323.6376952999999</v>
      </c>
      <c r="K2052">
        <v>2400</v>
      </c>
      <c r="L2052">
        <v>0</v>
      </c>
      <c r="M2052">
        <v>0</v>
      </c>
      <c r="N2052">
        <v>2400</v>
      </c>
    </row>
    <row r="2053" spans="1:14" x14ac:dyDescent="0.25">
      <c r="A2053">
        <v>1208.7253800000001</v>
      </c>
      <c r="B2053" s="1">
        <f>DATE(2013,8,21) + TIME(17,24,32)</f>
        <v>41507.725370370368</v>
      </c>
      <c r="C2053">
        <v>80</v>
      </c>
      <c r="D2053">
        <v>79.974311829000001</v>
      </c>
      <c r="E2053">
        <v>50</v>
      </c>
      <c r="F2053">
        <v>49.093624114999997</v>
      </c>
      <c r="G2053">
        <v>1339.2568358999999</v>
      </c>
      <c r="H2053">
        <v>1337.1328125</v>
      </c>
      <c r="I2053">
        <v>1325.9431152</v>
      </c>
      <c r="J2053">
        <v>1323.6246338000001</v>
      </c>
      <c r="K2053">
        <v>2400</v>
      </c>
      <c r="L2053">
        <v>0</v>
      </c>
      <c r="M2053">
        <v>0</v>
      </c>
      <c r="N2053">
        <v>2400</v>
      </c>
    </row>
    <row r="2054" spans="1:14" x14ac:dyDescent="0.25">
      <c r="A2054">
        <v>1209.7138279999999</v>
      </c>
      <c r="B2054" s="1">
        <f>DATE(2013,8,22) + TIME(17,7,54)</f>
        <v>41508.713819444441</v>
      </c>
      <c r="C2054">
        <v>80</v>
      </c>
      <c r="D2054">
        <v>79.974304199000002</v>
      </c>
      <c r="E2054">
        <v>50</v>
      </c>
      <c r="F2054">
        <v>49.365287780999999</v>
      </c>
      <c r="G2054">
        <v>1339.2523193</v>
      </c>
      <c r="H2054">
        <v>1337.1307373</v>
      </c>
      <c r="I2054">
        <v>1325.9393310999999</v>
      </c>
      <c r="J2054">
        <v>1323.6136475000001</v>
      </c>
      <c r="K2054">
        <v>2400</v>
      </c>
      <c r="L2054">
        <v>0</v>
      </c>
      <c r="M2054">
        <v>0</v>
      </c>
      <c r="N2054">
        <v>2400</v>
      </c>
    </row>
    <row r="2055" spans="1:14" x14ac:dyDescent="0.25">
      <c r="A2055">
        <v>1211.409105</v>
      </c>
      <c r="B2055" s="1">
        <f>DATE(2013,8,24) + TIME(9,49,6)</f>
        <v>41510.409097222226</v>
      </c>
      <c r="C2055">
        <v>80</v>
      </c>
      <c r="D2055">
        <v>79.974311829000001</v>
      </c>
      <c r="E2055">
        <v>50</v>
      </c>
      <c r="F2055">
        <v>49.637638092000003</v>
      </c>
      <c r="G2055">
        <v>1339.2491454999999</v>
      </c>
      <c r="H2055">
        <v>1337.1289062000001</v>
      </c>
      <c r="I2055">
        <v>1325.9333495999999</v>
      </c>
      <c r="J2055">
        <v>1323.6058350000001</v>
      </c>
      <c r="K2055">
        <v>2400</v>
      </c>
      <c r="L2055">
        <v>0</v>
      </c>
      <c r="M2055">
        <v>0</v>
      </c>
      <c r="N2055">
        <v>2400</v>
      </c>
    </row>
    <row r="2056" spans="1:14" x14ac:dyDescent="0.25">
      <c r="A2056">
        <v>1213.2932659999999</v>
      </c>
      <c r="B2056" s="1">
        <f>DATE(2013,8,26) + TIME(7,2,18)</f>
        <v>41512.293263888889</v>
      </c>
      <c r="C2056">
        <v>80</v>
      </c>
      <c r="D2056">
        <v>79.974319457999997</v>
      </c>
      <c r="E2056">
        <v>50</v>
      </c>
      <c r="F2056">
        <v>49.995643616000002</v>
      </c>
      <c r="G2056">
        <v>1339.2449951000001</v>
      </c>
      <c r="H2056">
        <v>1337.1268310999999</v>
      </c>
      <c r="I2056">
        <v>1325.9288329999999</v>
      </c>
      <c r="J2056">
        <v>1323.5970459</v>
      </c>
      <c r="K2056">
        <v>2400</v>
      </c>
      <c r="L2056">
        <v>0</v>
      </c>
      <c r="M2056">
        <v>0</v>
      </c>
      <c r="N2056">
        <v>2400</v>
      </c>
    </row>
    <row r="2057" spans="1:14" x14ac:dyDescent="0.25">
      <c r="A2057">
        <v>1215.308677</v>
      </c>
      <c r="B2057" s="1">
        <f>DATE(2013,8,28) + TIME(7,24,29)</f>
        <v>41514.308668981481</v>
      </c>
      <c r="C2057">
        <v>80</v>
      </c>
      <c r="D2057">
        <v>79.974327087000006</v>
      </c>
      <c r="E2057">
        <v>50</v>
      </c>
      <c r="F2057">
        <v>50.376583099000001</v>
      </c>
      <c r="G2057">
        <v>1339.2403564000001</v>
      </c>
      <c r="H2057">
        <v>1337.1243896000001</v>
      </c>
      <c r="I2057">
        <v>1325.9246826000001</v>
      </c>
      <c r="J2057">
        <v>1323.588501</v>
      </c>
      <c r="K2057">
        <v>2400</v>
      </c>
      <c r="L2057">
        <v>0</v>
      </c>
      <c r="M2057">
        <v>0</v>
      </c>
      <c r="N2057">
        <v>2400</v>
      </c>
    </row>
    <row r="2058" spans="1:14" x14ac:dyDescent="0.25">
      <c r="A2058">
        <v>1217.39013</v>
      </c>
      <c r="B2058" s="1">
        <f>DATE(2013,8,30) + TIME(9,21,47)</f>
        <v>41516.390127314815</v>
      </c>
      <c r="C2058">
        <v>80</v>
      </c>
      <c r="D2058">
        <v>79.974327087000006</v>
      </c>
      <c r="E2058">
        <v>50</v>
      </c>
      <c r="F2058">
        <v>50.824661255000002</v>
      </c>
      <c r="G2058">
        <v>1339.2354736</v>
      </c>
      <c r="H2058">
        <v>1337.1218262</v>
      </c>
      <c r="I2058">
        <v>1325.9208983999999</v>
      </c>
      <c r="J2058">
        <v>1323.5803223</v>
      </c>
      <c r="K2058">
        <v>2400</v>
      </c>
      <c r="L2058">
        <v>0</v>
      </c>
      <c r="M2058">
        <v>0</v>
      </c>
      <c r="N2058">
        <v>2400</v>
      </c>
    </row>
    <row r="2059" spans="1:14" x14ac:dyDescent="0.25">
      <c r="A2059">
        <v>1219</v>
      </c>
      <c r="B2059" s="1">
        <f>DATE(2013,9,1) + TIME(0,0,0)</f>
        <v>41518</v>
      </c>
      <c r="C2059">
        <v>80</v>
      </c>
      <c r="D2059">
        <v>79.974327087000006</v>
      </c>
      <c r="E2059">
        <v>50</v>
      </c>
      <c r="F2059">
        <v>51.284511565999999</v>
      </c>
      <c r="G2059">
        <v>1339.2305908000001</v>
      </c>
      <c r="H2059">
        <v>1337.1195068</v>
      </c>
      <c r="I2059">
        <v>1325.9183350000001</v>
      </c>
      <c r="J2059">
        <v>1323.5739745999999</v>
      </c>
      <c r="K2059">
        <v>2400</v>
      </c>
      <c r="L2059">
        <v>0</v>
      </c>
      <c r="M2059">
        <v>0</v>
      </c>
      <c r="N2059">
        <v>2400</v>
      </c>
    </row>
    <row r="2060" spans="1:14" x14ac:dyDescent="0.25">
      <c r="A2060">
        <v>1221.166635</v>
      </c>
      <c r="B2060" s="1">
        <f>DATE(2013,9,3) + TIME(3,59,57)</f>
        <v>41520.166631944441</v>
      </c>
      <c r="C2060">
        <v>80</v>
      </c>
      <c r="D2060">
        <v>79.974334717000005</v>
      </c>
      <c r="E2060">
        <v>50</v>
      </c>
      <c r="F2060">
        <v>51.731628418</v>
      </c>
      <c r="G2060">
        <v>1339.2265625</v>
      </c>
      <c r="H2060">
        <v>1337.1171875</v>
      </c>
      <c r="I2060">
        <v>1325.9147949000001</v>
      </c>
      <c r="J2060">
        <v>1323.5693358999999</v>
      </c>
      <c r="K2060">
        <v>2400</v>
      </c>
      <c r="L2060">
        <v>0</v>
      </c>
      <c r="M2060">
        <v>0</v>
      </c>
      <c r="N2060">
        <v>2400</v>
      </c>
    </row>
    <row r="2061" spans="1:14" x14ac:dyDescent="0.25">
      <c r="A2061">
        <v>1223.5221100000001</v>
      </c>
      <c r="B2061" s="1">
        <f>DATE(2013,9,5) + TIME(12,31,50)</f>
        <v>41522.522106481483</v>
      </c>
      <c r="C2061">
        <v>80</v>
      </c>
      <c r="D2061">
        <v>79.974349975999999</v>
      </c>
      <c r="E2061">
        <v>50</v>
      </c>
      <c r="F2061">
        <v>52.255252837999997</v>
      </c>
      <c r="G2061">
        <v>1339.2215576000001</v>
      </c>
      <c r="H2061">
        <v>1337.114624</v>
      </c>
      <c r="I2061">
        <v>1325.9124756000001</v>
      </c>
      <c r="J2061">
        <v>1323.5643310999999</v>
      </c>
      <c r="K2061">
        <v>2400</v>
      </c>
      <c r="L2061">
        <v>0</v>
      </c>
      <c r="M2061">
        <v>0</v>
      </c>
      <c r="N2061">
        <v>2400</v>
      </c>
    </row>
    <row r="2062" spans="1:14" x14ac:dyDescent="0.25">
      <c r="A2062">
        <v>1225.9893870000001</v>
      </c>
      <c r="B2062" s="1">
        <f>DATE(2013,9,7) + TIME(23,44,43)</f>
        <v>41524.989386574074</v>
      </c>
      <c r="C2062">
        <v>80</v>
      </c>
      <c r="D2062">
        <v>79.974357604999994</v>
      </c>
      <c r="E2062">
        <v>50</v>
      </c>
      <c r="F2062">
        <v>52.826171875</v>
      </c>
      <c r="G2062">
        <v>1339.2161865</v>
      </c>
      <c r="H2062">
        <v>1337.1118164</v>
      </c>
      <c r="I2062">
        <v>1325.9106445</v>
      </c>
      <c r="J2062">
        <v>1323.5603027</v>
      </c>
      <c r="K2062">
        <v>2400</v>
      </c>
      <c r="L2062">
        <v>0</v>
      </c>
      <c r="M2062">
        <v>0</v>
      </c>
      <c r="N2062">
        <v>2400</v>
      </c>
    </row>
    <row r="2063" spans="1:14" x14ac:dyDescent="0.25">
      <c r="A2063">
        <v>1228.5276960000001</v>
      </c>
      <c r="B2063" s="1">
        <f>DATE(2013,9,10) + TIME(12,39,52)</f>
        <v>41527.527685185189</v>
      </c>
      <c r="C2063">
        <v>80</v>
      </c>
      <c r="D2063">
        <v>79.974365234000004</v>
      </c>
      <c r="E2063">
        <v>50</v>
      </c>
      <c r="F2063">
        <v>53.417881012000002</v>
      </c>
      <c r="G2063">
        <v>1339.2106934000001</v>
      </c>
      <c r="H2063">
        <v>1337.1088867000001</v>
      </c>
      <c r="I2063">
        <v>1325.9094238</v>
      </c>
      <c r="J2063">
        <v>1323.557251</v>
      </c>
      <c r="K2063">
        <v>2400</v>
      </c>
      <c r="L2063">
        <v>0</v>
      </c>
      <c r="M2063">
        <v>0</v>
      </c>
      <c r="N2063">
        <v>2400</v>
      </c>
    </row>
    <row r="2064" spans="1:14" x14ac:dyDescent="0.25">
      <c r="A2064">
        <v>1231.134456</v>
      </c>
      <c r="B2064" s="1">
        <f>DATE(2013,9,13) + TIME(3,13,37)</f>
        <v>41530.134456018517</v>
      </c>
      <c r="C2064">
        <v>80</v>
      </c>
      <c r="D2064">
        <v>79.974372864000003</v>
      </c>
      <c r="E2064">
        <v>50</v>
      </c>
      <c r="F2064">
        <v>54.011291503999999</v>
      </c>
      <c r="G2064">
        <v>1339.2052002</v>
      </c>
      <c r="H2064">
        <v>1337.1060791</v>
      </c>
      <c r="I2064">
        <v>1325.9086914</v>
      </c>
      <c r="J2064">
        <v>1323.5552978999999</v>
      </c>
      <c r="K2064">
        <v>2400</v>
      </c>
      <c r="L2064">
        <v>0</v>
      </c>
      <c r="M2064">
        <v>0</v>
      </c>
      <c r="N2064">
        <v>2400</v>
      </c>
    </row>
    <row r="2065" spans="1:14" x14ac:dyDescent="0.25">
      <c r="A2065">
        <v>1233.853942</v>
      </c>
      <c r="B2065" s="1">
        <f>DATE(2013,9,15) + TIME(20,29,40)</f>
        <v>41532.853935185187</v>
      </c>
      <c r="C2065">
        <v>80</v>
      </c>
      <c r="D2065">
        <v>79.974388122999997</v>
      </c>
      <c r="E2065">
        <v>50</v>
      </c>
      <c r="F2065">
        <v>54.598796843999999</v>
      </c>
      <c r="G2065">
        <v>1339.199707</v>
      </c>
      <c r="H2065">
        <v>1337.1030272999999</v>
      </c>
      <c r="I2065">
        <v>1325.9085693</v>
      </c>
      <c r="J2065">
        <v>1323.5543213000001</v>
      </c>
      <c r="K2065">
        <v>2400</v>
      </c>
      <c r="L2065">
        <v>0</v>
      </c>
      <c r="M2065">
        <v>0</v>
      </c>
      <c r="N2065">
        <v>2400</v>
      </c>
    </row>
    <row r="2066" spans="1:14" x14ac:dyDescent="0.25">
      <c r="A2066">
        <v>1236.615873</v>
      </c>
      <c r="B2066" s="1">
        <f>DATE(2013,9,18) + TIME(14,46,51)</f>
        <v>41535.615868055553</v>
      </c>
      <c r="C2066">
        <v>80</v>
      </c>
      <c r="D2066">
        <v>79.974395752000007</v>
      </c>
      <c r="E2066">
        <v>50</v>
      </c>
      <c r="F2066">
        <v>55.185764313</v>
      </c>
      <c r="G2066">
        <v>1339.1940918</v>
      </c>
      <c r="H2066">
        <v>1337.1000977000001</v>
      </c>
      <c r="I2066">
        <v>1325.9091797000001</v>
      </c>
      <c r="J2066">
        <v>1323.5543213000001</v>
      </c>
      <c r="K2066">
        <v>2400</v>
      </c>
      <c r="L2066">
        <v>0</v>
      </c>
      <c r="M2066">
        <v>0</v>
      </c>
      <c r="N2066">
        <v>2400</v>
      </c>
    </row>
    <row r="2067" spans="1:14" x14ac:dyDescent="0.25">
      <c r="A2067">
        <v>1239.4667219999999</v>
      </c>
      <c r="B2067" s="1">
        <f>DATE(2013,9,21) + TIME(11,12,4)</f>
        <v>41538.46671296296</v>
      </c>
      <c r="C2067">
        <v>80</v>
      </c>
      <c r="D2067">
        <v>79.974411011000001</v>
      </c>
      <c r="E2067">
        <v>50</v>
      </c>
      <c r="F2067">
        <v>55.760448455999999</v>
      </c>
      <c r="G2067">
        <v>1339.1884766000001</v>
      </c>
      <c r="H2067">
        <v>1337.097168</v>
      </c>
      <c r="I2067">
        <v>1325.9102783000001</v>
      </c>
      <c r="J2067">
        <v>1323.5550536999999</v>
      </c>
      <c r="K2067">
        <v>2400</v>
      </c>
      <c r="L2067">
        <v>0</v>
      </c>
      <c r="M2067">
        <v>0</v>
      </c>
      <c r="N2067">
        <v>2400</v>
      </c>
    </row>
    <row r="2068" spans="1:14" x14ac:dyDescent="0.25">
      <c r="A2068">
        <v>1242.4136169999999</v>
      </c>
      <c r="B2068" s="1">
        <f>DATE(2013,9,24) + TIME(9,55,36)</f>
        <v>41541.413611111115</v>
      </c>
      <c r="C2068">
        <v>80</v>
      </c>
      <c r="D2068">
        <v>79.974426269999995</v>
      </c>
      <c r="E2068">
        <v>50</v>
      </c>
      <c r="F2068">
        <v>56.327388763000002</v>
      </c>
      <c r="G2068">
        <v>1339.1828613</v>
      </c>
      <c r="H2068">
        <v>1337.0941161999999</v>
      </c>
      <c r="I2068">
        <v>1325.9119873</v>
      </c>
      <c r="J2068">
        <v>1323.5566406</v>
      </c>
      <c r="K2068">
        <v>2400</v>
      </c>
      <c r="L2068">
        <v>0</v>
      </c>
      <c r="M2068">
        <v>0</v>
      </c>
      <c r="N2068">
        <v>2400</v>
      </c>
    </row>
    <row r="2069" spans="1:14" x14ac:dyDescent="0.25">
      <c r="A2069">
        <v>1245.417995</v>
      </c>
      <c r="B2069" s="1">
        <f>DATE(2013,9,27) + TIME(10,1,54)</f>
        <v>41544.417986111112</v>
      </c>
      <c r="C2069">
        <v>80</v>
      </c>
      <c r="D2069">
        <v>79.974441528</v>
      </c>
      <c r="E2069">
        <v>50</v>
      </c>
      <c r="F2069">
        <v>56.881904601999999</v>
      </c>
      <c r="G2069">
        <v>1339.1772461</v>
      </c>
      <c r="H2069">
        <v>1337.0911865</v>
      </c>
      <c r="I2069">
        <v>1325.9140625</v>
      </c>
      <c r="J2069">
        <v>1323.5587158000001</v>
      </c>
      <c r="K2069">
        <v>2400</v>
      </c>
      <c r="L2069">
        <v>0</v>
      </c>
      <c r="M2069">
        <v>0</v>
      </c>
      <c r="N2069">
        <v>2400</v>
      </c>
    </row>
    <row r="2070" spans="1:14" x14ac:dyDescent="0.25">
      <c r="A2070">
        <v>1248.52</v>
      </c>
      <c r="B2070" s="1">
        <f>DATE(2013,9,30) + TIME(12,28,47)</f>
        <v>41547.519988425927</v>
      </c>
      <c r="C2070">
        <v>80</v>
      </c>
      <c r="D2070">
        <v>79.974456786999994</v>
      </c>
      <c r="E2070">
        <v>50</v>
      </c>
      <c r="F2070">
        <v>57.421344757</v>
      </c>
      <c r="G2070">
        <v>1339.1717529</v>
      </c>
      <c r="H2070">
        <v>1337.0881348</v>
      </c>
      <c r="I2070">
        <v>1325.9165039</v>
      </c>
      <c r="J2070">
        <v>1323.5612793</v>
      </c>
      <c r="K2070">
        <v>2400</v>
      </c>
      <c r="L2070">
        <v>0</v>
      </c>
      <c r="M2070">
        <v>0</v>
      </c>
      <c r="N2070">
        <v>2400</v>
      </c>
    </row>
    <row r="2071" spans="1:14" x14ac:dyDescent="0.25">
      <c r="A2071">
        <v>1249</v>
      </c>
      <c r="B2071" s="1">
        <f>DATE(2013,10,1) + TIME(0,0,0)</f>
        <v>41548</v>
      </c>
      <c r="C2071">
        <v>80</v>
      </c>
      <c r="D2071">
        <v>79.974441528</v>
      </c>
      <c r="E2071">
        <v>50</v>
      </c>
      <c r="F2071">
        <v>57.704162598000003</v>
      </c>
      <c r="G2071">
        <v>1339.1679687999999</v>
      </c>
      <c r="H2071">
        <v>1337.0869141000001</v>
      </c>
      <c r="I2071">
        <v>1325.9251709</v>
      </c>
      <c r="J2071">
        <v>1323.5661620999999</v>
      </c>
      <c r="K2071">
        <v>2400</v>
      </c>
      <c r="L2071">
        <v>0</v>
      </c>
      <c r="M2071">
        <v>0</v>
      </c>
      <c r="N2071">
        <v>2400</v>
      </c>
    </row>
    <row r="2072" spans="1:14" x14ac:dyDescent="0.25">
      <c r="A2072">
        <v>1252.1968939999999</v>
      </c>
      <c r="B2072" s="1">
        <f>DATE(2013,10,4) + TIME(4,43,31)</f>
        <v>41551.196886574071</v>
      </c>
      <c r="C2072">
        <v>80</v>
      </c>
      <c r="D2072">
        <v>79.974472046000002</v>
      </c>
      <c r="E2072">
        <v>50</v>
      </c>
      <c r="F2072">
        <v>58.053695679</v>
      </c>
      <c r="G2072">
        <v>1339.1651611</v>
      </c>
      <c r="H2072">
        <v>1337.0844727000001</v>
      </c>
      <c r="I2072">
        <v>1325.9204102000001</v>
      </c>
      <c r="J2072">
        <v>1323.5676269999999</v>
      </c>
      <c r="K2072">
        <v>2400</v>
      </c>
      <c r="L2072">
        <v>0</v>
      </c>
      <c r="M2072">
        <v>0</v>
      </c>
      <c r="N2072">
        <v>2400</v>
      </c>
    </row>
    <row r="2073" spans="1:14" x14ac:dyDescent="0.25">
      <c r="A2073">
        <v>1255.4842120000001</v>
      </c>
      <c r="B2073" s="1">
        <f>DATE(2013,10,7) + TIME(11,37,15)</f>
        <v>41554.484201388892</v>
      </c>
      <c r="C2073">
        <v>80</v>
      </c>
      <c r="D2073">
        <v>79.974494934000006</v>
      </c>
      <c r="E2073">
        <v>50</v>
      </c>
      <c r="F2073">
        <v>58.535575866999999</v>
      </c>
      <c r="G2073">
        <v>1339.1597899999999</v>
      </c>
      <c r="H2073">
        <v>1337.0816649999999</v>
      </c>
      <c r="I2073">
        <v>1325.9228516000001</v>
      </c>
      <c r="J2073">
        <v>1323.5683594</v>
      </c>
      <c r="K2073">
        <v>2400</v>
      </c>
      <c r="L2073">
        <v>0</v>
      </c>
      <c r="M2073">
        <v>0</v>
      </c>
      <c r="N2073">
        <v>2400</v>
      </c>
    </row>
    <row r="2074" spans="1:14" x14ac:dyDescent="0.25">
      <c r="A2074">
        <v>1258.874634</v>
      </c>
      <c r="B2074" s="1">
        <f>DATE(2013,10,10) + TIME(20,59,28)</f>
        <v>41557.87462962963</v>
      </c>
      <c r="C2074">
        <v>80</v>
      </c>
      <c r="D2074">
        <v>79.974510193</v>
      </c>
      <c r="E2074">
        <v>50</v>
      </c>
      <c r="F2074">
        <v>59.015590668000002</v>
      </c>
      <c r="G2074">
        <v>1339.1541748</v>
      </c>
      <c r="H2074">
        <v>1337.0787353999999</v>
      </c>
      <c r="I2074">
        <v>1325.9260254000001</v>
      </c>
      <c r="J2074">
        <v>1323.5715332</v>
      </c>
      <c r="K2074">
        <v>2400</v>
      </c>
      <c r="L2074">
        <v>0</v>
      </c>
      <c r="M2074">
        <v>0</v>
      </c>
      <c r="N2074">
        <v>2400</v>
      </c>
    </row>
    <row r="2075" spans="1:14" x14ac:dyDescent="0.25">
      <c r="A2075">
        <v>1262.3611920000001</v>
      </c>
      <c r="B2075" s="1">
        <f>DATE(2013,10,14) + TIME(8,40,7)</f>
        <v>41561.361192129632</v>
      </c>
      <c r="C2075">
        <v>80</v>
      </c>
      <c r="D2075">
        <v>79.974533081000004</v>
      </c>
      <c r="E2075">
        <v>50</v>
      </c>
      <c r="F2075">
        <v>59.495685577000003</v>
      </c>
      <c r="G2075">
        <v>1339.1486815999999</v>
      </c>
      <c r="H2075">
        <v>1337.0758057</v>
      </c>
      <c r="I2075">
        <v>1325.9295654</v>
      </c>
      <c r="J2075">
        <v>1323.5750731999999</v>
      </c>
      <c r="K2075">
        <v>2400</v>
      </c>
      <c r="L2075">
        <v>0</v>
      </c>
      <c r="M2075">
        <v>0</v>
      </c>
      <c r="N2075">
        <v>2400</v>
      </c>
    </row>
    <row r="2076" spans="1:14" x14ac:dyDescent="0.25">
      <c r="A2076">
        <v>1265.9223549999999</v>
      </c>
      <c r="B2076" s="1">
        <f>DATE(2013,10,17) + TIME(22,8,11)</f>
        <v>41564.922349537039</v>
      </c>
      <c r="C2076">
        <v>80</v>
      </c>
      <c r="D2076">
        <v>79.974555968999994</v>
      </c>
      <c r="E2076">
        <v>50</v>
      </c>
      <c r="F2076">
        <v>59.939483643000003</v>
      </c>
      <c r="G2076">
        <v>1339.1430664</v>
      </c>
      <c r="H2076">
        <v>1337.0727539</v>
      </c>
      <c r="I2076">
        <v>1325.9332274999999</v>
      </c>
      <c r="J2076">
        <v>1323.5789795000001</v>
      </c>
      <c r="K2076">
        <v>2400</v>
      </c>
      <c r="L2076">
        <v>0</v>
      </c>
      <c r="M2076">
        <v>0</v>
      </c>
      <c r="N2076">
        <v>2400</v>
      </c>
    </row>
    <row r="2077" spans="1:14" x14ac:dyDescent="0.25">
      <c r="A2077">
        <v>1269.6200080000001</v>
      </c>
      <c r="B2077" s="1">
        <f>DATE(2013,10,21) + TIME(14,52,48)</f>
        <v>41568.620000000003</v>
      </c>
      <c r="C2077">
        <v>80</v>
      </c>
      <c r="D2077">
        <v>79.974578856999997</v>
      </c>
      <c r="E2077">
        <v>50</v>
      </c>
      <c r="F2077">
        <v>60.396453856999997</v>
      </c>
      <c r="G2077">
        <v>1339.1375731999999</v>
      </c>
      <c r="H2077">
        <v>1337.0698242000001</v>
      </c>
      <c r="I2077">
        <v>1325.9370117000001</v>
      </c>
      <c r="J2077">
        <v>1323.5828856999999</v>
      </c>
      <c r="K2077">
        <v>2400</v>
      </c>
      <c r="L2077">
        <v>0</v>
      </c>
      <c r="M2077">
        <v>0</v>
      </c>
      <c r="N2077">
        <v>2400</v>
      </c>
    </row>
    <row r="2078" spans="1:14" x14ac:dyDescent="0.25">
      <c r="A2078">
        <v>1273.39023</v>
      </c>
      <c r="B2078" s="1">
        <f>DATE(2013,10,25) + TIME(9,21,55)</f>
        <v>41572.390219907407</v>
      </c>
      <c r="C2078">
        <v>80</v>
      </c>
      <c r="D2078">
        <v>79.974601746000005</v>
      </c>
      <c r="E2078">
        <v>50</v>
      </c>
      <c r="F2078">
        <v>60.783897400000001</v>
      </c>
      <c r="G2078">
        <v>1339.1320800999999</v>
      </c>
      <c r="H2078">
        <v>1337.0668945</v>
      </c>
      <c r="I2078">
        <v>1325.9411620999999</v>
      </c>
      <c r="J2078">
        <v>1323.5867920000001</v>
      </c>
      <c r="K2078">
        <v>2400</v>
      </c>
      <c r="L2078">
        <v>0</v>
      </c>
      <c r="M2078">
        <v>0</v>
      </c>
      <c r="N2078">
        <v>2400</v>
      </c>
    </row>
    <row r="2079" spans="1:14" x14ac:dyDescent="0.25">
      <c r="A2079">
        <v>1277.26126</v>
      </c>
      <c r="B2079" s="1">
        <f>DATE(2013,10,29) + TIME(6,16,12)</f>
        <v>41576.261250000003</v>
      </c>
      <c r="C2079">
        <v>80</v>
      </c>
      <c r="D2079">
        <v>79.974624633999994</v>
      </c>
      <c r="E2079">
        <v>50</v>
      </c>
      <c r="F2079">
        <v>61.249546051000003</v>
      </c>
      <c r="G2079">
        <v>1339.1265868999999</v>
      </c>
      <c r="H2079">
        <v>1337.0639647999999</v>
      </c>
      <c r="I2079">
        <v>1325.9449463000001</v>
      </c>
      <c r="J2079">
        <v>1323.5910644999999</v>
      </c>
      <c r="K2079">
        <v>2400</v>
      </c>
      <c r="L2079">
        <v>0</v>
      </c>
      <c r="M2079">
        <v>0</v>
      </c>
      <c r="N2079">
        <v>2400</v>
      </c>
    </row>
    <row r="2080" spans="1:14" x14ac:dyDescent="0.25">
      <c r="A2080">
        <v>1280</v>
      </c>
      <c r="B2080" s="1">
        <f>DATE(2013,11,1) + TIME(0,0,0)</f>
        <v>41579</v>
      </c>
      <c r="C2080">
        <v>80</v>
      </c>
      <c r="D2080">
        <v>79.974632263000004</v>
      </c>
      <c r="E2080">
        <v>50</v>
      </c>
      <c r="F2080">
        <v>61.495109558000003</v>
      </c>
      <c r="G2080">
        <v>1339.1214600000001</v>
      </c>
      <c r="H2080">
        <v>1337.0612793</v>
      </c>
      <c r="I2080">
        <v>1325.9501952999999</v>
      </c>
      <c r="J2080">
        <v>1323.5952147999999</v>
      </c>
      <c r="K2080">
        <v>2400</v>
      </c>
      <c r="L2080">
        <v>0</v>
      </c>
      <c r="M2080">
        <v>0</v>
      </c>
      <c r="N2080">
        <v>2400</v>
      </c>
    </row>
    <row r="2081" spans="1:14" x14ac:dyDescent="0.25">
      <c r="A2081">
        <v>1280.0000010000001</v>
      </c>
      <c r="B2081" s="1">
        <f>DATE(2013,11,1) + TIME(0,0,0)</f>
        <v>41579</v>
      </c>
      <c r="C2081">
        <v>80</v>
      </c>
      <c r="D2081">
        <v>79.974601746000005</v>
      </c>
      <c r="E2081">
        <v>50</v>
      </c>
      <c r="F2081">
        <v>61.495121001999998</v>
      </c>
      <c r="G2081">
        <v>1337.0504149999999</v>
      </c>
      <c r="H2081">
        <v>1336.3648682</v>
      </c>
      <c r="I2081">
        <v>1328.4317627</v>
      </c>
      <c r="J2081">
        <v>1325.9649658000001</v>
      </c>
      <c r="K2081">
        <v>0</v>
      </c>
      <c r="L2081">
        <v>2400</v>
      </c>
      <c r="M2081">
        <v>2400</v>
      </c>
      <c r="N2081">
        <v>0</v>
      </c>
    </row>
    <row r="2082" spans="1:14" x14ac:dyDescent="0.25">
      <c r="A2082">
        <v>1280.000004</v>
      </c>
      <c r="B2082" s="1">
        <f>DATE(2013,11,1) + TIME(0,0,0)</f>
        <v>41579</v>
      </c>
      <c r="C2082">
        <v>80</v>
      </c>
      <c r="D2082">
        <v>79.974502563000001</v>
      </c>
      <c r="E2082">
        <v>50</v>
      </c>
      <c r="F2082">
        <v>61.49515152</v>
      </c>
      <c r="G2082">
        <v>1337.0187988</v>
      </c>
      <c r="H2082">
        <v>1336.3344727000001</v>
      </c>
      <c r="I2082">
        <v>1328.4632568</v>
      </c>
      <c r="J2082">
        <v>1326.0084228999999</v>
      </c>
      <c r="K2082">
        <v>0</v>
      </c>
      <c r="L2082">
        <v>2400</v>
      </c>
      <c r="M2082">
        <v>2400</v>
      </c>
      <c r="N2082">
        <v>0</v>
      </c>
    </row>
    <row r="2083" spans="1:14" x14ac:dyDescent="0.25">
      <c r="A2083">
        <v>1280.0000130000001</v>
      </c>
      <c r="B2083" s="1">
        <f>DATE(2013,11,1) + TIME(0,0,1)</f>
        <v>41579.000011574077</v>
      </c>
      <c r="C2083">
        <v>80</v>
      </c>
      <c r="D2083">
        <v>79.974212645999998</v>
      </c>
      <c r="E2083">
        <v>50</v>
      </c>
      <c r="F2083">
        <v>61.495235442999999</v>
      </c>
      <c r="G2083">
        <v>1336.9295654</v>
      </c>
      <c r="H2083">
        <v>1336.2484131000001</v>
      </c>
      <c r="I2083">
        <v>1328.5539550999999</v>
      </c>
      <c r="J2083">
        <v>1326.1318358999999</v>
      </c>
      <c r="K2083">
        <v>0</v>
      </c>
      <c r="L2083">
        <v>2400</v>
      </c>
      <c r="M2083">
        <v>2400</v>
      </c>
      <c r="N2083">
        <v>0</v>
      </c>
    </row>
    <row r="2084" spans="1:14" x14ac:dyDescent="0.25">
      <c r="A2084">
        <v>1280.0000399999999</v>
      </c>
      <c r="B2084" s="1">
        <f>DATE(2013,11,1) + TIME(0,0,3)</f>
        <v>41579.000034722223</v>
      </c>
      <c r="C2084">
        <v>80</v>
      </c>
      <c r="D2084">
        <v>79.973480225000003</v>
      </c>
      <c r="E2084">
        <v>50</v>
      </c>
      <c r="F2084">
        <v>61.49539566</v>
      </c>
      <c r="G2084">
        <v>1336.7034911999999</v>
      </c>
      <c r="H2084">
        <v>1336.0283202999999</v>
      </c>
      <c r="I2084">
        <v>1328.7984618999999</v>
      </c>
      <c r="J2084">
        <v>1326.4514160000001</v>
      </c>
      <c r="K2084">
        <v>0</v>
      </c>
      <c r="L2084">
        <v>2400</v>
      </c>
      <c r="M2084">
        <v>2400</v>
      </c>
      <c r="N2084">
        <v>0</v>
      </c>
    </row>
    <row r="2085" spans="1:14" x14ac:dyDescent="0.25">
      <c r="A2085">
        <v>1280.000121</v>
      </c>
      <c r="B2085" s="1">
        <f>DATE(2013,11,1) + TIME(0,0,10)</f>
        <v>41579.000115740739</v>
      </c>
      <c r="C2085">
        <v>80</v>
      </c>
      <c r="D2085">
        <v>79.971992493000002</v>
      </c>
      <c r="E2085">
        <v>50</v>
      </c>
      <c r="F2085">
        <v>61.49539566</v>
      </c>
      <c r="G2085">
        <v>1336.2423096</v>
      </c>
      <c r="H2085">
        <v>1335.5703125</v>
      </c>
      <c r="I2085">
        <v>1329.3624268000001</v>
      </c>
      <c r="J2085">
        <v>1327.1290283000001</v>
      </c>
      <c r="K2085">
        <v>0</v>
      </c>
      <c r="L2085">
        <v>2400</v>
      </c>
      <c r="M2085">
        <v>2400</v>
      </c>
      <c r="N2085">
        <v>0</v>
      </c>
    </row>
    <row r="2086" spans="1:14" x14ac:dyDescent="0.25">
      <c r="A2086">
        <v>1280.000364</v>
      </c>
      <c r="B2086" s="1">
        <f>DATE(2013,11,1) + TIME(0,0,31)</f>
        <v>41579.000358796293</v>
      </c>
      <c r="C2086">
        <v>80</v>
      </c>
      <c r="D2086">
        <v>79.969764709000003</v>
      </c>
      <c r="E2086">
        <v>50</v>
      </c>
      <c r="F2086">
        <v>61.492904662999997</v>
      </c>
      <c r="G2086">
        <v>1335.5527344</v>
      </c>
      <c r="H2086">
        <v>1334.8676757999999</v>
      </c>
      <c r="I2086">
        <v>1330.3560791</v>
      </c>
      <c r="J2086">
        <v>1328.1826172000001</v>
      </c>
      <c r="K2086">
        <v>0</v>
      </c>
      <c r="L2086">
        <v>2400</v>
      </c>
      <c r="M2086">
        <v>2400</v>
      </c>
      <c r="N2086">
        <v>0</v>
      </c>
    </row>
    <row r="2087" spans="1:14" x14ac:dyDescent="0.25">
      <c r="A2087">
        <v>1280.0010930000001</v>
      </c>
      <c r="B2087" s="1">
        <f>DATE(2013,11,1) + TIME(0,1,34)</f>
        <v>41579.001087962963</v>
      </c>
      <c r="C2087">
        <v>80</v>
      </c>
      <c r="D2087">
        <v>79.967140197999996</v>
      </c>
      <c r="E2087">
        <v>50</v>
      </c>
      <c r="F2087">
        <v>61.481204986999998</v>
      </c>
      <c r="G2087">
        <v>1334.7565918</v>
      </c>
      <c r="H2087">
        <v>1334.0417480000001</v>
      </c>
      <c r="I2087">
        <v>1331.6523437999999</v>
      </c>
      <c r="J2087">
        <v>1329.4566649999999</v>
      </c>
      <c r="K2087">
        <v>0</v>
      </c>
      <c r="L2087">
        <v>2400</v>
      </c>
      <c r="M2087">
        <v>2400</v>
      </c>
      <c r="N2087">
        <v>0</v>
      </c>
    </row>
    <row r="2088" spans="1:14" x14ac:dyDescent="0.25">
      <c r="A2088">
        <v>1280.0032799999999</v>
      </c>
      <c r="B2088" s="1">
        <f>DATE(2013,11,1) + TIME(0,4,43)</f>
        <v>41579.003275462965</v>
      </c>
      <c r="C2088">
        <v>80</v>
      </c>
      <c r="D2088">
        <v>79.964241028000004</v>
      </c>
      <c r="E2088">
        <v>50</v>
      </c>
      <c r="F2088">
        <v>61.440093994000001</v>
      </c>
      <c r="G2088">
        <v>1333.9216309000001</v>
      </c>
      <c r="H2088">
        <v>1333.1662598</v>
      </c>
      <c r="I2088">
        <v>1333.0367432</v>
      </c>
      <c r="J2088">
        <v>1330.8001709</v>
      </c>
      <c r="K2088">
        <v>0</v>
      </c>
      <c r="L2088">
        <v>2400</v>
      </c>
      <c r="M2088">
        <v>2400</v>
      </c>
      <c r="N2088">
        <v>0</v>
      </c>
    </row>
    <row r="2089" spans="1:14" x14ac:dyDescent="0.25">
      <c r="A2089">
        <v>1280.0098410000001</v>
      </c>
      <c r="B2089" s="1">
        <f>DATE(2013,11,1) + TIME(0,14,10)</f>
        <v>41579.009837962964</v>
      </c>
      <c r="C2089">
        <v>80</v>
      </c>
      <c r="D2089">
        <v>79.960723877000007</v>
      </c>
      <c r="E2089">
        <v>50</v>
      </c>
      <c r="F2089">
        <v>61.310424804999997</v>
      </c>
      <c r="G2089">
        <v>1333.0400391000001</v>
      </c>
      <c r="H2089">
        <v>1332.2312012</v>
      </c>
      <c r="I2089">
        <v>1334.4290771000001</v>
      </c>
      <c r="J2089">
        <v>1332.1530762</v>
      </c>
      <c r="K2089">
        <v>0</v>
      </c>
      <c r="L2089">
        <v>2400</v>
      </c>
      <c r="M2089">
        <v>2400</v>
      </c>
      <c r="N2089">
        <v>0</v>
      </c>
    </row>
    <row r="2090" spans="1:14" x14ac:dyDescent="0.25">
      <c r="A2090">
        <v>1280.029524</v>
      </c>
      <c r="B2090" s="1">
        <f>DATE(2013,11,1) + TIME(0,42,30)</f>
        <v>41579.029513888891</v>
      </c>
      <c r="C2090">
        <v>80</v>
      </c>
      <c r="D2090">
        <v>79.955574036000002</v>
      </c>
      <c r="E2090">
        <v>50</v>
      </c>
      <c r="F2090">
        <v>60.923210144000002</v>
      </c>
      <c r="G2090">
        <v>1332.0994873</v>
      </c>
      <c r="H2090">
        <v>1331.2281493999999</v>
      </c>
      <c r="I2090">
        <v>1335.8041992000001</v>
      </c>
      <c r="J2090">
        <v>1333.4792480000001</v>
      </c>
      <c r="K2090">
        <v>0</v>
      </c>
      <c r="L2090">
        <v>2400</v>
      </c>
      <c r="M2090">
        <v>2400</v>
      </c>
      <c r="N2090">
        <v>0</v>
      </c>
    </row>
    <row r="2091" spans="1:14" x14ac:dyDescent="0.25">
      <c r="A2091">
        <v>1280.053441</v>
      </c>
      <c r="B2091" s="1">
        <f>DATE(2013,11,1) + TIME(1,16,57)</f>
        <v>41579.053437499999</v>
      </c>
      <c r="C2091">
        <v>80</v>
      </c>
      <c r="D2091">
        <v>79.951103209999999</v>
      </c>
      <c r="E2091">
        <v>50</v>
      </c>
      <c r="F2091">
        <v>60.467247008999998</v>
      </c>
      <c r="G2091">
        <v>1331.5335693</v>
      </c>
      <c r="H2091">
        <v>1330.6236572</v>
      </c>
      <c r="I2091">
        <v>1336.5843506000001</v>
      </c>
      <c r="J2091">
        <v>1334.2250977000001</v>
      </c>
      <c r="K2091">
        <v>0</v>
      </c>
      <c r="L2091">
        <v>2400</v>
      </c>
      <c r="M2091">
        <v>2400</v>
      </c>
      <c r="N2091">
        <v>0</v>
      </c>
    </row>
    <row r="2092" spans="1:14" x14ac:dyDescent="0.25">
      <c r="A2092">
        <v>1280.0789130000001</v>
      </c>
      <c r="B2092" s="1">
        <f>DATE(2013,11,1) + TIME(1,53,38)</f>
        <v>41579.078912037039</v>
      </c>
      <c r="C2092">
        <v>80</v>
      </c>
      <c r="D2092">
        <v>79.947090149000005</v>
      </c>
      <c r="E2092">
        <v>50</v>
      </c>
      <c r="F2092">
        <v>60.001426696999999</v>
      </c>
      <c r="G2092">
        <v>1331.1741943</v>
      </c>
      <c r="H2092">
        <v>1330.2403564000001</v>
      </c>
      <c r="I2092">
        <v>1337.0607910000001</v>
      </c>
      <c r="J2092">
        <v>1334.6782227000001</v>
      </c>
      <c r="K2092">
        <v>0</v>
      </c>
      <c r="L2092">
        <v>2400</v>
      </c>
      <c r="M2092">
        <v>2400</v>
      </c>
      <c r="N2092">
        <v>0</v>
      </c>
    </row>
    <row r="2093" spans="1:14" x14ac:dyDescent="0.25">
      <c r="A2093">
        <v>1280.1058370000001</v>
      </c>
      <c r="B2093" s="1">
        <f>DATE(2013,11,1) + TIME(2,32,24)</f>
        <v>41579.105833333335</v>
      </c>
      <c r="C2093">
        <v>80</v>
      </c>
      <c r="D2093">
        <v>79.943252563000001</v>
      </c>
      <c r="E2093">
        <v>50</v>
      </c>
      <c r="F2093">
        <v>59.531784058</v>
      </c>
      <c r="G2093">
        <v>1330.9246826000001</v>
      </c>
      <c r="H2093">
        <v>1329.9746094</v>
      </c>
      <c r="I2093">
        <v>1337.3819579999999</v>
      </c>
      <c r="J2093">
        <v>1334.9830322</v>
      </c>
      <c r="K2093">
        <v>0</v>
      </c>
      <c r="L2093">
        <v>2400</v>
      </c>
      <c r="M2093">
        <v>2400</v>
      </c>
      <c r="N2093">
        <v>0</v>
      </c>
    </row>
    <row r="2094" spans="1:14" x14ac:dyDescent="0.25">
      <c r="A2094">
        <v>1280.134186</v>
      </c>
      <c r="B2094" s="1">
        <f>DATE(2013,11,1) + TIME(3,13,13)</f>
        <v>41579.13417824074</v>
      </c>
      <c r="C2094">
        <v>80</v>
      </c>
      <c r="D2094">
        <v>79.939460753999995</v>
      </c>
      <c r="E2094">
        <v>50</v>
      </c>
      <c r="F2094">
        <v>59.062602996999999</v>
      </c>
      <c r="G2094">
        <v>1330.7409668</v>
      </c>
      <c r="H2094">
        <v>1329.7794189000001</v>
      </c>
      <c r="I2094">
        <v>1337.6119385</v>
      </c>
      <c r="J2094">
        <v>1335.2014160000001</v>
      </c>
      <c r="K2094">
        <v>0</v>
      </c>
      <c r="L2094">
        <v>2400</v>
      </c>
      <c r="M2094">
        <v>2400</v>
      </c>
      <c r="N2094">
        <v>0</v>
      </c>
    </row>
    <row r="2095" spans="1:14" x14ac:dyDescent="0.25">
      <c r="A2095">
        <v>1280.1639709999999</v>
      </c>
      <c r="B2095" s="1">
        <f>DATE(2013,11,1) + TIME(3,56,7)</f>
        <v>41579.163969907408</v>
      </c>
      <c r="C2095">
        <v>80</v>
      </c>
      <c r="D2095">
        <v>79.935646057</v>
      </c>
      <c r="E2095">
        <v>50</v>
      </c>
      <c r="F2095">
        <v>58.596679688000002</v>
      </c>
      <c r="G2095">
        <v>1330.5998535000001</v>
      </c>
      <c r="H2095">
        <v>1329.6298827999999</v>
      </c>
      <c r="I2095">
        <v>1337.7832031</v>
      </c>
      <c r="J2095">
        <v>1335.3643798999999</v>
      </c>
      <c r="K2095">
        <v>0</v>
      </c>
      <c r="L2095">
        <v>2400</v>
      </c>
      <c r="M2095">
        <v>2400</v>
      </c>
      <c r="N2095">
        <v>0</v>
      </c>
    </row>
    <row r="2096" spans="1:14" x14ac:dyDescent="0.25">
      <c r="A2096">
        <v>1280.195232</v>
      </c>
      <c r="B2096" s="1">
        <f>DATE(2013,11,1) + TIME(4,41,8)</f>
        <v>41579.195231481484</v>
      </c>
      <c r="C2096">
        <v>80</v>
      </c>
      <c r="D2096">
        <v>79.931777953999998</v>
      </c>
      <c r="E2096">
        <v>50</v>
      </c>
      <c r="F2096">
        <v>58.135978698999999</v>
      </c>
      <c r="G2096">
        <v>1330.4879149999999</v>
      </c>
      <c r="H2096">
        <v>1329.5114745999999</v>
      </c>
      <c r="I2096">
        <v>1337.9145507999999</v>
      </c>
      <c r="J2096">
        <v>1335.489624</v>
      </c>
      <c r="K2096">
        <v>0</v>
      </c>
      <c r="L2096">
        <v>2400</v>
      </c>
      <c r="M2096">
        <v>2400</v>
      </c>
      <c r="N2096">
        <v>0</v>
      </c>
    </row>
    <row r="2097" spans="1:14" x14ac:dyDescent="0.25">
      <c r="A2097">
        <v>1280.22803</v>
      </c>
      <c r="B2097" s="1">
        <f>DATE(2013,11,1) + TIME(5,28,21)</f>
        <v>41579.228020833332</v>
      </c>
      <c r="C2097">
        <v>80</v>
      </c>
      <c r="D2097">
        <v>79.927818298000005</v>
      </c>
      <c r="E2097">
        <v>50</v>
      </c>
      <c r="F2097">
        <v>57.68195343</v>
      </c>
      <c r="G2097">
        <v>1330.3967285000001</v>
      </c>
      <c r="H2097">
        <v>1329.4150391000001</v>
      </c>
      <c r="I2097">
        <v>1338.0173339999999</v>
      </c>
      <c r="J2097">
        <v>1335.5878906</v>
      </c>
      <c r="K2097">
        <v>0</v>
      </c>
      <c r="L2097">
        <v>2400</v>
      </c>
      <c r="M2097">
        <v>2400</v>
      </c>
      <c r="N2097">
        <v>0</v>
      </c>
    </row>
    <row r="2098" spans="1:14" x14ac:dyDescent="0.25">
      <c r="A2098">
        <v>1280.262438</v>
      </c>
      <c r="B2098" s="1">
        <f>DATE(2013,11,1) + TIME(6,17,54)</f>
        <v>41579.262430555558</v>
      </c>
      <c r="C2098">
        <v>80</v>
      </c>
      <c r="D2098">
        <v>79.923751831000004</v>
      </c>
      <c r="E2098">
        <v>50</v>
      </c>
      <c r="F2098">
        <v>57.235790252999998</v>
      </c>
      <c r="G2098">
        <v>1330.3209228999999</v>
      </c>
      <c r="H2098">
        <v>1329.3347168</v>
      </c>
      <c r="I2098">
        <v>1338.0987548999999</v>
      </c>
      <c r="J2098">
        <v>1335.6660156</v>
      </c>
      <c r="K2098">
        <v>0</v>
      </c>
      <c r="L2098">
        <v>2400</v>
      </c>
      <c r="M2098">
        <v>2400</v>
      </c>
      <c r="N2098">
        <v>0</v>
      </c>
    </row>
    <row r="2099" spans="1:14" x14ac:dyDescent="0.25">
      <c r="A2099">
        <v>1280.298536</v>
      </c>
      <c r="B2099" s="1">
        <f>DATE(2013,11,1) + TIME(7,9,53)</f>
        <v>41579.298530092594</v>
      </c>
      <c r="C2099">
        <v>80</v>
      </c>
      <c r="D2099">
        <v>79.919555664000001</v>
      </c>
      <c r="E2099">
        <v>50</v>
      </c>
      <c r="F2099">
        <v>56.798538207999997</v>
      </c>
      <c r="G2099">
        <v>1330.2565918</v>
      </c>
      <c r="H2099">
        <v>1329.2664795000001</v>
      </c>
      <c r="I2099">
        <v>1338.1639404</v>
      </c>
      <c r="J2099">
        <v>1335.7285156</v>
      </c>
      <c r="K2099">
        <v>0</v>
      </c>
      <c r="L2099">
        <v>2400</v>
      </c>
      <c r="M2099">
        <v>2400</v>
      </c>
      <c r="N2099">
        <v>0</v>
      </c>
    </row>
    <row r="2100" spans="1:14" x14ac:dyDescent="0.25">
      <c r="A2100">
        <v>1280.336452</v>
      </c>
      <c r="B2100" s="1">
        <f>DATE(2013,11,1) + TIME(8,4,29)</f>
        <v>41579.336446759262</v>
      </c>
      <c r="C2100">
        <v>80</v>
      </c>
      <c r="D2100">
        <v>79.915222168</v>
      </c>
      <c r="E2100">
        <v>50</v>
      </c>
      <c r="F2100">
        <v>56.370704650999997</v>
      </c>
      <c r="G2100">
        <v>1330.2014160000001</v>
      </c>
      <c r="H2100">
        <v>1329.2076416</v>
      </c>
      <c r="I2100">
        <v>1338.2161865</v>
      </c>
      <c r="J2100">
        <v>1335.7786865</v>
      </c>
      <c r="K2100">
        <v>0</v>
      </c>
      <c r="L2100">
        <v>2400</v>
      </c>
      <c r="M2100">
        <v>2400</v>
      </c>
      <c r="N2100">
        <v>0</v>
      </c>
    </row>
    <row r="2101" spans="1:14" x14ac:dyDescent="0.25">
      <c r="A2101">
        <v>1280.376311</v>
      </c>
      <c r="B2101" s="1">
        <f>DATE(2013,11,1) + TIME(9,1,53)</f>
        <v>41579.376307870371</v>
      </c>
      <c r="C2101">
        <v>80</v>
      </c>
      <c r="D2101">
        <v>79.910720824999999</v>
      </c>
      <c r="E2101">
        <v>50</v>
      </c>
      <c r="F2101">
        <v>55.952922821000001</v>
      </c>
      <c r="G2101">
        <v>1330.1534423999999</v>
      </c>
      <c r="H2101">
        <v>1329.15625</v>
      </c>
      <c r="I2101">
        <v>1338.2579346</v>
      </c>
      <c r="J2101">
        <v>1335.8188477000001</v>
      </c>
      <c r="K2101">
        <v>0</v>
      </c>
      <c r="L2101">
        <v>2400</v>
      </c>
      <c r="M2101">
        <v>2400</v>
      </c>
      <c r="N2101">
        <v>0</v>
      </c>
    </row>
    <row r="2102" spans="1:14" x14ac:dyDescent="0.25">
      <c r="A2102">
        <v>1280.4182559999999</v>
      </c>
      <c r="B2102" s="1">
        <f>DATE(2013,11,1) + TIME(10,2,17)</f>
        <v>41579.418252314812</v>
      </c>
      <c r="C2102">
        <v>80</v>
      </c>
      <c r="D2102">
        <v>79.906051636000001</v>
      </c>
      <c r="E2102">
        <v>50</v>
      </c>
      <c r="F2102">
        <v>55.545780182000001</v>
      </c>
      <c r="G2102">
        <v>1330.1112060999999</v>
      </c>
      <c r="H2102">
        <v>1329.1108397999999</v>
      </c>
      <c r="I2102">
        <v>1338.2911377</v>
      </c>
      <c r="J2102">
        <v>1335.8507079999999</v>
      </c>
      <c r="K2102">
        <v>0</v>
      </c>
      <c r="L2102">
        <v>2400</v>
      </c>
      <c r="M2102">
        <v>2400</v>
      </c>
      <c r="N2102">
        <v>0</v>
      </c>
    </row>
    <row r="2103" spans="1:14" x14ac:dyDescent="0.25">
      <c r="A2103">
        <v>1280.4624449999999</v>
      </c>
      <c r="B2103" s="1">
        <f>DATE(2013,11,1) + TIME(11,5,55)</f>
        <v>41579.462442129632</v>
      </c>
      <c r="C2103">
        <v>80</v>
      </c>
      <c r="D2103">
        <v>79.901199340999995</v>
      </c>
      <c r="E2103">
        <v>50</v>
      </c>
      <c r="F2103">
        <v>55.149814606</v>
      </c>
      <c r="G2103">
        <v>1330.0737305</v>
      </c>
      <c r="H2103">
        <v>1329.0701904</v>
      </c>
      <c r="I2103">
        <v>1338.3171387</v>
      </c>
      <c r="J2103">
        <v>1335.8756103999999</v>
      </c>
      <c r="K2103">
        <v>0</v>
      </c>
      <c r="L2103">
        <v>2400</v>
      </c>
      <c r="M2103">
        <v>2400</v>
      </c>
      <c r="N2103">
        <v>0</v>
      </c>
    </row>
    <row r="2104" spans="1:14" x14ac:dyDescent="0.25">
      <c r="A2104">
        <v>1280.5090540000001</v>
      </c>
      <c r="B2104" s="1">
        <f>DATE(2013,11,1) + TIME(12,13,2)</f>
        <v>41579.509050925924</v>
      </c>
      <c r="C2104">
        <v>80</v>
      </c>
      <c r="D2104">
        <v>79.896133422999995</v>
      </c>
      <c r="E2104">
        <v>50</v>
      </c>
      <c r="F2104">
        <v>54.765552520999996</v>
      </c>
      <c r="G2104">
        <v>1330.0402832</v>
      </c>
      <c r="H2104">
        <v>1329.0336914</v>
      </c>
      <c r="I2104">
        <v>1338.3370361</v>
      </c>
      <c r="J2104">
        <v>1335.8945312000001</v>
      </c>
      <c r="K2104">
        <v>0</v>
      </c>
      <c r="L2104">
        <v>2400</v>
      </c>
      <c r="M2104">
        <v>2400</v>
      </c>
      <c r="N2104">
        <v>0</v>
      </c>
    </row>
    <row r="2105" spans="1:14" x14ac:dyDescent="0.25">
      <c r="A2105">
        <v>1280.558282</v>
      </c>
      <c r="B2105" s="1">
        <f>DATE(2013,11,1) + TIME(13,23,55)</f>
        <v>41579.558275462965</v>
      </c>
      <c r="C2105">
        <v>80</v>
      </c>
      <c r="D2105">
        <v>79.890853882000002</v>
      </c>
      <c r="E2105">
        <v>50</v>
      </c>
      <c r="F2105">
        <v>54.393497467000003</v>
      </c>
      <c r="G2105">
        <v>1330.0102539</v>
      </c>
      <c r="H2105">
        <v>1329.0006103999999</v>
      </c>
      <c r="I2105">
        <v>1338.3518065999999</v>
      </c>
      <c r="J2105">
        <v>1335.9085693</v>
      </c>
      <c r="K2105">
        <v>0</v>
      </c>
      <c r="L2105">
        <v>2400</v>
      </c>
      <c r="M2105">
        <v>2400</v>
      </c>
      <c r="N2105">
        <v>0</v>
      </c>
    </row>
    <row r="2106" spans="1:14" x14ac:dyDescent="0.25">
      <c r="A2106">
        <v>1280.610349</v>
      </c>
      <c r="B2106" s="1">
        <f>DATE(2013,11,1) + TIME(14,38,54)</f>
        <v>41579.610347222224</v>
      </c>
      <c r="C2106">
        <v>80</v>
      </c>
      <c r="D2106">
        <v>79.885330199999999</v>
      </c>
      <c r="E2106">
        <v>50</v>
      </c>
      <c r="F2106">
        <v>54.034152984999999</v>
      </c>
      <c r="G2106">
        <v>1329.9830322</v>
      </c>
      <c r="H2106">
        <v>1328.9702147999999</v>
      </c>
      <c r="I2106">
        <v>1338.3621826000001</v>
      </c>
      <c r="J2106">
        <v>1335.9182129000001</v>
      </c>
      <c r="K2106">
        <v>0</v>
      </c>
      <c r="L2106">
        <v>2400</v>
      </c>
      <c r="M2106">
        <v>2400</v>
      </c>
      <c r="N2106">
        <v>0</v>
      </c>
    </row>
    <row r="2107" spans="1:14" x14ac:dyDescent="0.25">
      <c r="A2107">
        <v>1280.6655020000001</v>
      </c>
      <c r="B2107" s="1">
        <f>DATE(2013,11,1) + TIME(15,58,19)</f>
        <v>41579.665497685186</v>
      </c>
      <c r="C2107">
        <v>80</v>
      </c>
      <c r="D2107">
        <v>79.879547118999994</v>
      </c>
      <c r="E2107">
        <v>50</v>
      </c>
      <c r="F2107">
        <v>53.688018798999998</v>
      </c>
      <c r="G2107">
        <v>1329.958374</v>
      </c>
      <c r="H2107">
        <v>1328.9423827999999</v>
      </c>
      <c r="I2107">
        <v>1338.3688964999999</v>
      </c>
      <c r="J2107">
        <v>1335.9243164</v>
      </c>
      <c r="K2107">
        <v>0</v>
      </c>
      <c r="L2107">
        <v>2400</v>
      </c>
      <c r="M2107">
        <v>2400</v>
      </c>
      <c r="N2107">
        <v>0</v>
      </c>
    </row>
    <row r="2108" spans="1:14" x14ac:dyDescent="0.25">
      <c r="A2108">
        <v>1280.7240159999999</v>
      </c>
      <c r="B2108" s="1">
        <f>DATE(2013,11,1) + TIME(17,22,34)</f>
        <v>41579.724004629628</v>
      </c>
      <c r="C2108">
        <v>80</v>
      </c>
      <c r="D2108">
        <v>79.873481749999996</v>
      </c>
      <c r="E2108">
        <v>50</v>
      </c>
      <c r="F2108">
        <v>53.355594635000003</v>
      </c>
      <c r="G2108">
        <v>1329.9357910000001</v>
      </c>
      <c r="H2108">
        <v>1328.916626</v>
      </c>
      <c r="I2108">
        <v>1338.3724365</v>
      </c>
      <c r="J2108">
        <v>1335.9274902</v>
      </c>
      <c r="K2108">
        <v>0</v>
      </c>
      <c r="L2108">
        <v>2400</v>
      </c>
      <c r="M2108">
        <v>2400</v>
      </c>
      <c r="N2108">
        <v>0</v>
      </c>
    </row>
    <row r="2109" spans="1:14" x14ac:dyDescent="0.25">
      <c r="A2109">
        <v>1280.7861800000001</v>
      </c>
      <c r="B2109" s="1">
        <f>DATE(2013,11,1) + TIME(18,52,5)</f>
        <v>41579.786168981482</v>
      </c>
      <c r="C2109">
        <v>80</v>
      </c>
      <c r="D2109">
        <v>79.867118834999999</v>
      </c>
      <c r="E2109">
        <v>50</v>
      </c>
      <c r="F2109">
        <v>53.037475585999999</v>
      </c>
      <c r="G2109">
        <v>1329.9150391000001</v>
      </c>
      <c r="H2109">
        <v>1328.8925781</v>
      </c>
      <c r="I2109">
        <v>1338.3736572</v>
      </c>
      <c r="J2109">
        <v>1335.9281006000001</v>
      </c>
      <c r="K2109">
        <v>0</v>
      </c>
      <c r="L2109">
        <v>2400</v>
      </c>
      <c r="M2109">
        <v>2400</v>
      </c>
      <c r="N2109">
        <v>0</v>
      </c>
    </row>
    <row r="2110" spans="1:14" x14ac:dyDescent="0.25">
      <c r="A2110">
        <v>1280.852351</v>
      </c>
      <c r="B2110" s="1">
        <f>DATE(2013,11,1) + TIME(20,27,23)</f>
        <v>41579.852349537039</v>
      </c>
      <c r="C2110">
        <v>80</v>
      </c>
      <c r="D2110">
        <v>79.860420227000006</v>
      </c>
      <c r="E2110">
        <v>50</v>
      </c>
      <c r="F2110">
        <v>52.734088898000003</v>
      </c>
      <c r="G2110">
        <v>1329.895874</v>
      </c>
      <c r="H2110">
        <v>1328.8701172000001</v>
      </c>
      <c r="I2110">
        <v>1338.3726807</v>
      </c>
      <c r="J2110">
        <v>1335.9267577999999</v>
      </c>
      <c r="K2110">
        <v>0</v>
      </c>
      <c r="L2110">
        <v>2400</v>
      </c>
      <c r="M2110">
        <v>2400</v>
      </c>
      <c r="N2110">
        <v>0</v>
      </c>
    </row>
    <row r="2111" spans="1:14" x14ac:dyDescent="0.25">
      <c r="A2111">
        <v>1280.922928</v>
      </c>
      <c r="B2111" s="1">
        <f>DATE(2013,11,1) + TIME(22,9,0)</f>
        <v>41579.92291666667</v>
      </c>
      <c r="C2111">
        <v>80</v>
      </c>
      <c r="D2111">
        <v>79.853370666999993</v>
      </c>
      <c r="E2111">
        <v>50</v>
      </c>
      <c r="F2111">
        <v>52.445873259999999</v>
      </c>
      <c r="G2111">
        <v>1329.8779297000001</v>
      </c>
      <c r="H2111">
        <v>1328.8487548999999</v>
      </c>
      <c r="I2111">
        <v>1338.3702393000001</v>
      </c>
      <c r="J2111">
        <v>1335.9239502</v>
      </c>
      <c r="K2111">
        <v>0</v>
      </c>
      <c r="L2111">
        <v>2400</v>
      </c>
      <c r="M2111">
        <v>2400</v>
      </c>
      <c r="N2111">
        <v>0</v>
      </c>
    </row>
    <row r="2112" spans="1:14" x14ac:dyDescent="0.25">
      <c r="A2112">
        <v>1280.9983549999999</v>
      </c>
      <c r="B2112" s="1">
        <f>DATE(2013,11,1) + TIME(23,57,37)</f>
        <v>41579.998344907406</v>
      </c>
      <c r="C2112">
        <v>80</v>
      </c>
      <c r="D2112">
        <v>79.845916747999993</v>
      </c>
      <c r="E2112">
        <v>50</v>
      </c>
      <c r="F2112">
        <v>52.173282622999999</v>
      </c>
      <c r="G2112">
        <v>1329.8612060999999</v>
      </c>
      <c r="H2112">
        <v>1328.8284911999999</v>
      </c>
      <c r="I2112">
        <v>1338.3665771000001</v>
      </c>
      <c r="J2112">
        <v>1335.9199219</v>
      </c>
      <c r="K2112">
        <v>0</v>
      </c>
      <c r="L2112">
        <v>2400</v>
      </c>
      <c r="M2112">
        <v>2400</v>
      </c>
      <c r="N2112">
        <v>0</v>
      </c>
    </row>
    <row r="2113" spans="1:14" x14ac:dyDescent="0.25">
      <c r="A2113">
        <v>1281.0791360000001</v>
      </c>
      <c r="B2113" s="1">
        <f>DATE(2013,11,2) + TIME(1,53,57)</f>
        <v>41580.079131944447</v>
      </c>
      <c r="C2113">
        <v>80</v>
      </c>
      <c r="D2113">
        <v>79.838043213000006</v>
      </c>
      <c r="E2113">
        <v>50</v>
      </c>
      <c r="F2113">
        <v>51.916763306</v>
      </c>
      <c r="G2113">
        <v>1329.8454589999999</v>
      </c>
      <c r="H2113">
        <v>1328.809082</v>
      </c>
      <c r="I2113">
        <v>1338.3621826000001</v>
      </c>
      <c r="J2113">
        <v>1335.9151611</v>
      </c>
      <c r="K2113">
        <v>0</v>
      </c>
      <c r="L2113">
        <v>2400</v>
      </c>
      <c r="M2113">
        <v>2400</v>
      </c>
      <c r="N2113">
        <v>0</v>
      </c>
    </row>
    <row r="2114" spans="1:14" x14ac:dyDescent="0.25">
      <c r="A2114">
        <v>1281.1658420000001</v>
      </c>
      <c r="B2114" s="1">
        <f>DATE(2013,11,2) + TIME(3,58,48)</f>
        <v>41580.165833333333</v>
      </c>
      <c r="C2114">
        <v>80</v>
      </c>
      <c r="D2114">
        <v>79.829704285000005</v>
      </c>
      <c r="E2114">
        <v>50</v>
      </c>
      <c r="F2114">
        <v>51.676719665999997</v>
      </c>
      <c r="G2114">
        <v>1329.8304443</v>
      </c>
      <c r="H2114">
        <v>1328.7902832</v>
      </c>
      <c r="I2114">
        <v>1338.3571777</v>
      </c>
      <c r="J2114">
        <v>1335.9099120999999</v>
      </c>
      <c r="K2114">
        <v>0</v>
      </c>
      <c r="L2114">
        <v>2400</v>
      </c>
      <c r="M2114">
        <v>2400</v>
      </c>
      <c r="N2114">
        <v>0</v>
      </c>
    </row>
    <row r="2115" spans="1:14" x14ac:dyDescent="0.25">
      <c r="A2115">
        <v>1281.2591239999999</v>
      </c>
      <c r="B2115" s="1">
        <f>DATE(2013,11,2) + TIME(6,13,8)</f>
        <v>41580.259120370371</v>
      </c>
      <c r="C2115">
        <v>80</v>
      </c>
      <c r="D2115">
        <v>79.820846558</v>
      </c>
      <c r="E2115">
        <v>50</v>
      </c>
      <c r="F2115">
        <v>51.453498840000002</v>
      </c>
      <c r="G2115">
        <v>1329.8160399999999</v>
      </c>
      <c r="H2115">
        <v>1328.7719727000001</v>
      </c>
      <c r="I2115">
        <v>1338.3519286999999</v>
      </c>
      <c r="J2115">
        <v>1335.9045410000001</v>
      </c>
      <c r="K2115">
        <v>0</v>
      </c>
      <c r="L2115">
        <v>2400</v>
      </c>
      <c r="M2115">
        <v>2400</v>
      </c>
      <c r="N2115">
        <v>0</v>
      </c>
    </row>
    <row r="2116" spans="1:14" x14ac:dyDescent="0.25">
      <c r="A2116">
        <v>1281.3597259999999</v>
      </c>
      <c r="B2116" s="1">
        <f>DATE(2013,11,2) + TIME(8,38,0)</f>
        <v>41580.359722222223</v>
      </c>
      <c r="C2116">
        <v>80</v>
      </c>
      <c r="D2116">
        <v>79.811416625999996</v>
      </c>
      <c r="E2116">
        <v>50</v>
      </c>
      <c r="F2116">
        <v>51.247406005999999</v>
      </c>
      <c r="G2116">
        <v>1329.8022461</v>
      </c>
      <c r="H2116">
        <v>1328.7539062000001</v>
      </c>
      <c r="I2116">
        <v>1338.3466797000001</v>
      </c>
      <c r="J2116">
        <v>1335.8990478999999</v>
      </c>
      <c r="K2116">
        <v>0</v>
      </c>
      <c r="L2116">
        <v>2400</v>
      </c>
      <c r="M2116">
        <v>2400</v>
      </c>
      <c r="N2116">
        <v>0</v>
      </c>
    </row>
    <row r="2117" spans="1:14" x14ac:dyDescent="0.25">
      <c r="A2117">
        <v>1281.4685030000001</v>
      </c>
      <c r="B2117" s="1">
        <f>DATE(2013,11,2) + TIME(11,14,38)</f>
        <v>41580.468495370369</v>
      </c>
      <c r="C2117">
        <v>80</v>
      </c>
      <c r="D2117">
        <v>79.801368713000002</v>
      </c>
      <c r="E2117">
        <v>50</v>
      </c>
      <c r="F2117">
        <v>51.058639526</v>
      </c>
      <c r="G2117">
        <v>1329.7886963000001</v>
      </c>
      <c r="H2117">
        <v>1328.7360839999999</v>
      </c>
      <c r="I2117">
        <v>1338.3415527</v>
      </c>
      <c r="J2117">
        <v>1335.8937988</v>
      </c>
      <c r="K2117">
        <v>0</v>
      </c>
      <c r="L2117">
        <v>2400</v>
      </c>
      <c r="M2117">
        <v>2400</v>
      </c>
      <c r="N2117">
        <v>0</v>
      </c>
    </row>
    <row r="2118" spans="1:14" x14ac:dyDescent="0.25">
      <c r="A2118">
        <v>1281.5864340000001</v>
      </c>
      <c r="B2118" s="1">
        <f>DATE(2013,11,2) + TIME(14,4,27)</f>
        <v>41580.586423611108</v>
      </c>
      <c r="C2118">
        <v>80</v>
      </c>
      <c r="D2118">
        <v>79.790626525999997</v>
      </c>
      <c r="E2118">
        <v>50</v>
      </c>
      <c r="F2118">
        <v>50.887310028000002</v>
      </c>
      <c r="G2118">
        <v>1329.7753906</v>
      </c>
      <c r="H2118">
        <v>1328.7183838000001</v>
      </c>
      <c r="I2118">
        <v>1338.3366699000001</v>
      </c>
      <c r="J2118">
        <v>1335.8889160000001</v>
      </c>
      <c r="K2118">
        <v>0</v>
      </c>
      <c r="L2118">
        <v>2400</v>
      </c>
      <c r="M2118">
        <v>2400</v>
      </c>
      <c r="N2118">
        <v>0</v>
      </c>
    </row>
    <row r="2119" spans="1:14" x14ac:dyDescent="0.25">
      <c r="A2119">
        <v>1281.714651</v>
      </c>
      <c r="B2119" s="1">
        <f>DATE(2013,11,2) + TIME(17,9,5)</f>
        <v>41580.714641203704</v>
      </c>
      <c r="C2119">
        <v>80</v>
      </c>
      <c r="D2119">
        <v>79.779121399000005</v>
      </c>
      <c r="E2119">
        <v>50</v>
      </c>
      <c r="F2119">
        <v>50.733398438000002</v>
      </c>
      <c r="G2119">
        <v>1329.762207</v>
      </c>
      <c r="H2119">
        <v>1328.7004394999999</v>
      </c>
      <c r="I2119">
        <v>1338.3320312000001</v>
      </c>
      <c r="J2119">
        <v>1335.8843993999999</v>
      </c>
      <c r="K2119">
        <v>0</v>
      </c>
      <c r="L2119">
        <v>2400</v>
      </c>
      <c r="M2119">
        <v>2400</v>
      </c>
      <c r="N2119">
        <v>0</v>
      </c>
    </row>
    <row r="2120" spans="1:14" x14ac:dyDescent="0.25">
      <c r="A2120">
        <v>1281.854493</v>
      </c>
      <c r="B2120" s="1">
        <f>DATE(2013,11,2) + TIME(20,30,28)</f>
        <v>41580.854490740741</v>
      </c>
      <c r="C2120">
        <v>80</v>
      </c>
      <c r="D2120">
        <v>79.766754149999997</v>
      </c>
      <c r="E2120">
        <v>50</v>
      </c>
      <c r="F2120">
        <v>50.596706390000001</v>
      </c>
      <c r="G2120">
        <v>1329.7490233999999</v>
      </c>
      <c r="H2120">
        <v>1328.682251</v>
      </c>
      <c r="I2120">
        <v>1338.3276367000001</v>
      </c>
      <c r="J2120">
        <v>1335.8803711</v>
      </c>
      <c r="K2120">
        <v>0</v>
      </c>
      <c r="L2120">
        <v>2400</v>
      </c>
      <c r="M2120">
        <v>2400</v>
      </c>
      <c r="N2120">
        <v>0</v>
      </c>
    </row>
    <row r="2121" spans="1:14" x14ac:dyDescent="0.25">
      <c r="A2121">
        <v>1282.0044459999999</v>
      </c>
      <c r="B2121" s="1">
        <f>DATE(2013,11,3) + TIME(0,6,24)</f>
        <v>41581.004444444443</v>
      </c>
      <c r="C2121">
        <v>80</v>
      </c>
      <c r="D2121">
        <v>79.753662109000004</v>
      </c>
      <c r="E2121">
        <v>50</v>
      </c>
      <c r="F2121">
        <v>50.478820800999998</v>
      </c>
      <c r="G2121">
        <v>1329.7357178</v>
      </c>
      <c r="H2121">
        <v>1328.6636963000001</v>
      </c>
      <c r="I2121">
        <v>1338.3238524999999</v>
      </c>
      <c r="J2121">
        <v>1335.8769531</v>
      </c>
      <c r="K2121">
        <v>0</v>
      </c>
      <c r="L2121">
        <v>2400</v>
      </c>
      <c r="M2121">
        <v>2400</v>
      </c>
      <c r="N2121">
        <v>0</v>
      </c>
    </row>
    <row r="2122" spans="1:14" x14ac:dyDescent="0.25">
      <c r="A2122">
        <v>1282.1583860000001</v>
      </c>
      <c r="B2122" s="1">
        <f>DATE(2013,11,3) + TIME(3,48,4)</f>
        <v>41581.158379629633</v>
      </c>
      <c r="C2122">
        <v>80</v>
      </c>
      <c r="D2122">
        <v>79.740303040000001</v>
      </c>
      <c r="E2122">
        <v>50</v>
      </c>
      <c r="F2122">
        <v>50.381904601999999</v>
      </c>
      <c r="G2122">
        <v>1329.7226562000001</v>
      </c>
      <c r="H2122">
        <v>1328.6451416</v>
      </c>
      <c r="I2122">
        <v>1338.3209228999999</v>
      </c>
      <c r="J2122">
        <v>1335.8743896000001</v>
      </c>
      <c r="K2122">
        <v>0</v>
      </c>
      <c r="L2122">
        <v>2400</v>
      </c>
      <c r="M2122">
        <v>2400</v>
      </c>
      <c r="N2122">
        <v>0</v>
      </c>
    </row>
    <row r="2123" spans="1:14" x14ac:dyDescent="0.25">
      <c r="A2123">
        <v>1282.3167920000001</v>
      </c>
      <c r="B2123" s="1">
        <f>DATE(2013,11,3) + TIME(7,36,10)</f>
        <v>41581.316782407404</v>
      </c>
      <c r="C2123">
        <v>80</v>
      </c>
      <c r="D2123">
        <v>79.726638793999996</v>
      </c>
      <c r="E2123">
        <v>50</v>
      </c>
      <c r="F2123">
        <v>50.302429199000002</v>
      </c>
      <c r="G2123">
        <v>1329.7097168</v>
      </c>
      <c r="H2123">
        <v>1328.6269531</v>
      </c>
      <c r="I2123">
        <v>1338.3181152</v>
      </c>
      <c r="J2123">
        <v>1335.8721923999999</v>
      </c>
      <c r="K2123">
        <v>0</v>
      </c>
      <c r="L2123">
        <v>2400</v>
      </c>
      <c r="M2123">
        <v>2400</v>
      </c>
      <c r="N2123">
        <v>0</v>
      </c>
    </row>
    <row r="2124" spans="1:14" x14ac:dyDescent="0.25">
      <c r="A2124">
        <v>1282.4799969999999</v>
      </c>
      <c r="B2124" s="1">
        <f>DATE(2013,11,3) + TIME(11,31,11)</f>
        <v>41581.479988425926</v>
      </c>
      <c r="C2124">
        <v>80</v>
      </c>
      <c r="D2124">
        <v>79.712654114000003</v>
      </c>
      <c r="E2124">
        <v>50</v>
      </c>
      <c r="F2124">
        <v>50.237529754999997</v>
      </c>
      <c r="G2124">
        <v>1329.6970214999999</v>
      </c>
      <c r="H2124">
        <v>1328.6087646000001</v>
      </c>
      <c r="I2124">
        <v>1338.3153076000001</v>
      </c>
      <c r="J2124">
        <v>1335.8702393000001</v>
      </c>
      <c r="K2124">
        <v>0</v>
      </c>
      <c r="L2124">
        <v>2400</v>
      </c>
      <c r="M2124">
        <v>2400</v>
      </c>
      <c r="N2124">
        <v>0</v>
      </c>
    </row>
    <row r="2125" spans="1:14" x14ac:dyDescent="0.25">
      <c r="A2125">
        <v>1282.648361</v>
      </c>
      <c r="B2125" s="1">
        <f>DATE(2013,11,3) + TIME(15,33,38)</f>
        <v>41581.648356481484</v>
      </c>
      <c r="C2125">
        <v>80</v>
      </c>
      <c r="D2125">
        <v>79.698326111</v>
      </c>
      <c r="E2125">
        <v>50</v>
      </c>
      <c r="F2125">
        <v>50.184768677000001</v>
      </c>
      <c r="G2125">
        <v>1329.6844481999999</v>
      </c>
      <c r="H2125">
        <v>1328.5906981999999</v>
      </c>
      <c r="I2125">
        <v>1338.3126221</v>
      </c>
      <c r="J2125">
        <v>1335.8685303</v>
      </c>
      <c r="K2125">
        <v>0</v>
      </c>
      <c r="L2125">
        <v>2400</v>
      </c>
      <c r="M2125">
        <v>2400</v>
      </c>
      <c r="N2125">
        <v>0</v>
      </c>
    </row>
    <row r="2126" spans="1:14" x14ac:dyDescent="0.25">
      <c r="A2126">
        <v>1282.8222679999999</v>
      </c>
      <c r="B2126" s="1">
        <f>DATE(2013,11,3) + TIME(19,44,3)</f>
        <v>41581.822256944448</v>
      </c>
      <c r="C2126">
        <v>80</v>
      </c>
      <c r="D2126">
        <v>79.683631896999998</v>
      </c>
      <c r="E2126">
        <v>50</v>
      </c>
      <c r="F2126">
        <v>50.142086028999998</v>
      </c>
      <c r="G2126">
        <v>1329.671875</v>
      </c>
      <c r="H2126">
        <v>1328.5726318</v>
      </c>
      <c r="I2126">
        <v>1338.3099365</v>
      </c>
      <c r="J2126">
        <v>1335.8669434000001</v>
      </c>
      <c r="K2126">
        <v>0</v>
      </c>
      <c r="L2126">
        <v>2400</v>
      </c>
      <c r="M2126">
        <v>2400</v>
      </c>
      <c r="N2126">
        <v>0</v>
      </c>
    </row>
    <row r="2127" spans="1:14" x14ac:dyDescent="0.25">
      <c r="A2127">
        <v>1283.002131</v>
      </c>
      <c r="B2127" s="1">
        <f>DATE(2013,11,4) + TIME(0,3,4)</f>
        <v>41582.002129629633</v>
      </c>
      <c r="C2127">
        <v>80</v>
      </c>
      <c r="D2127">
        <v>79.668533324999999</v>
      </c>
      <c r="E2127">
        <v>50</v>
      </c>
      <c r="F2127">
        <v>50.107738495</v>
      </c>
      <c r="G2127">
        <v>1329.6593018000001</v>
      </c>
      <c r="H2127">
        <v>1328.5544434000001</v>
      </c>
      <c r="I2127">
        <v>1338.3071289</v>
      </c>
      <c r="J2127">
        <v>1335.8653564000001</v>
      </c>
      <c r="K2127">
        <v>0</v>
      </c>
      <c r="L2127">
        <v>2400</v>
      </c>
      <c r="M2127">
        <v>2400</v>
      </c>
      <c r="N2127">
        <v>0</v>
      </c>
    </row>
    <row r="2128" spans="1:14" x14ac:dyDescent="0.25">
      <c r="A2128">
        <v>1283.1883909999999</v>
      </c>
      <c r="B2128" s="1">
        <f>DATE(2013,11,4) + TIME(4,31,17)</f>
        <v>41582.188391203701</v>
      </c>
      <c r="C2128">
        <v>80</v>
      </c>
      <c r="D2128">
        <v>79.653022766000007</v>
      </c>
      <c r="E2128">
        <v>50</v>
      </c>
      <c r="F2128">
        <v>50.080253601000003</v>
      </c>
      <c r="G2128">
        <v>1329.6467285000001</v>
      </c>
      <c r="H2128">
        <v>1328.5360106999999</v>
      </c>
      <c r="I2128">
        <v>1338.3041992000001</v>
      </c>
      <c r="J2128">
        <v>1335.8637695</v>
      </c>
      <c r="K2128">
        <v>0</v>
      </c>
      <c r="L2128">
        <v>2400</v>
      </c>
      <c r="M2128">
        <v>2400</v>
      </c>
      <c r="N2128">
        <v>0</v>
      </c>
    </row>
    <row r="2129" spans="1:14" x14ac:dyDescent="0.25">
      <c r="A2129">
        <v>1283.3815300000001</v>
      </c>
      <c r="B2129" s="1">
        <f>DATE(2013,11,4) + TIME(9,9,24)</f>
        <v>41582.381527777776</v>
      </c>
      <c r="C2129">
        <v>80</v>
      </c>
      <c r="D2129">
        <v>79.637054442999997</v>
      </c>
      <c r="E2129">
        <v>50</v>
      </c>
      <c r="F2129">
        <v>50.058395386000001</v>
      </c>
      <c r="G2129">
        <v>1329.6339111</v>
      </c>
      <c r="H2129">
        <v>1328.5174560999999</v>
      </c>
      <c r="I2129">
        <v>1338.3011475000001</v>
      </c>
      <c r="J2129">
        <v>1335.8623047000001</v>
      </c>
      <c r="K2129">
        <v>0</v>
      </c>
      <c r="L2129">
        <v>2400</v>
      </c>
      <c r="M2129">
        <v>2400</v>
      </c>
      <c r="N2129">
        <v>0</v>
      </c>
    </row>
    <row r="2130" spans="1:14" x14ac:dyDescent="0.25">
      <c r="A2130">
        <v>1283.5820699999999</v>
      </c>
      <c r="B2130" s="1">
        <f>DATE(2013,11,4) + TIME(13,58,10)</f>
        <v>41582.582060185188</v>
      </c>
      <c r="C2130">
        <v>80</v>
      </c>
      <c r="D2130">
        <v>79.620605468999997</v>
      </c>
      <c r="E2130">
        <v>50</v>
      </c>
      <c r="F2130">
        <v>50.041126251000001</v>
      </c>
      <c r="G2130">
        <v>1329.6208495999999</v>
      </c>
      <c r="H2130">
        <v>1328.4985352000001</v>
      </c>
      <c r="I2130">
        <v>1338.2978516000001</v>
      </c>
      <c r="J2130">
        <v>1335.8607178</v>
      </c>
      <c r="K2130">
        <v>0</v>
      </c>
      <c r="L2130">
        <v>2400</v>
      </c>
      <c r="M2130">
        <v>2400</v>
      </c>
      <c r="N2130">
        <v>0</v>
      </c>
    </row>
    <row r="2131" spans="1:14" x14ac:dyDescent="0.25">
      <c r="A2131">
        <v>1283.7905129999999</v>
      </c>
      <c r="B2131" s="1">
        <f>DATE(2013,11,4) + TIME(18,58,20)</f>
        <v>41582.790509259263</v>
      </c>
      <c r="C2131">
        <v>80</v>
      </c>
      <c r="D2131">
        <v>79.603645325000002</v>
      </c>
      <c r="E2131">
        <v>50</v>
      </c>
      <c r="F2131">
        <v>50.027568817000002</v>
      </c>
      <c r="G2131">
        <v>1329.6076660000001</v>
      </c>
      <c r="H2131">
        <v>1328.4793701000001</v>
      </c>
      <c r="I2131">
        <v>1338.2945557</v>
      </c>
      <c r="J2131">
        <v>1335.8590088000001</v>
      </c>
      <c r="K2131">
        <v>0</v>
      </c>
      <c r="L2131">
        <v>2400</v>
      </c>
      <c r="M2131">
        <v>2400</v>
      </c>
      <c r="N2131">
        <v>0</v>
      </c>
    </row>
    <row r="2132" spans="1:14" x14ac:dyDescent="0.25">
      <c r="A2132">
        <v>1284.007511</v>
      </c>
      <c r="B2132" s="1">
        <f>DATE(2013,11,5) + TIME(0,10,48)</f>
        <v>41583.0075</v>
      </c>
      <c r="C2132">
        <v>80</v>
      </c>
      <c r="D2132">
        <v>79.586128235000004</v>
      </c>
      <c r="E2132">
        <v>50</v>
      </c>
      <c r="F2132">
        <v>50.017005920000003</v>
      </c>
      <c r="G2132">
        <v>1329.5941161999999</v>
      </c>
      <c r="H2132">
        <v>1328.4598389</v>
      </c>
      <c r="I2132">
        <v>1338.2908935999999</v>
      </c>
      <c r="J2132">
        <v>1335.8572998</v>
      </c>
      <c r="K2132">
        <v>0</v>
      </c>
      <c r="L2132">
        <v>2400</v>
      </c>
      <c r="M2132">
        <v>2400</v>
      </c>
      <c r="N2132">
        <v>0</v>
      </c>
    </row>
    <row r="2133" spans="1:14" x14ac:dyDescent="0.25">
      <c r="A2133">
        <v>1284.2337749999999</v>
      </c>
      <c r="B2133" s="1">
        <f>DATE(2013,11,5) + TIME(5,36,38)</f>
        <v>41583.233773148146</v>
      </c>
      <c r="C2133">
        <v>80</v>
      </c>
      <c r="D2133">
        <v>79.568023682000003</v>
      </c>
      <c r="E2133">
        <v>50</v>
      </c>
      <c r="F2133">
        <v>50.008831024000003</v>
      </c>
      <c r="G2133">
        <v>1329.5803223</v>
      </c>
      <c r="H2133">
        <v>1328.4398193</v>
      </c>
      <c r="I2133">
        <v>1338.2872314000001</v>
      </c>
      <c r="J2133">
        <v>1335.8554687999999</v>
      </c>
      <c r="K2133">
        <v>0</v>
      </c>
      <c r="L2133">
        <v>2400</v>
      </c>
      <c r="M2133">
        <v>2400</v>
      </c>
      <c r="N2133">
        <v>0</v>
      </c>
    </row>
    <row r="2134" spans="1:14" x14ac:dyDescent="0.25">
      <c r="A2134">
        <v>1284.4700600000001</v>
      </c>
      <c r="B2134" s="1">
        <f>DATE(2013,11,5) + TIME(11,16,53)</f>
        <v>41583.470057870371</v>
      </c>
      <c r="C2134">
        <v>80</v>
      </c>
      <c r="D2134">
        <v>79.549270629999995</v>
      </c>
      <c r="E2134">
        <v>50</v>
      </c>
      <c r="F2134">
        <v>50.002548218000001</v>
      </c>
      <c r="G2134">
        <v>1329.5661620999999</v>
      </c>
      <c r="H2134">
        <v>1328.4193115</v>
      </c>
      <c r="I2134">
        <v>1338.2833252</v>
      </c>
      <c r="J2134">
        <v>1335.8536377</v>
      </c>
      <c r="K2134">
        <v>0</v>
      </c>
      <c r="L2134">
        <v>2400</v>
      </c>
      <c r="M2134">
        <v>2400</v>
      </c>
      <c r="N2134">
        <v>0</v>
      </c>
    </row>
    <row r="2135" spans="1:14" x14ac:dyDescent="0.25">
      <c r="A2135">
        <v>1284.717204</v>
      </c>
      <c r="B2135" s="1">
        <f>DATE(2013,11,5) + TIME(17,12,46)</f>
        <v>41583.717199074075</v>
      </c>
      <c r="C2135">
        <v>80</v>
      </c>
      <c r="D2135">
        <v>79.529838561999995</v>
      </c>
      <c r="E2135">
        <v>50</v>
      </c>
      <c r="F2135">
        <v>49.997760773000003</v>
      </c>
      <c r="G2135">
        <v>1329.5516356999999</v>
      </c>
      <c r="H2135">
        <v>1328.3983154</v>
      </c>
      <c r="I2135">
        <v>1338.2791748</v>
      </c>
      <c r="J2135">
        <v>1335.8515625</v>
      </c>
      <c r="K2135">
        <v>0</v>
      </c>
      <c r="L2135">
        <v>2400</v>
      </c>
      <c r="M2135">
        <v>2400</v>
      </c>
      <c r="N2135">
        <v>0</v>
      </c>
    </row>
    <row r="2136" spans="1:14" x14ac:dyDescent="0.25">
      <c r="A2136">
        <v>1284.976138</v>
      </c>
      <c r="B2136" s="1">
        <f>DATE(2013,11,5) + TIME(23,25,38)</f>
        <v>41583.976134259261</v>
      </c>
      <c r="C2136">
        <v>80</v>
      </c>
      <c r="D2136">
        <v>79.509658813000001</v>
      </c>
      <c r="E2136">
        <v>50</v>
      </c>
      <c r="F2136">
        <v>49.994132995999998</v>
      </c>
      <c r="G2136">
        <v>1329.5366211</v>
      </c>
      <c r="H2136">
        <v>1328.3765868999999</v>
      </c>
      <c r="I2136">
        <v>1338.2750243999999</v>
      </c>
      <c r="J2136">
        <v>1335.8494873</v>
      </c>
      <c r="K2136">
        <v>0</v>
      </c>
      <c r="L2136">
        <v>2400</v>
      </c>
      <c r="M2136">
        <v>2400</v>
      </c>
      <c r="N2136">
        <v>0</v>
      </c>
    </row>
    <row r="2137" spans="1:14" x14ac:dyDescent="0.25">
      <c r="A2137">
        <v>1285.2479020000001</v>
      </c>
      <c r="B2137" s="1">
        <f>DATE(2013,11,6) + TIME(5,56,58)</f>
        <v>41584.247893518521</v>
      </c>
      <c r="C2137">
        <v>80</v>
      </c>
      <c r="D2137">
        <v>79.488685607999997</v>
      </c>
      <c r="E2137">
        <v>50</v>
      </c>
      <c r="F2137">
        <v>49.991405487000002</v>
      </c>
      <c r="G2137">
        <v>1329.5212402</v>
      </c>
      <c r="H2137">
        <v>1328.3543701000001</v>
      </c>
      <c r="I2137">
        <v>1338.2706298999999</v>
      </c>
      <c r="J2137">
        <v>1335.8472899999999</v>
      </c>
      <c r="K2137">
        <v>0</v>
      </c>
      <c r="L2137">
        <v>2400</v>
      </c>
      <c r="M2137">
        <v>2400</v>
      </c>
      <c r="N2137">
        <v>0</v>
      </c>
    </row>
    <row r="2138" spans="1:14" x14ac:dyDescent="0.25">
      <c r="A2138">
        <v>1285.533666</v>
      </c>
      <c r="B2138" s="1">
        <f>DATE(2013,11,6) + TIME(12,48,28)</f>
        <v>41584.53365740741</v>
      </c>
      <c r="C2138">
        <v>80</v>
      </c>
      <c r="D2138">
        <v>79.466842650999993</v>
      </c>
      <c r="E2138">
        <v>50</v>
      </c>
      <c r="F2138">
        <v>49.989368439000003</v>
      </c>
      <c r="G2138">
        <v>1329.505249</v>
      </c>
      <c r="H2138">
        <v>1328.3314209</v>
      </c>
      <c r="I2138">
        <v>1338.2659911999999</v>
      </c>
      <c r="J2138">
        <v>1335.8449707</v>
      </c>
      <c r="K2138">
        <v>0</v>
      </c>
      <c r="L2138">
        <v>2400</v>
      </c>
      <c r="M2138">
        <v>2400</v>
      </c>
      <c r="N2138">
        <v>0</v>
      </c>
    </row>
    <row r="2139" spans="1:14" x14ac:dyDescent="0.25">
      <c r="A2139">
        <v>1285.8347450000001</v>
      </c>
      <c r="B2139" s="1">
        <f>DATE(2013,11,6) + TIME(20,2,1)</f>
        <v>41584.834733796299</v>
      </c>
      <c r="C2139">
        <v>80</v>
      </c>
      <c r="D2139">
        <v>79.444061278999996</v>
      </c>
      <c r="E2139">
        <v>50</v>
      </c>
      <c r="F2139">
        <v>49.987857818999998</v>
      </c>
      <c r="G2139">
        <v>1329.4887695</v>
      </c>
      <c r="H2139">
        <v>1328.3076172000001</v>
      </c>
      <c r="I2139">
        <v>1338.2613524999999</v>
      </c>
      <c r="J2139">
        <v>1335.8425293</v>
      </c>
      <c r="K2139">
        <v>0</v>
      </c>
      <c r="L2139">
        <v>2400</v>
      </c>
      <c r="M2139">
        <v>2400</v>
      </c>
      <c r="N2139">
        <v>0</v>
      </c>
    </row>
    <row r="2140" spans="1:14" x14ac:dyDescent="0.25">
      <c r="A2140">
        <v>1286.1526289999999</v>
      </c>
      <c r="B2140" s="1">
        <f>DATE(2013,11,7) + TIME(3,39,47)</f>
        <v>41585.152627314812</v>
      </c>
      <c r="C2140">
        <v>80</v>
      </c>
      <c r="D2140">
        <v>79.420257567999997</v>
      </c>
      <c r="E2140">
        <v>50</v>
      </c>
      <c r="F2140">
        <v>49.986740112</v>
      </c>
      <c r="G2140">
        <v>1329.4716797000001</v>
      </c>
      <c r="H2140">
        <v>1328.2829589999999</v>
      </c>
      <c r="I2140">
        <v>1338.2564697</v>
      </c>
      <c r="J2140">
        <v>1335.8400879000001</v>
      </c>
      <c r="K2140">
        <v>0</v>
      </c>
      <c r="L2140">
        <v>2400</v>
      </c>
      <c r="M2140">
        <v>2400</v>
      </c>
      <c r="N2140">
        <v>0</v>
      </c>
    </row>
    <row r="2141" spans="1:14" x14ac:dyDescent="0.25">
      <c r="A2141">
        <v>1286.488605</v>
      </c>
      <c r="B2141" s="1">
        <f>DATE(2013,11,7) + TIME(11,43,35)</f>
        <v>41585.488599537035</v>
      </c>
      <c r="C2141">
        <v>80</v>
      </c>
      <c r="D2141">
        <v>79.395370482999994</v>
      </c>
      <c r="E2141">
        <v>50</v>
      </c>
      <c r="F2141">
        <v>49.985919952000003</v>
      </c>
      <c r="G2141">
        <v>1329.4538574000001</v>
      </c>
      <c r="H2141">
        <v>1328.2574463000001</v>
      </c>
      <c r="I2141">
        <v>1338.2515868999999</v>
      </c>
      <c r="J2141">
        <v>1335.8375243999999</v>
      </c>
      <c r="K2141">
        <v>0</v>
      </c>
      <c r="L2141">
        <v>2400</v>
      </c>
      <c r="M2141">
        <v>2400</v>
      </c>
      <c r="N2141">
        <v>0</v>
      </c>
    </row>
    <row r="2142" spans="1:14" x14ac:dyDescent="0.25">
      <c r="A2142">
        <v>1286.8409039999999</v>
      </c>
      <c r="B2142" s="1">
        <f>DATE(2013,11,7) + TIME(20,10,54)</f>
        <v>41585.840902777774</v>
      </c>
      <c r="C2142">
        <v>80</v>
      </c>
      <c r="D2142">
        <v>79.369468689000001</v>
      </c>
      <c r="E2142">
        <v>50</v>
      </c>
      <c r="F2142">
        <v>49.98531723</v>
      </c>
      <c r="G2142">
        <v>1329.4353027</v>
      </c>
      <c r="H2142">
        <v>1328.2308350000001</v>
      </c>
      <c r="I2142">
        <v>1338.2464600000001</v>
      </c>
      <c r="J2142">
        <v>1335.8348389</v>
      </c>
      <c r="K2142">
        <v>0</v>
      </c>
      <c r="L2142">
        <v>2400</v>
      </c>
      <c r="M2142">
        <v>2400</v>
      </c>
      <c r="N2142">
        <v>0</v>
      </c>
    </row>
    <row r="2143" spans="1:14" x14ac:dyDescent="0.25">
      <c r="A2143">
        <v>1287.2099490000001</v>
      </c>
      <c r="B2143" s="1">
        <f>DATE(2013,11,8) + TIME(5,2,19)</f>
        <v>41586.20994212963</v>
      </c>
      <c r="C2143">
        <v>80</v>
      </c>
      <c r="D2143">
        <v>79.342567443999997</v>
      </c>
      <c r="E2143">
        <v>50</v>
      </c>
      <c r="F2143">
        <v>49.984878539999997</v>
      </c>
      <c r="G2143">
        <v>1329.4161377</v>
      </c>
      <c r="H2143">
        <v>1328.2034911999999</v>
      </c>
      <c r="I2143">
        <v>1338.2412108999999</v>
      </c>
      <c r="J2143">
        <v>1335.8320312000001</v>
      </c>
      <c r="K2143">
        <v>0</v>
      </c>
      <c r="L2143">
        <v>2400</v>
      </c>
      <c r="M2143">
        <v>2400</v>
      </c>
      <c r="N2143">
        <v>0</v>
      </c>
    </row>
    <row r="2144" spans="1:14" x14ac:dyDescent="0.25">
      <c r="A2144">
        <v>1287.597162</v>
      </c>
      <c r="B2144" s="1">
        <f>DATE(2013,11,8) + TIME(14,19,54)</f>
        <v>41586.59715277778</v>
      </c>
      <c r="C2144">
        <v>80</v>
      </c>
      <c r="D2144">
        <v>79.314582825000002</v>
      </c>
      <c r="E2144">
        <v>50</v>
      </c>
      <c r="F2144">
        <v>49.984554291000002</v>
      </c>
      <c r="G2144">
        <v>1329.3963623</v>
      </c>
      <c r="H2144">
        <v>1328.1751709</v>
      </c>
      <c r="I2144">
        <v>1338.2359618999999</v>
      </c>
      <c r="J2144">
        <v>1335.8292236</v>
      </c>
      <c r="K2144">
        <v>0</v>
      </c>
      <c r="L2144">
        <v>2400</v>
      </c>
      <c r="M2144">
        <v>2400</v>
      </c>
      <c r="N2144">
        <v>0</v>
      </c>
    </row>
    <row r="2145" spans="1:14" x14ac:dyDescent="0.25">
      <c r="A2145">
        <v>1288.004422</v>
      </c>
      <c r="B2145" s="1">
        <f>DATE(2013,11,9) + TIME(0,6,22)</f>
        <v>41587.004421296297</v>
      </c>
      <c r="C2145">
        <v>80</v>
      </c>
      <c r="D2145">
        <v>79.285461425999998</v>
      </c>
      <c r="E2145">
        <v>50</v>
      </c>
      <c r="F2145">
        <v>49.984313964999998</v>
      </c>
      <c r="G2145">
        <v>1329.3759766000001</v>
      </c>
      <c r="H2145">
        <v>1328.1459961</v>
      </c>
      <c r="I2145">
        <v>1338.2307129000001</v>
      </c>
      <c r="J2145">
        <v>1335.8264160000001</v>
      </c>
      <c r="K2145">
        <v>0</v>
      </c>
      <c r="L2145">
        <v>2400</v>
      </c>
      <c r="M2145">
        <v>2400</v>
      </c>
      <c r="N2145">
        <v>0</v>
      </c>
    </row>
    <row r="2146" spans="1:14" x14ac:dyDescent="0.25">
      <c r="A2146">
        <v>1288.4306449999999</v>
      </c>
      <c r="B2146" s="1">
        <f>DATE(2013,11,9) + TIME(10,20,7)</f>
        <v>41587.430636574078</v>
      </c>
      <c r="C2146">
        <v>80</v>
      </c>
      <c r="D2146">
        <v>79.255233765</v>
      </c>
      <c r="E2146">
        <v>50</v>
      </c>
      <c r="F2146">
        <v>49.984134674000003</v>
      </c>
      <c r="G2146">
        <v>1329.3547363</v>
      </c>
      <c r="H2146">
        <v>1328.1158447</v>
      </c>
      <c r="I2146">
        <v>1338.2253418</v>
      </c>
      <c r="J2146">
        <v>1335.8236084</v>
      </c>
      <c r="K2146">
        <v>0</v>
      </c>
      <c r="L2146">
        <v>2400</v>
      </c>
      <c r="M2146">
        <v>2400</v>
      </c>
      <c r="N2146">
        <v>0</v>
      </c>
    </row>
    <row r="2147" spans="1:14" x14ac:dyDescent="0.25">
      <c r="A2147">
        <v>1288.8657920000001</v>
      </c>
      <c r="B2147" s="1">
        <f>DATE(2013,11,9) + TIME(20,46,44)</f>
        <v>41587.865787037037</v>
      </c>
      <c r="C2147">
        <v>80</v>
      </c>
      <c r="D2147">
        <v>79.224380492999998</v>
      </c>
      <c r="E2147">
        <v>50</v>
      </c>
      <c r="F2147">
        <v>49.983997344999999</v>
      </c>
      <c r="G2147">
        <v>1329.3330077999999</v>
      </c>
      <c r="H2147">
        <v>1328.0848389</v>
      </c>
      <c r="I2147">
        <v>1338.2198486</v>
      </c>
      <c r="J2147">
        <v>1335.8206786999999</v>
      </c>
      <c r="K2147">
        <v>0</v>
      </c>
      <c r="L2147">
        <v>2400</v>
      </c>
      <c r="M2147">
        <v>2400</v>
      </c>
      <c r="N2147">
        <v>0</v>
      </c>
    </row>
    <row r="2148" spans="1:14" x14ac:dyDescent="0.25">
      <c r="A2148">
        <v>1289.3107869999999</v>
      </c>
      <c r="B2148" s="1">
        <f>DATE(2013,11,10) + TIME(7,27,31)</f>
        <v>41588.31077546296</v>
      </c>
      <c r="C2148">
        <v>80</v>
      </c>
      <c r="D2148">
        <v>79.192955017000003</v>
      </c>
      <c r="E2148">
        <v>50</v>
      </c>
      <c r="F2148">
        <v>49.983894348</v>
      </c>
      <c r="G2148">
        <v>1329.3109131000001</v>
      </c>
      <c r="H2148">
        <v>1328.0535889</v>
      </c>
      <c r="I2148">
        <v>1338.2145995999999</v>
      </c>
      <c r="J2148">
        <v>1335.8178711</v>
      </c>
      <c r="K2148">
        <v>0</v>
      </c>
      <c r="L2148">
        <v>2400</v>
      </c>
      <c r="M2148">
        <v>2400</v>
      </c>
      <c r="N2148">
        <v>0</v>
      </c>
    </row>
    <row r="2149" spans="1:14" x14ac:dyDescent="0.25">
      <c r="A2149">
        <v>1289.7666369999999</v>
      </c>
      <c r="B2149" s="1">
        <f>DATE(2013,11,10) + TIME(18,23,57)</f>
        <v>41588.766631944447</v>
      </c>
      <c r="C2149">
        <v>80</v>
      </c>
      <c r="D2149">
        <v>79.160987853999998</v>
      </c>
      <c r="E2149">
        <v>50</v>
      </c>
      <c r="F2149">
        <v>49.983814240000001</v>
      </c>
      <c r="G2149">
        <v>1329.2886963000001</v>
      </c>
      <c r="H2149">
        <v>1328.0218506000001</v>
      </c>
      <c r="I2149">
        <v>1338.2093506000001</v>
      </c>
      <c r="J2149">
        <v>1335.8150635</v>
      </c>
      <c r="K2149">
        <v>0</v>
      </c>
      <c r="L2149">
        <v>2400</v>
      </c>
      <c r="M2149">
        <v>2400</v>
      </c>
      <c r="N2149">
        <v>0</v>
      </c>
    </row>
    <row r="2150" spans="1:14" x14ac:dyDescent="0.25">
      <c r="A2150">
        <v>1290.2344189999999</v>
      </c>
      <c r="B2150" s="1">
        <f>DATE(2013,11,11) + TIME(5,37,33)</f>
        <v>41589.234409722223</v>
      </c>
      <c r="C2150">
        <v>80</v>
      </c>
      <c r="D2150">
        <v>79.128456115999995</v>
      </c>
      <c r="E2150">
        <v>50</v>
      </c>
      <c r="F2150">
        <v>49.983753204000003</v>
      </c>
      <c r="G2150">
        <v>1329.2661132999999</v>
      </c>
      <c r="H2150">
        <v>1327.9899902</v>
      </c>
      <c r="I2150">
        <v>1338.2043457</v>
      </c>
      <c r="J2150">
        <v>1335.8123779</v>
      </c>
      <c r="K2150">
        <v>0</v>
      </c>
      <c r="L2150">
        <v>2400</v>
      </c>
      <c r="M2150">
        <v>2400</v>
      </c>
      <c r="N2150">
        <v>0</v>
      </c>
    </row>
    <row r="2151" spans="1:14" x14ac:dyDescent="0.25">
      <c r="A2151">
        <v>1290.7152980000001</v>
      </c>
      <c r="B2151" s="1">
        <f>DATE(2013,11,11) + TIME(17,10,1)</f>
        <v>41589.715289351851</v>
      </c>
      <c r="C2151">
        <v>80</v>
      </c>
      <c r="D2151">
        <v>79.095336914000001</v>
      </c>
      <c r="E2151">
        <v>50</v>
      </c>
      <c r="F2151">
        <v>49.983699799</v>
      </c>
      <c r="G2151">
        <v>1329.2432861</v>
      </c>
      <c r="H2151">
        <v>1327.9576416</v>
      </c>
      <c r="I2151">
        <v>1338.1992187999999</v>
      </c>
      <c r="J2151">
        <v>1335.8095702999999</v>
      </c>
      <c r="K2151">
        <v>0</v>
      </c>
      <c r="L2151">
        <v>2400</v>
      </c>
      <c r="M2151">
        <v>2400</v>
      </c>
      <c r="N2151">
        <v>0</v>
      </c>
    </row>
    <row r="2152" spans="1:14" x14ac:dyDescent="0.25">
      <c r="A2152">
        <v>1291.210513</v>
      </c>
      <c r="B2152" s="1">
        <f>DATE(2013,11,12) + TIME(5,3,8)</f>
        <v>41590.210509259261</v>
      </c>
      <c r="C2152">
        <v>80</v>
      </c>
      <c r="D2152">
        <v>79.061576842999997</v>
      </c>
      <c r="E2152">
        <v>50</v>
      </c>
      <c r="F2152">
        <v>49.983657837000003</v>
      </c>
      <c r="G2152">
        <v>1329.2202147999999</v>
      </c>
      <c r="H2152">
        <v>1327.9249268000001</v>
      </c>
      <c r="I2152">
        <v>1338.1943358999999</v>
      </c>
      <c r="J2152">
        <v>1335.8070068</v>
      </c>
      <c r="K2152">
        <v>0</v>
      </c>
      <c r="L2152">
        <v>2400</v>
      </c>
      <c r="M2152">
        <v>2400</v>
      </c>
      <c r="N2152">
        <v>0</v>
      </c>
    </row>
    <row r="2153" spans="1:14" x14ac:dyDescent="0.25">
      <c r="A2153">
        <v>1291.721397</v>
      </c>
      <c r="B2153" s="1">
        <f>DATE(2013,11,12) + TIME(17,18,48)</f>
        <v>41590.721388888887</v>
      </c>
      <c r="C2153">
        <v>80</v>
      </c>
      <c r="D2153">
        <v>79.027137756000002</v>
      </c>
      <c r="E2153">
        <v>50</v>
      </c>
      <c r="F2153">
        <v>49.983623504999997</v>
      </c>
      <c r="G2153">
        <v>1329.1967772999999</v>
      </c>
      <c r="H2153">
        <v>1327.8918457</v>
      </c>
      <c r="I2153">
        <v>1338.1893310999999</v>
      </c>
      <c r="J2153">
        <v>1335.8043213000001</v>
      </c>
      <c r="K2153">
        <v>0</v>
      </c>
      <c r="L2153">
        <v>2400</v>
      </c>
      <c r="M2153">
        <v>2400</v>
      </c>
      <c r="N2153">
        <v>0</v>
      </c>
    </row>
    <row r="2154" spans="1:14" x14ac:dyDescent="0.25">
      <c r="A2154">
        <v>1292.249399</v>
      </c>
      <c r="B2154" s="1">
        <f>DATE(2013,11,13) + TIME(5,59,8)</f>
        <v>41591.249398148146</v>
      </c>
      <c r="C2154">
        <v>80</v>
      </c>
      <c r="D2154">
        <v>78.991935729999994</v>
      </c>
      <c r="E2154">
        <v>50</v>
      </c>
      <c r="F2154">
        <v>49.983592987000002</v>
      </c>
      <c r="G2154">
        <v>1329.1728516000001</v>
      </c>
      <c r="H2154">
        <v>1327.8581543</v>
      </c>
      <c r="I2154">
        <v>1338.1845702999999</v>
      </c>
      <c r="J2154">
        <v>1335.8017577999999</v>
      </c>
      <c r="K2154">
        <v>0</v>
      </c>
      <c r="L2154">
        <v>2400</v>
      </c>
      <c r="M2154">
        <v>2400</v>
      </c>
      <c r="N2154">
        <v>0</v>
      </c>
    </row>
    <row r="2155" spans="1:14" x14ac:dyDescent="0.25">
      <c r="A2155">
        <v>1292.796016</v>
      </c>
      <c r="B2155" s="1">
        <f>DATE(2013,11,13) + TIME(19,6,15)</f>
        <v>41591.796006944445</v>
      </c>
      <c r="C2155">
        <v>80</v>
      </c>
      <c r="D2155">
        <v>78.955902100000003</v>
      </c>
      <c r="E2155">
        <v>50</v>
      </c>
      <c r="F2155">
        <v>49.983566283999998</v>
      </c>
      <c r="G2155">
        <v>1329.1486815999999</v>
      </c>
      <c r="H2155">
        <v>1327.8239745999999</v>
      </c>
      <c r="I2155">
        <v>1338.1796875</v>
      </c>
      <c r="J2155">
        <v>1335.7991943</v>
      </c>
      <c r="K2155">
        <v>0</v>
      </c>
      <c r="L2155">
        <v>2400</v>
      </c>
      <c r="M2155">
        <v>2400</v>
      </c>
      <c r="N2155">
        <v>0</v>
      </c>
    </row>
    <row r="2156" spans="1:14" x14ac:dyDescent="0.25">
      <c r="A2156">
        <v>1293.3628120000001</v>
      </c>
      <c r="B2156" s="1">
        <f>DATE(2013,11,14) + TIME(8,42,26)</f>
        <v>41592.362800925926</v>
      </c>
      <c r="C2156">
        <v>80</v>
      </c>
      <c r="D2156">
        <v>78.918968200999998</v>
      </c>
      <c r="E2156">
        <v>50</v>
      </c>
      <c r="F2156">
        <v>49.983539581000002</v>
      </c>
      <c r="G2156">
        <v>1329.1239014</v>
      </c>
      <c r="H2156">
        <v>1327.7891846</v>
      </c>
      <c r="I2156">
        <v>1338.1749268000001</v>
      </c>
      <c r="J2156">
        <v>1335.7966309000001</v>
      </c>
      <c r="K2156">
        <v>0</v>
      </c>
      <c r="L2156">
        <v>2400</v>
      </c>
      <c r="M2156">
        <v>2400</v>
      </c>
      <c r="N2156">
        <v>0</v>
      </c>
    </row>
    <row r="2157" spans="1:14" x14ac:dyDescent="0.25">
      <c r="A2157">
        <v>1293.951822</v>
      </c>
      <c r="B2157" s="1">
        <f>DATE(2013,11,14) + TIME(22,50,37)</f>
        <v>41592.951817129629</v>
      </c>
      <c r="C2157">
        <v>80</v>
      </c>
      <c r="D2157">
        <v>78.881027222</v>
      </c>
      <c r="E2157">
        <v>50</v>
      </c>
      <c r="F2157">
        <v>49.983520507999998</v>
      </c>
      <c r="G2157">
        <v>1329.0986327999999</v>
      </c>
      <c r="H2157">
        <v>1327.7536620999999</v>
      </c>
      <c r="I2157">
        <v>1338.1701660000001</v>
      </c>
      <c r="J2157">
        <v>1335.7941894999999</v>
      </c>
      <c r="K2157">
        <v>0</v>
      </c>
      <c r="L2157">
        <v>2400</v>
      </c>
      <c r="M2157">
        <v>2400</v>
      </c>
      <c r="N2157">
        <v>0</v>
      </c>
    </row>
    <row r="2158" spans="1:14" x14ac:dyDescent="0.25">
      <c r="A2158">
        <v>1294.56513</v>
      </c>
      <c r="B2158" s="1">
        <f>DATE(2013,11,15) + TIME(13,33,47)</f>
        <v>41593.565127314818</v>
      </c>
      <c r="C2158">
        <v>80</v>
      </c>
      <c r="D2158">
        <v>78.841972350999995</v>
      </c>
      <c r="E2158">
        <v>50</v>
      </c>
      <c r="F2158">
        <v>49.983501433999997</v>
      </c>
      <c r="G2158">
        <v>1329.0727539</v>
      </c>
      <c r="H2158">
        <v>1327.7174072</v>
      </c>
      <c r="I2158">
        <v>1338.1652832</v>
      </c>
      <c r="J2158">
        <v>1335.791626</v>
      </c>
      <c r="K2158">
        <v>0</v>
      </c>
      <c r="L2158">
        <v>2400</v>
      </c>
      <c r="M2158">
        <v>2400</v>
      </c>
      <c r="N2158">
        <v>0</v>
      </c>
    </row>
    <row r="2159" spans="1:14" x14ac:dyDescent="0.25">
      <c r="A2159">
        <v>1295.205062</v>
      </c>
      <c r="B2159" s="1">
        <f>DATE(2013,11,16) + TIME(4,55,17)</f>
        <v>41594.205057870371</v>
      </c>
      <c r="C2159">
        <v>80</v>
      </c>
      <c r="D2159">
        <v>78.801696777000004</v>
      </c>
      <c r="E2159">
        <v>50</v>
      </c>
      <c r="F2159">
        <v>49.983482361</v>
      </c>
      <c r="G2159">
        <v>1329.0462646000001</v>
      </c>
      <c r="H2159">
        <v>1327.6802978999999</v>
      </c>
      <c r="I2159">
        <v>1338.1605225000001</v>
      </c>
      <c r="J2159">
        <v>1335.7891846</v>
      </c>
      <c r="K2159">
        <v>0</v>
      </c>
      <c r="L2159">
        <v>2400</v>
      </c>
      <c r="M2159">
        <v>2400</v>
      </c>
      <c r="N2159">
        <v>0</v>
      </c>
    </row>
    <row r="2160" spans="1:14" x14ac:dyDescent="0.25">
      <c r="A2160">
        <v>1295.874217</v>
      </c>
      <c r="B2160" s="1">
        <f>DATE(2013,11,16) + TIME(20,58,52)</f>
        <v>41594.874212962961</v>
      </c>
      <c r="C2160">
        <v>80</v>
      </c>
      <c r="D2160">
        <v>78.760070800999998</v>
      </c>
      <c r="E2160">
        <v>50</v>
      </c>
      <c r="F2160">
        <v>49.983467101999999</v>
      </c>
      <c r="G2160">
        <v>1329.0189209</v>
      </c>
      <c r="H2160">
        <v>1327.6422118999999</v>
      </c>
      <c r="I2160">
        <v>1338.1557617000001</v>
      </c>
      <c r="J2160">
        <v>1335.7867432</v>
      </c>
      <c r="K2160">
        <v>0</v>
      </c>
      <c r="L2160">
        <v>2400</v>
      </c>
      <c r="M2160">
        <v>2400</v>
      </c>
      <c r="N2160">
        <v>0</v>
      </c>
    </row>
    <row r="2161" spans="1:14" x14ac:dyDescent="0.25">
      <c r="A2161">
        <v>1296.5622530000001</v>
      </c>
      <c r="B2161" s="1">
        <f>DATE(2013,11,17) + TIME(13,29,38)</f>
        <v>41595.562245370369</v>
      </c>
      <c r="C2161">
        <v>80</v>
      </c>
      <c r="D2161">
        <v>78.717369079999997</v>
      </c>
      <c r="E2161">
        <v>50</v>
      </c>
      <c r="F2161">
        <v>49.983448029000002</v>
      </c>
      <c r="G2161">
        <v>1328.9909668</v>
      </c>
      <c r="H2161">
        <v>1327.6032714999999</v>
      </c>
      <c r="I2161">
        <v>1338.151001</v>
      </c>
      <c r="J2161">
        <v>1335.7843018000001</v>
      </c>
      <c r="K2161">
        <v>0</v>
      </c>
      <c r="L2161">
        <v>2400</v>
      </c>
      <c r="M2161">
        <v>2400</v>
      </c>
      <c r="N2161">
        <v>0</v>
      </c>
    </row>
    <row r="2162" spans="1:14" x14ac:dyDescent="0.25">
      <c r="A2162">
        <v>1297.269904</v>
      </c>
      <c r="B2162" s="1">
        <f>DATE(2013,11,18) + TIME(6,28,39)</f>
        <v>41596.269895833335</v>
      </c>
      <c r="C2162">
        <v>80</v>
      </c>
      <c r="D2162">
        <v>78.673683166999993</v>
      </c>
      <c r="E2162">
        <v>50</v>
      </c>
      <c r="F2162">
        <v>49.98343277</v>
      </c>
      <c r="G2162">
        <v>1328.9625243999999</v>
      </c>
      <c r="H2162">
        <v>1327.5635986</v>
      </c>
      <c r="I2162">
        <v>1338.1462402</v>
      </c>
      <c r="J2162">
        <v>1335.7818603999999</v>
      </c>
      <c r="K2162">
        <v>0</v>
      </c>
      <c r="L2162">
        <v>2400</v>
      </c>
      <c r="M2162">
        <v>2400</v>
      </c>
      <c r="N2162">
        <v>0</v>
      </c>
    </row>
    <row r="2163" spans="1:14" x14ac:dyDescent="0.25">
      <c r="A2163">
        <v>1298.0009540000001</v>
      </c>
      <c r="B2163" s="1">
        <f>DATE(2013,11,19) + TIME(0,1,22)</f>
        <v>41597.000949074078</v>
      </c>
      <c r="C2163">
        <v>80</v>
      </c>
      <c r="D2163">
        <v>78.628952025999993</v>
      </c>
      <c r="E2163">
        <v>50</v>
      </c>
      <c r="F2163">
        <v>49.983421325999998</v>
      </c>
      <c r="G2163">
        <v>1328.9337158000001</v>
      </c>
      <c r="H2163">
        <v>1327.5234375</v>
      </c>
      <c r="I2163">
        <v>1338.1416016000001</v>
      </c>
      <c r="J2163">
        <v>1335.7795410000001</v>
      </c>
      <c r="K2163">
        <v>0</v>
      </c>
      <c r="L2163">
        <v>2400</v>
      </c>
      <c r="M2163">
        <v>2400</v>
      </c>
      <c r="N2163">
        <v>0</v>
      </c>
    </row>
    <row r="2164" spans="1:14" x14ac:dyDescent="0.25">
      <c r="A2164">
        <v>1298.7608829999999</v>
      </c>
      <c r="B2164" s="1">
        <f>DATE(2013,11,19) + TIME(18,15,40)</f>
        <v>41597.760879629626</v>
      </c>
      <c r="C2164">
        <v>80</v>
      </c>
      <c r="D2164">
        <v>78.582992554</v>
      </c>
      <c r="E2164">
        <v>50</v>
      </c>
      <c r="F2164">
        <v>49.983406066999997</v>
      </c>
      <c r="G2164">
        <v>1328.9042969</v>
      </c>
      <c r="H2164">
        <v>1327.4825439000001</v>
      </c>
      <c r="I2164">
        <v>1338.1369629000001</v>
      </c>
      <c r="J2164">
        <v>1335.7772216999999</v>
      </c>
      <c r="K2164">
        <v>0</v>
      </c>
      <c r="L2164">
        <v>2400</v>
      </c>
      <c r="M2164">
        <v>2400</v>
      </c>
      <c r="N2164">
        <v>0</v>
      </c>
    </row>
    <row r="2165" spans="1:14" x14ac:dyDescent="0.25">
      <c r="A2165">
        <v>1299.555924</v>
      </c>
      <c r="B2165" s="1">
        <f>DATE(2013,11,20) + TIME(13,20,31)</f>
        <v>41598.555914351855</v>
      </c>
      <c r="C2165">
        <v>80</v>
      </c>
      <c r="D2165">
        <v>78.535522460999999</v>
      </c>
      <c r="E2165">
        <v>50</v>
      </c>
      <c r="F2165">
        <v>49.983390808000003</v>
      </c>
      <c r="G2165">
        <v>1328.8742675999999</v>
      </c>
      <c r="H2165">
        <v>1327.440918</v>
      </c>
      <c r="I2165">
        <v>1338.1323242000001</v>
      </c>
      <c r="J2165">
        <v>1335.7749022999999</v>
      </c>
      <c r="K2165">
        <v>0</v>
      </c>
      <c r="L2165">
        <v>2400</v>
      </c>
      <c r="M2165">
        <v>2400</v>
      </c>
      <c r="N2165">
        <v>0</v>
      </c>
    </row>
    <row r="2166" spans="1:14" x14ac:dyDescent="0.25">
      <c r="A2166">
        <v>1300.3868990000001</v>
      </c>
      <c r="B2166" s="1">
        <f>DATE(2013,11,21) + TIME(9,17,8)</f>
        <v>41599.38689814815</v>
      </c>
      <c r="C2166">
        <v>80</v>
      </c>
      <c r="D2166">
        <v>78.486366271999998</v>
      </c>
      <c r="E2166">
        <v>50</v>
      </c>
      <c r="F2166">
        <v>49.983375549000002</v>
      </c>
      <c r="G2166">
        <v>1328.8435059000001</v>
      </c>
      <c r="H2166">
        <v>1327.3983154</v>
      </c>
      <c r="I2166">
        <v>1338.1276855000001</v>
      </c>
      <c r="J2166">
        <v>1335.7725829999999</v>
      </c>
      <c r="K2166">
        <v>0</v>
      </c>
      <c r="L2166">
        <v>2400</v>
      </c>
      <c r="M2166">
        <v>2400</v>
      </c>
      <c r="N2166">
        <v>0</v>
      </c>
    </row>
    <row r="2167" spans="1:14" x14ac:dyDescent="0.25">
      <c r="A2167">
        <v>1301.243316</v>
      </c>
      <c r="B2167" s="1">
        <f>DATE(2013,11,22) + TIME(5,50,22)</f>
        <v>41600.243310185186</v>
      </c>
      <c r="C2167">
        <v>80</v>
      </c>
      <c r="D2167">
        <v>78.435707092000001</v>
      </c>
      <c r="E2167">
        <v>50</v>
      </c>
      <c r="F2167">
        <v>49.983364105</v>
      </c>
      <c r="G2167">
        <v>1328.8117675999999</v>
      </c>
      <c r="H2167">
        <v>1327.3544922000001</v>
      </c>
      <c r="I2167">
        <v>1338.1230469</v>
      </c>
      <c r="J2167">
        <v>1335.7703856999999</v>
      </c>
      <c r="K2167">
        <v>0</v>
      </c>
      <c r="L2167">
        <v>2400</v>
      </c>
      <c r="M2167">
        <v>2400</v>
      </c>
      <c r="N2167">
        <v>0</v>
      </c>
    </row>
    <row r="2168" spans="1:14" x14ac:dyDescent="0.25">
      <c r="A2168">
        <v>1302.124143</v>
      </c>
      <c r="B2168" s="1">
        <f>DATE(2013,11,23) + TIME(2,58,45)</f>
        <v>41601.124131944445</v>
      </c>
      <c r="C2168">
        <v>80</v>
      </c>
      <c r="D2168">
        <v>78.383697510000005</v>
      </c>
      <c r="E2168">
        <v>50</v>
      </c>
      <c r="F2168">
        <v>49.983348845999998</v>
      </c>
      <c r="G2168">
        <v>1328.7796631000001</v>
      </c>
      <c r="H2168">
        <v>1327.3100586</v>
      </c>
      <c r="I2168">
        <v>1338.1184082</v>
      </c>
      <c r="J2168">
        <v>1335.7681885</v>
      </c>
      <c r="K2168">
        <v>0</v>
      </c>
      <c r="L2168">
        <v>2400</v>
      </c>
      <c r="M2168">
        <v>2400</v>
      </c>
      <c r="N2168">
        <v>0</v>
      </c>
    </row>
    <row r="2169" spans="1:14" x14ac:dyDescent="0.25">
      <c r="A2169">
        <v>1303.0108</v>
      </c>
      <c r="B2169" s="1">
        <f>DATE(2013,11,24) + TIME(0,15,33)</f>
        <v>41602.010798611111</v>
      </c>
      <c r="C2169">
        <v>80</v>
      </c>
      <c r="D2169">
        <v>78.330886840999995</v>
      </c>
      <c r="E2169">
        <v>50</v>
      </c>
      <c r="F2169">
        <v>49.983333588000001</v>
      </c>
      <c r="G2169">
        <v>1328.7470702999999</v>
      </c>
      <c r="H2169">
        <v>1327.2651367000001</v>
      </c>
      <c r="I2169">
        <v>1338.1138916</v>
      </c>
      <c r="J2169">
        <v>1335.7659911999999</v>
      </c>
      <c r="K2169">
        <v>0</v>
      </c>
      <c r="L2169">
        <v>2400</v>
      </c>
      <c r="M2169">
        <v>2400</v>
      </c>
      <c r="N2169">
        <v>0</v>
      </c>
    </row>
    <row r="2170" spans="1:14" x14ac:dyDescent="0.25">
      <c r="A2170">
        <v>1303.9096589999999</v>
      </c>
      <c r="B2170" s="1">
        <f>DATE(2013,11,24) + TIME(21,49,54)</f>
        <v>41602.90965277778</v>
      </c>
      <c r="C2170">
        <v>80</v>
      </c>
      <c r="D2170">
        <v>78.277488708000007</v>
      </c>
      <c r="E2170">
        <v>50</v>
      </c>
      <c r="F2170">
        <v>49.983322143999999</v>
      </c>
      <c r="G2170">
        <v>1328.7144774999999</v>
      </c>
      <c r="H2170">
        <v>1327.2203368999999</v>
      </c>
      <c r="I2170">
        <v>1338.109375</v>
      </c>
      <c r="J2170">
        <v>1335.7639160000001</v>
      </c>
      <c r="K2170">
        <v>0</v>
      </c>
      <c r="L2170">
        <v>2400</v>
      </c>
      <c r="M2170">
        <v>2400</v>
      </c>
      <c r="N2170">
        <v>0</v>
      </c>
    </row>
    <row r="2171" spans="1:14" x14ac:dyDescent="0.25">
      <c r="A2171">
        <v>1304.8270439999999</v>
      </c>
      <c r="B2171" s="1">
        <f>DATE(2013,11,25) + TIME(19,50,56)</f>
        <v>41603.827037037037</v>
      </c>
      <c r="C2171">
        <v>80</v>
      </c>
      <c r="D2171">
        <v>78.223358153999996</v>
      </c>
      <c r="E2171">
        <v>50</v>
      </c>
      <c r="F2171">
        <v>49.983306884999998</v>
      </c>
      <c r="G2171">
        <v>1328.6821289</v>
      </c>
      <c r="H2171">
        <v>1327.1756591999999</v>
      </c>
      <c r="I2171">
        <v>1338.1051024999999</v>
      </c>
      <c r="J2171">
        <v>1335.7619629000001</v>
      </c>
      <c r="K2171">
        <v>0</v>
      </c>
      <c r="L2171">
        <v>2400</v>
      </c>
      <c r="M2171">
        <v>2400</v>
      </c>
      <c r="N2171">
        <v>0</v>
      </c>
    </row>
    <row r="2172" spans="1:14" x14ac:dyDescent="0.25">
      <c r="A2172">
        <v>1305.7695140000001</v>
      </c>
      <c r="B2172" s="1">
        <f>DATE(2013,11,26) + TIME(18,28,6)</f>
        <v>41604.769513888888</v>
      </c>
      <c r="C2172">
        <v>80</v>
      </c>
      <c r="D2172">
        <v>78.168197632000002</v>
      </c>
      <c r="E2172">
        <v>50</v>
      </c>
      <c r="F2172">
        <v>49.983295441000003</v>
      </c>
      <c r="G2172">
        <v>1328.6495361</v>
      </c>
      <c r="H2172">
        <v>1327.1308594</v>
      </c>
      <c r="I2172">
        <v>1338.1009521000001</v>
      </c>
      <c r="J2172">
        <v>1335.7601318</v>
      </c>
      <c r="K2172">
        <v>0</v>
      </c>
      <c r="L2172">
        <v>2400</v>
      </c>
      <c r="M2172">
        <v>2400</v>
      </c>
      <c r="N2172">
        <v>0</v>
      </c>
    </row>
    <row r="2173" spans="1:14" x14ac:dyDescent="0.25">
      <c r="A2173">
        <v>1306.744177</v>
      </c>
      <c r="B2173" s="1">
        <f>DATE(2013,11,27) + TIME(17,51,36)</f>
        <v>41605.744166666664</v>
      </c>
      <c r="C2173">
        <v>80</v>
      </c>
      <c r="D2173">
        <v>78.111625670999999</v>
      </c>
      <c r="E2173">
        <v>50</v>
      </c>
      <c r="F2173">
        <v>49.983280182000001</v>
      </c>
      <c r="G2173">
        <v>1328.6166992000001</v>
      </c>
      <c r="H2173">
        <v>1327.0858154</v>
      </c>
      <c r="I2173">
        <v>1338.0968018000001</v>
      </c>
      <c r="J2173">
        <v>1335.7583007999999</v>
      </c>
      <c r="K2173">
        <v>0</v>
      </c>
      <c r="L2173">
        <v>2400</v>
      </c>
      <c r="M2173">
        <v>2400</v>
      </c>
      <c r="N2173">
        <v>0</v>
      </c>
    </row>
    <row r="2174" spans="1:14" x14ac:dyDescent="0.25">
      <c r="A2174">
        <v>1307.759016</v>
      </c>
      <c r="B2174" s="1">
        <f>DATE(2013,11,28) + TIME(18,12,58)</f>
        <v>41606.759004629632</v>
      </c>
      <c r="C2174">
        <v>80</v>
      </c>
      <c r="D2174">
        <v>78.053199767999999</v>
      </c>
      <c r="E2174">
        <v>50</v>
      </c>
      <c r="F2174">
        <v>49.983268738</v>
      </c>
      <c r="G2174">
        <v>1328.583374</v>
      </c>
      <c r="H2174">
        <v>1327.0402832</v>
      </c>
      <c r="I2174">
        <v>1338.0925293</v>
      </c>
      <c r="J2174">
        <v>1335.7564697</v>
      </c>
      <c r="K2174">
        <v>0</v>
      </c>
      <c r="L2174">
        <v>2400</v>
      </c>
      <c r="M2174">
        <v>2400</v>
      </c>
      <c r="N2174">
        <v>0</v>
      </c>
    </row>
    <row r="2175" spans="1:14" x14ac:dyDescent="0.25">
      <c r="A2175">
        <v>1308.8232829999999</v>
      </c>
      <c r="B2175" s="1">
        <f>DATE(2013,11,29) + TIME(19,45,31)</f>
        <v>41607.823275462964</v>
      </c>
      <c r="C2175">
        <v>80</v>
      </c>
      <c r="D2175">
        <v>77.992416382000002</v>
      </c>
      <c r="E2175">
        <v>50</v>
      </c>
      <c r="F2175">
        <v>49.983253478999998</v>
      </c>
      <c r="G2175">
        <v>1328.5493164</v>
      </c>
      <c r="H2175">
        <v>1326.9937743999999</v>
      </c>
      <c r="I2175">
        <v>1338.0883789</v>
      </c>
      <c r="J2175">
        <v>1335.7546387</v>
      </c>
      <c r="K2175">
        <v>0</v>
      </c>
      <c r="L2175">
        <v>2400</v>
      </c>
      <c r="M2175">
        <v>2400</v>
      </c>
      <c r="N2175">
        <v>0</v>
      </c>
    </row>
    <row r="2176" spans="1:14" x14ac:dyDescent="0.25">
      <c r="A2176">
        <v>1309.9307779999999</v>
      </c>
      <c r="B2176" s="1">
        <f>DATE(2013,11,30) + TIME(22,20,19)</f>
        <v>41608.930775462963</v>
      </c>
      <c r="C2176">
        <v>80</v>
      </c>
      <c r="D2176">
        <v>77.929023743000002</v>
      </c>
      <c r="E2176">
        <v>50</v>
      </c>
      <c r="F2176">
        <v>49.983242035000004</v>
      </c>
      <c r="G2176">
        <v>1328.5144043</v>
      </c>
      <c r="H2176">
        <v>1326.9462891000001</v>
      </c>
      <c r="I2176">
        <v>1338.0842285000001</v>
      </c>
      <c r="J2176">
        <v>1335.7528076000001</v>
      </c>
      <c r="K2176">
        <v>0</v>
      </c>
      <c r="L2176">
        <v>2400</v>
      </c>
      <c r="M2176">
        <v>2400</v>
      </c>
      <c r="N2176">
        <v>0</v>
      </c>
    </row>
    <row r="2177" spans="1:14" x14ac:dyDescent="0.25">
      <c r="A2177">
        <v>1310</v>
      </c>
      <c r="B2177" s="1">
        <f>DATE(2013,12,1) + TIME(0,0,0)</f>
        <v>41609</v>
      </c>
      <c r="C2177">
        <v>80</v>
      </c>
      <c r="D2177">
        <v>77.918945312000005</v>
      </c>
      <c r="E2177">
        <v>50</v>
      </c>
      <c r="F2177">
        <v>49.983234406000001</v>
      </c>
      <c r="G2177">
        <v>1328.4830322</v>
      </c>
      <c r="H2177">
        <v>1326.9045410000001</v>
      </c>
      <c r="I2177">
        <v>1338.0799560999999</v>
      </c>
      <c r="J2177">
        <v>1335.7508545000001</v>
      </c>
      <c r="K2177">
        <v>0</v>
      </c>
      <c r="L2177">
        <v>2400</v>
      </c>
      <c r="M2177">
        <v>2400</v>
      </c>
      <c r="N2177">
        <v>0</v>
      </c>
    </row>
    <row r="2178" spans="1:14" x14ac:dyDescent="0.25">
      <c r="A2178">
        <v>1311.134863</v>
      </c>
      <c r="B2178" s="1">
        <f>DATE(2013,12,2) + TIME(3,14,12)</f>
        <v>41610.13486111111</v>
      </c>
      <c r="C2178">
        <v>80</v>
      </c>
      <c r="D2178">
        <v>77.857002257999994</v>
      </c>
      <c r="E2178">
        <v>50</v>
      </c>
      <c r="F2178">
        <v>49.983226776000002</v>
      </c>
      <c r="G2178">
        <v>1328.4749756000001</v>
      </c>
      <c r="H2178">
        <v>1326.8922118999999</v>
      </c>
      <c r="I2178">
        <v>1338.0797118999999</v>
      </c>
      <c r="J2178">
        <v>1335.7509766000001</v>
      </c>
      <c r="K2178">
        <v>0</v>
      </c>
      <c r="L2178">
        <v>2400</v>
      </c>
      <c r="M2178">
        <v>2400</v>
      </c>
      <c r="N2178">
        <v>0</v>
      </c>
    </row>
    <row r="2179" spans="1:14" x14ac:dyDescent="0.25">
      <c r="A2179">
        <v>1312.288863</v>
      </c>
      <c r="B2179" s="1">
        <f>DATE(2013,12,3) + TIME(6,55,57)</f>
        <v>41611.288854166669</v>
      </c>
      <c r="C2179">
        <v>80</v>
      </c>
      <c r="D2179">
        <v>77.790847778</v>
      </c>
      <c r="E2179">
        <v>50</v>
      </c>
      <c r="F2179">
        <v>49.983211517000001</v>
      </c>
      <c r="G2179">
        <v>1328.4399414</v>
      </c>
      <c r="H2179">
        <v>1326.8447266000001</v>
      </c>
      <c r="I2179">
        <v>1338.0755615</v>
      </c>
      <c r="J2179">
        <v>1335.7492675999999</v>
      </c>
      <c r="K2179">
        <v>0</v>
      </c>
      <c r="L2179">
        <v>2400</v>
      </c>
      <c r="M2179">
        <v>2400</v>
      </c>
      <c r="N2179">
        <v>0</v>
      </c>
    </row>
    <row r="2180" spans="1:14" x14ac:dyDescent="0.25">
      <c r="A2180">
        <v>1313.4569509999999</v>
      </c>
      <c r="B2180" s="1">
        <f>DATE(2013,12,4) + TIME(10,58,0)</f>
        <v>41612.456944444442</v>
      </c>
      <c r="C2180">
        <v>80</v>
      </c>
      <c r="D2180">
        <v>77.722373962000006</v>
      </c>
      <c r="E2180">
        <v>50</v>
      </c>
      <c r="F2180">
        <v>49.983200072999999</v>
      </c>
      <c r="G2180">
        <v>1328.4040527</v>
      </c>
      <c r="H2180">
        <v>1326.7961425999999</v>
      </c>
      <c r="I2180">
        <v>1338.0714111</v>
      </c>
      <c r="J2180">
        <v>1335.7476807</v>
      </c>
      <c r="K2180">
        <v>0</v>
      </c>
      <c r="L2180">
        <v>2400</v>
      </c>
      <c r="M2180">
        <v>2400</v>
      </c>
      <c r="N2180">
        <v>0</v>
      </c>
    </row>
    <row r="2181" spans="1:14" x14ac:dyDescent="0.25">
      <c r="A2181">
        <v>1314.648111</v>
      </c>
      <c r="B2181" s="1">
        <f>DATE(2013,12,5) + TIME(15,33,16)</f>
        <v>41613.648101851853</v>
      </c>
      <c r="C2181">
        <v>80</v>
      </c>
      <c r="D2181">
        <v>77.652168274000005</v>
      </c>
      <c r="E2181">
        <v>50</v>
      </c>
      <c r="F2181">
        <v>49.983184813999998</v>
      </c>
      <c r="G2181">
        <v>1328.3681641000001</v>
      </c>
      <c r="H2181">
        <v>1326.7474365</v>
      </c>
      <c r="I2181">
        <v>1338.0673827999999</v>
      </c>
      <c r="J2181">
        <v>1335.7460937999999</v>
      </c>
      <c r="K2181">
        <v>0</v>
      </c>
      <c r="L2181">
        <v>2400</v>
      </c>
      <c r="M2181">
        <v>2400</v>
      </c>
      <c r="N2181">
        <v>0</v>
      </c>
    </row>
    <row r="2182" spans="1:14" x14ac:dyDescent="0.25">
      <c r="A2182">
        <v>1315.8715070000001</v>
      </c>
      <c r="B2182" s="1">
        <f>DATE(2013,12,6) + TIME(20,54,58)</f>
        <v>41614.871504629627</v>
      </c>
      <c r="C2182">
        <v>80</v>
      </c>
      <c r="D2182">
        <v>77.580055236999996</v>
      </c>
      <c r="E2182">
        <v>50</v>
      </c>
      <c r="F2182">
        <v>49.983173370000003</v>
      </c>
      <c r="G2182">
        <v>1328.3321533000001</v>
      </c>
      <c r="H2182">
        <v>1326.6986084</v>
      </c>
      <c r="I2182">
        <v>1338.0634766000001</v>
      </c>
      <c r="J2182">
        <v>1335.7446289</v>
      </c>
      <c r="K2182">
        <v>0</v>
      </c>
      <c r="L2182">
        <v>2400</v>
      </c>
      <c r="M2182">
        <v>2400</v>
      </c>
      <c r="N2182">
        <v>0</v>
      </c>
    </row>
    <row r="2183" spans="1:14" x14ac:dyDescent="0.25">
      <c r="A2183">
        <v>1317.137062</v>
      </c>
      <c r="B2183" s="1">
        <f>DATE(2013,12,8) + TIME(3,17,22)</f>
        <v>41616.137060185189</v>
      </c>
      <c r="C2183">
        <v>80</v>
      </c>
      <c r="D2183">
        <v>77.505584717000005</v>
      </c>
      <c r="E2183">
        <v>50</v>
      </c>
      <c r="F2183">
        <v>49.983158111999998</v>
      </c>
      <c r="G2183">
        <v>1328.2958983999999</v>
      </c>
      <c r="H2183">
        <v>1326.6496582</v>
      </c>
      <c r="I2183">
        <v>1338.0595702999999</v>
      </c>
      <c r="J2183">
        <v>1335.7431641000001</v>
      </c>
      <c r="K2183">
        <v>0</v>
      </c>
      <c r="L2183">
        <v>2400</v>
      </c>
      <c r="M2183">
        <v>2400</v>
      </c>
      <c r="N2183">
        <v>0</v>
      </c>
    </row>
    <row r="2184" spans="1:14" x14ac:dyDescent="0.25">
      <c r="A2184">
        <v>1318.4559340000001</v>
      </c>
      <c r="B2184" s="1">
        <f>DATE(2013,12,9) + TIME(10,56,32)</f>
        <v>41617.455925925926</v>
      </c>
      <c r="C2184">
        <v>80</v>
      </c>
      <c r="D2184">
        <v>77.428115844999994</v>
      </c>
      <c r="E2184">
        <v>50</v>
      </c>
      <c r="F2184">
        <v>49.983146667</v>
      </c>
      <c r="G2184">
        <v>1328.2591553</v>
      </c>
      <c r="H2184">
        <v>1326.5999756000001</v>
      </c>
      <c r="I2184">
        <v>1338.0556641000001</v>
      </c>
      <c r="J2184">
        <v>1335.7416992000001</v>
      </c>
      <c r="K2184">
        <v>0</v>
      </c>
      <c r="L2184">
        <v>2400</v>
      </c>
      <c r="M2184">
        <v>2400</v>
      </c>
      <c r="N2184">
        <v>0</v>
      </c>
    </row>
    <row r="2185" spans="1:14" x14ac:dyDescent="0.25">
      <c r="A2185">
        <v>1319.8348900000001</v>
      </c>
      <c r="B2185" s="1">
        <f>DATE(2013,12,10) + TIME(20,2,14)</f>
        <v>41618.83488425926</v>
      </c>
      <c r="C2185">
        <v>80</v>
      </c>
      <c r="D2185">
        <v>77.347015381000006</v>
      </c>
      <c r="E2185">
        <v>50</v>
      </c>
      <c r="F2185">
        <v>49.983131409000002</v>
      </c>
      <c r="G2185">
        <v>1328.2216797000001</v>
      </c>
      <c r="H2185">
        <v>1326.5495605000001</v>
      </c>
      <c r="I2185">
        <v>1338.0517577999999</v>
      </c>
      <c r="J2185">
        <v>1335.7403564000001</v>
      </c>
      <c r="K2185">
        <v>0</v>
      </c>
      <c r="L2185">
        <v>2400</v>
      </c>
      <c r="M2185">
        <v>2400</v>
      </c>
      <c r="N2185">
        <v>0</v>
      </c>
    </row>
    <row r="2186" spans="1:14" x14ac:dyDescent="0.25">
      <c r="A2186">
        <v>1321.273226</v>
      </c>
      <c r="B2186" s="1">
        <f>DATE(2013,12,12) + TIME(6,33,26)</f>
        <v>41620.273217592592</v>
      </c>
      <c r="C2186">
        <v>80</v>
      </c>
      <c r="D2186">
        <v>77.261871338000006</v>
      </c>
      <c r="E2186">
        <v>50</v>
      </c>
      <c r="F2186">
        <v>49.983116150000001</v>
      </c>
      <c r="G2186">
        <v>1328.1834716999999</v>
      </c>
      <c r="H2186">
        <v>1326.4981689000001</v>
      </c>
      <c r="I2186">
        <v>1338.0478516000001</v>
      </c>
      <c r="J2186">
        <v>1335.7388916</v>
      </c>
      <c r="K2186">
        <v>0</v>
      </c>
      <c r="L2186">
        <v>2400</v>
      </c>
      <c r="M2186">
        <v>2400</v>
      </c>
      <c r="N2186">
        <v>0</v>
      </c>
    </row>
    <row r="2187" spans="1:14" x14ac:dyDescent="0.25">
      <c r="A2187">
        <v>1322.7524530000001</v>
      </c>
      <c r="B2187" s="1">
        <f>DATE(2013,12,13) + TIME(18,3,31)</f>
        <v>41621.752442129633</v>
      </c>
      <c r="C2187">
        <v>80</v>
      </c>
      <c r="D2187">
        <v>77.172790527000004</v>
      </c>
      <c r="E2187">
        <v>50</v>
      </c>
      <c r="F2187">
        <v>49.983104705999999</v>
      </c>
      <c r="G2187">
        <v>1328.1442870999999</v>
      </c>
      <c r="H2187">
        <v>1326.4455565999999</v>
      </c>
      <c r="I2187">
        <v>1338.0438231999999</v>
      </c>
      <c r="J2187">
        <v>1335.7375488</v>
      </c>
      <c r="K2187">
        <v>0</v>
      </c>
      <c r="L2187">
        <v>2400</v>
      </c>
      <c r="M2187">
        <v>2400</v>
      </c>
      <c r="N2187">
        <v>0</v>
      </c>
    </row>
    <row r="2188" spans="1:14" x14ac:dyDescent="0.25">
      <c r="A2188">
        <v>1324.242976</v>
      </c>
      <c r="B2188" s="1">
        <f>DATE(2013,12,15) + TIME(5,49,53)</f>
        <v>41623.242974537039</v>
      </c>
      <c r="C2188">
        <v>80</v>
      </c>
      <c r="D2188">
        <v>77.080764771000005</v>
      </c>
      <c r="E2188">
        <v>50</v>
      </c>
      <c r="F2188">
        <v>49.983089446999998</v>
      </c>
      <c r="G2188">
        <v>1328.1046143000001</v>
      </c>
      <c r="H2188">
        <v>1326.3924560999999</v>
      </c>
      <c r="I2188">
        <v>1338.0397949000001</v>
      </c>
      <c r="J2188">
        <v>1335.7362060999999</v>
      </c>
      <c r="K2188">
        <v>0</v>
      </c>
      <c r="L2188">
        <v>2400</v>
      </c>
      <c r="M2188">
        <v>2400</v>
      </c>
      <c r="N2188">
        <v>0</v>
      </c>
    </row>
    <row r="2189" spans="1:14" x14ac:dyDescent="0.25">
      <c r="A2189">
        <v>1325.757126</v>
      </c>
      <c r="B2189" s="1">
        <f>DATE(2013,12,16) + TIME(18,10,15)</f>
        <v>41624.757118055553</v>
      </c>
      <c r="C2189">
        <v>80</v>
      </c>
      <c r="D2189">
        <v>76.986618042000003</v>
      </c>
      <c r="E2189">
        <v>50</v>
      </c>
      <c r="F2189">
        <v>49.983074188000003</v>
      </c>
      <c r="G2189">
        <v>1328.0651855000001</v>
      </c>
      <c r="H2189">
        <v>1326.3395995999999</v>
      </c>
      <c r="I2189">
        <v>1338.0358887</v>
      </c>
      <c r="J2189">
        <v>1335.7349853999999</v>
      </c>
      <c r="K2189">
        <v>0</v>
      </c>
      <c r="L2189">
        <v>2400</v>
      </c>
      <c r="M2189">
        <v>2400</v>
      </c>
      <c r="N2189">
        <v>0</v>
      </c>
    </row>
    <row r="2190" spans="1:14" x14ac:dyDescent="0.25">
      <c r="A2190">
        <v>1327.3042109999999</v>
      </c>
      <c r="B2190" s="1">
        <f>DATE(2013,12,18) + TIME(7,18,3)</f>
        <v>41626.304201388892</v>
      </c>
      <c r="C2190">
        <v>80</v>
      </c>
      <c r="D2190">
        <v>76.890075683999996</v>
      </c>
      <c r="E2190">
        <v>50</v>
      </c>
      <c r="F2190">
        <v>49.983062744000001</v>
      </c>
      <c r="G2190">
        <v>1328.0258789</v>
      </c>
      <c r="H2190">
        <v>1326.2868652</v>
      </c>
      <c r="I2190">
        <v>1338.0321045000001</v>
      </c>
      <c r="J2190">
        <v>1335.7337646000001</v>
      </c>
      <c r="K2190">
        <v>0</v>
      </c>
      <c r="L2190">
        <v>2400</v>
      </c>
      <c r="M2190">
        <v>2400</v>
      </c>
      <c r="N2190">
        <v>0</v>
      </c>
    </row>
    <row r="2191" spans="1:14" x14ac:dyDescent="0.25">
      <c r="A2191">
        <v>1328.8866660000001</v>
      </c>
      <c r="B2191" s="1">
        <f>DATE(2013,12,19) + TIME(21,16,47)</f>
        <v>41627.886655092596</v>
      </c>
      <c r="C2191">
        <v>80</v>
      </c>
      <c r="D2191">
        <v>76.790733337000006</v>
      </c>
      <c r="E2191">
        <v>50</v>
      </c>
      <c r="F2191">
        <v>49.983047485</v>
      </c>
      <c r="G2191">
        <v>1327.9865723</v>
      </c>
      <c r="H2191">
        <v>1326.234375</v>
      </c>
      <c r="I2191">
        <v>1338.0283202999999</v>
      </c>
      <c r="J2191">
        <v>1335.7325439000001</v>
      </c>
      <c r="K2191">
        <v>0</v>
      </c>
      <c r="L2191">
        <v>2400</v>
      </c>
      <c r="M2191">
        <v>2400</v>
      </c>
      <c r="N2191">
        <v>0</v>
      </c>
    </row>
    <row r="2192" spans="1:14" x14ac:dyDescent="0.25">
      <c r="A2192">
        <v>1330.5176280000001</v>
      </c>
      <c r="B2192" s="1">
        <f>DATE(2013,12,21) + TIME(12,25,23)</f>
        <v>41629.517627314817</v>
      </c>
      <c r="C2192">
        <v>80</v>
      </c>
      <c r="D2192">
        <v>76.68812561</v>
      </c>
      <c r="E2192">
        <v>50</v>
      </c>
      <c r="F2192">
        <v>49.983032227000002</v>
      </c>
      <c r="G2192">
        <v>1327.9472656</v>
      </c>
      <c r="H2192">
        <v>1326.1818848</v>
      </c>
      <c r="I2192">
        <v>1338.0245361</v>
      </c>
      <c r="J2192">
        <v>1335.7314452999999</v>
      </c>
      <c r="K2192">
        <v>0</v>
      </c>
      <c r="L2192">
        <v>2400</v>
      </c>
      <c r="M2192">
        <v>2400</v>
      </c>
      <c r="N2192">
        <v>0</v>
      </c>
    </row>
    <row r="2193" spans="1:14" x14ac:dyDescent="0.25">
      <c r="A2193">
        <v>1332.21154</v>
      </c>
      <c r="B2193" s="1">
        <f>DATE(2013,12,23) + TIME(5,4,37)</f>
        <v>41631.211539351854</v>
      </c>
      <c r="C2193">
        <v>80</v>
      </c>
      <c r="D2193">
        <v>76.581451415999993</v>
      </c>
      <c r="E2193">
        <v>50</v>
      </c>
      <c r="F2193">
        <v>49.983020781999997</v>
      </c>
      <c r="G2193">
        <v>1327.9077147999999</v>
      </c>
      <c r="H2193">
        <v>1326.1291504000001</v>
      </c>
      <c r="I2193">
        <v>1338.020874</v>
      </c>
      <c r="J2193">
        <v>1335.7303466999999</v>
      </c>
      <c r="K2193">
        <v>0</v>
      </c>
      <c r="L2193">
        <v>2400</v>
      </c>
      <c r="M2193">
        <v>2400</v>
      </c>
      <c r="N2193">
        <v>0</v>
      </c>
    </row>
    <row r="2194" spans="1:14" x14ac:dyDescent="0.25">
      <c r="A2194">
        <v>1333.98495</v>
      </c>
      <c r="B2194" s="1">
        <f>DATE(2013,12,24) + TIME(23,38,19)</f>
        <v>41632.984942129631</v>
      </c>
      <c r="C2194">
        <v>80</v>
      </c>
      <c r="D2194">
        <v>76.469718932999996</v>
      </c>
      <c r="E2194">
        <v>50</v>
      </c>
      <c r="F2194">
        <v>49.983005523999999</v>
      </c>
      <c r="G2194">
        <v>1327.8675536999999</v>
      </c>
      <c r="H2194">
        <v>1326.0758057</v>
      </c>
      <c r="I2194">
        <v>1338.0170897999999</v>
      </c>
      <c r="J2194">
        <v>1335.7292480000001</v>
      </c>
      <c r="K2194">
        <v>0</v>
      </c>
      <c r="L2194">
        <v>2400</v>
      </c>
      <c r="M2194">
        <v>2400</v>
      </c>
      <c r="N2194">
        <v>0</v>
      </c>
    </row>
    <row r="2195" spans="1:14" x14ac:dyDescent="0.25">
      <c r="A2195">
        <v>1334.9182029999999</v>
      </c>
      <c r="B2195" s="1">
        <f>DATE(2013,12,25) + TIME(22,2,12)</f>
        <v>41633.918194444443</v>
      </c>
      <c r="C2195">
        <v>80</v>
      </c>
      <c r="D2195">
        <v>76.374298096000004</v>
      </c>
      <c r="E2195">
        <v>50</v>
      </c>
      <c r="F2195">
        <v>49.982994079999997</v>
      </c>
      <c r="G2195">
        <v>1327.8273925999999</v>
      </c>
      <c r="H2195">
        <v>1326.0234375</v>
      </c>
      <c r="I2195">
        <v>1338.0130615</v>
      </c>
      <c r="J2195">
        <v>1335.7280272999999</v>
      </c>
      <c r="K2195">
        <v>0</v>
      </c>
      <c r="L2195">
        <v>2400</v>
      </c>
      <c r="M2195">
        <v>2400</v>
      </c>
      <c r="N2195">
        <v>0</v>
      </c>
    </row>
    <row r="2196" spans="1:14" x14ac:dyDescent="0.25">
      <c r="A2196">
        <v>1336.6623259999999</v>
      </c>
      <c r="B2196" s="1">
        <f>DATE(2013,12,27) + TIME(15,53,44)</f>
        <v>41635.662314814814</v>
      </c>
      <c r="C2196">
        <v>80</v>
      </c>
      <c r="D2196">
        <v>76.282981872999997</v>
      </c>
      <c r="E2196">
        <v>50</v>
      </c>
      <c r="F2196">
        <v>49.982982634999999</v>
      </c>
      <c r="G2196">
        <v>1327.8001709</v>
      </c>
      <c r="H2196">
        <v>1325.9842529</v>
      </c>
      <c r="I2196">
        <v>1338.0112305</v>
      </c>
      <c r="J2196">
        <v>1335.7276611</v>
      </c>
      <c r="K2196">
        <v>0</v>
      </c>
      <c r="L2196">
        <v>2400</v>
      </c>
      <c r="M2196">
        <v>2400</v>
      </c>
      <c r="N2196">
        <v>0</v>
      </c>
    </row>
    <row r="2197" spans="1:14" x14ac:dyDescent="0.25">
      <c r="A2197">
        <v>1338.521825</v>
      </c>
      <c r="B2197" s="1">
        <f>DATE(2013,12,29) + TIME(12,31,25)</f>
        <v>41637.521817129629</v>
      </c>
      <c r="C2197">
        <v>80</v>
      </c>
      <c r="D2197">
        <v>76.170196532999995</v>
      </c>
      <c r="E2197">
        <v>50</v>
      </c>
      <c r="F2197">
        <v>49.982971190999997</v>
      </c>
      <c r="G2197">
        <v>1327.7637939000001</v>
      </c>
      <c r="H2197">
        <v>1325.9373779</v>
      </c>
      <c r="I2197">
        <v>1338.0076904</v>
      </c>
      <c r="J2197">
        <v>1335.7266846</v>
      </c>
      <c r="K2197">
        <v>0</v>
      </c>
      <c r="L2197">
        <v>2400</v>
      </c>
      <c r="M2197">
        <v>2400</v>
      </c>
      <c r="N2197">
        <v>0</v>
      </c>
    </row>
    <row r="2198" spans="1:14" x14ac:dyDescent="0.25">
      <c r="A2198">
        <v>1340.4080289999999</v>
      </c>
      <c r="B2198" s="1">
        <f>DATE(2013,12,31) + TIME(9,47,33)</f>
        <v>41639.408020833333</v>
      </c>
      <c r="C2198">
        <v>80</v>
      </c>
      <c r="D2198">
        <v>76.046615600999999</v>
      </c>
      <c r="E2198">
        <v>50</v>
      </c>
      <c r="F2198">
        <v>49.982959747000002</v>
      </c>
      <c r="G2198">
        <v>1327.723999</v>
      </c>
      <c r="H2198">
        <v>1325.885376</v>
      </c>
      <c r="I2198">
        <v>1338.0039062000001</v>
      </c>
      <c r="J2198">
        <v>1335.7257079999999</v>
      </c>
      <c r="K2198">
        <v>0</v>
      </c>
      <c r="L2198">
        <v>2400</v>
      </c>
      <c r="M2198">
        <v>2400</v>
      </c>
      <c r="N2198">
        <v>0</v>
      </c>
    </row>
    <row r="2199" spans="1:14" x14ac:dyDescent="0.25">
      <c r="A2199">
        <v>1341</v>
      </c>
      <c r="B2199" s="1">
        <f>DATE(2014,1,1) + TIME(0,0,0)</f>
        <v>41640</v>
      </c>
      <c r="C2199">
        <v>80</v>
      </c>
      <c r="D2199">
        <v>75.961471558</v>
      </c>
      <c r="E2199">
        <v>50</v>
      </c>
      <c r="F2199">
        <v>49.982948303000001</v>
      </c>
      <c r="G2199">
        <v>1327.6849365</v>
      </c>
      <c r="H2199">
        <v>1325.8353271000001</v>
      </c>
      <c r="I2199">
        <v>1338.0001221</v>
      </c>
      <c r="J2199">
        <v>1335.7246094</v>
      </c>
      <c r="K2199">
        <v>0</v>
      </c>
      <c r="L2199">
        <v>2400</v>
      </c>
      <c r="M2199">
        <v>2400</v>
      </c>
      <c r="N2199">
        <v>0</v>
      </c>
    </row>
    <row r="2200" spans="1:14" x14ac:dyDescent="0.25">
      <c r="A2200">
        <v>1342.9291820000001</v>
      </c>
      <c r="B2200" s="1">
        <f>DATE(2014,1,2) + TIME(22,18,1)</f>
        <v>41641.929178240738</v>
      </c>
      <c r="C2200">
        <v>80</v>
      </c>
      <c r="D2200">
        <v>75.867149353000002</v>
      </c>
      <c r="E2200">
        <v>50</v>
      </c>
      <c r="F2200">
        <v>49.982940673999998</v>
      </c>
      <c r="G2200">
        <v>1327.6652832</v>
      </c>
      <c r="H2200">
        <v>1325.8051757999999</v>
      </c>
      <c r="I2200">
        <v>1337.9991454999999</v>
      </c>
      <c r="J2200">
        <v>1335.7244873</v>
      </c>
      <c r="K2200">
        <v>0</v>
      </c>
      <c r="L2200">
        <v>2400</v>
      </c>
      <c r="M2200">
        <v>2400</v>
      </c>
      <c r="N2200">
        <v>0</v>
      </c>
    </row>
    <row r="2201" spans="1:14" x14ac:dyDescent="0.25">
      <c r="A2201">
        <v>1344.941579</v>
      </c>
      <c r="B2201" s="1">
        <f>DATE(2014,1,4) + TIME(22,35,52)</f>
        <v>41643.941574074073</v>
      </c>
      <c r="C2201">
        <v>80</v>
      </c>
      <c r="D2201">
        <v>75.741302489999995</v>
      </c>
      <c r="E2201">
        <v>50</v>
      </c>
      <c r="F2201">
        <v>49.982925414999997</v>
      </c>
      <c r="G2201">
        <v>1327.6289062000001</v>
      </c>
      <c r="H2201">
        <v>1325.7591553</v>
      </c>
      <c r="I2201">
        <v>1337.9954834</v>
      </c>
      <c r="J2201">
        <v>1335.7236327999999</v>
      </c>
      <c r="K2201">
        <v>0</v>
      </c>
      <c r="L2201">
        <v>2400</v>
      </c>
      <c r="M2201">
        <v>2400</v>
      </c>
      <c r="N2201">
        <v>0</v>
      </c>
    </row>
    <row r="2202" spans="1:14" x14ac:dyDescent="0.25">
      <c r="A2202">
        <v>1347.034398</v>
      </c>
      <c r="B2202" s="1">
        <f>DATE(2014,1,7) + TIME(0,49,31)</f>
        <v>41646.034386574072</v>
      </c>
      <c r="C2202">
        <v>80</v>
      </c>
      <c r="D2202">
        <v>75.602943420000003</v>
      </c>
      <c r="E2202">
        <v>50</v>
      </c>
      <c r="F2202">
        <v>49.982913971000002</v>
      </c>
      <c r="G2202">
        <v>1327.5887451000001</v>
      </c>
      <c r="H2202">
        <v>1325.7067870999999</v>
      </c>
      <c r="I2202">
        <v>1337.9918213000001</v>
      </c>
      <c r="J2202">
        <v>1335.7226562000001</v>
      </c>
      <c r="K2202">
        <v>0</v>
      </c>
      <c r="L2202">
        <v>2400</v>
      </c>
      <c r="M2202">
        <v>2400</v>
      </c>
      <c r="N2202">
        <v>0</v>
      </c>
    </row>
    <row r="2203" spans="1:14" x14ac:dyDescent="0.25">
      <c r="A2203">
        <v>1349.2113919999999</v>
      </c>
      <c r="B2203" s="1">
        <f>DATE(2014,1,9) + TIME(5,4,24)</f>
        <v>41648.211388888885</v>
      </c>
      <c r="C2203">
        <v>80</v>
      </c>
      <c r="D2203">
        <v>75.456542968999997</v>
      </c>
      <c r="E2203">
        <v>50</v>
      </c>
      <c r="F2203">
        <v>49.982902527</v>
      </c>
      <c r="G2203">
        <v>1327.5472411999999</v>
      </c>
      <c r="H2203">
        <v>1325.6523437999999</v>
      </c>
      <c r="I2203">
        <v>1337.9880370999999</v>
      </c>
      <c r="J2203">
        <v>1335.7218018000001</v>
      </c>
      <c r="K2203">
        <v>0</v>
      </c>
      <c r="L2203">
        <v>2400</v>
      </c>
      <c r="M2203">
        <v>2400</v>
      </c>
      <c r="N2203">
        <v>0</v>
      </c>
    </row>
    <row r="2204" spans="1:14" x14ac:dyDescent="0.25">
      <c r="A2204">
        <v>1351.4950080000001</v>
      </c>
      <c r="B2204" s="1">
        <f>DATE(2014,1,11) + TIME(11,52,48)</f>
        <v>41650.495000000003</v>
      </c>
      <c r="C2204">
        <v>80</v>
      </c>
      <c r="D2204">
        <v>75.302589416999993</v>
      </c>
      <c r="E2204">
        <v>50</v>
      </c>
      <c r="F2204">
        <v>49.982887267999999</v>
      </c>
      <c r="G2204">
        <v>1327.5048827999999</v>
      </c>
      <c r="H2204">
        <v>1325.5968018000001</v>
      </c>
      <c r="I2204">
        <v>1337.9842529</v>
      </c>
      <c r="J2204">
        <v>1335.7209473</v>
      </c>
      <c r="K2204">
        <v>0</v>
      </c>
      <c r="L2204">
        <v>2400</v>
      </c>
      <c r="M2204">
        <v>2400</v>
      </c>
      <c r="N2204">
        <v>0</v>
      </c>
    </row>
    <row r="2205" spans="1:14" x14ac:dyDescent="0.25">
      <c r="A2205">
        <v>1353.799403</v>
      </c>
      <c r="B2205" s="1">
        <f>DATE(2014,1,13) + TIME(19,11,8)</f>
        <v>41652.799398148149</v>
      </c>
      <c r="C2205">
        <v>80</v>
      </c>
      <c r="D2205">
        <v>75.141334533999995</v>
      </c>
      <c r="E2205">
        <v>50</v>
      </c>
      <c r="F2205">
        <v>49.982872008999998</v>
      </c>
      <c r="G2205">
        <v>1327.4615478999999</v>
      </c>
      <c r="H2205">
        <v>1325.5400391000001</v>
      </c>
      <c r="I2205">
        <v>1337.9804687999999</v>
      </c>
      <c r="J2205">
        <v>1335.7199707</v>
      </c>
      <c r="K2205">
        <v>0</v>
      </c>
      <c r="L2205">
        <v>2400</v>
      </c>
      <c r="M2205">
        <v>2400</v>
      </c>
      <c r="N2205">
        <v>0</v>
      </c>
    </row>
    <row r="2206" spans="1:14" x14ac:dyDescent="0.25">
      <c r="A2206">
        <v>1356.1297999999999</v>
      </c>
      <c r="B2206" s="1">
        <f>DATE(2014,1,16) + TIME(3,6,54)</f>
        <v>41655.129791666666</v>
      </c>
      <c r="C2206">
        <v>80</v>
      </c>
      <c r="D2206">
        <v>74.976440429999997</v>
      </c>
      <c r="E2206">
        <v>50</v>
      </c>
      <c r="F2206">
        <v>49.982860565000003</v>
      </c>
      <c r="G2206">
        <v>1327.4182129000001</v>
      </c>
      <c r="H2206">
        <v>1325.4832764</v>
      </c>
      <c r="I2206">
        <v>1337.9766846</v>
      </c>
      <c r="J2206">
        <v>1335.7191161999999</v>
      </c>
      <c r="K2206">
        <v>0</v>
      </c>
      <c r="L2206">
        <v>2400</v>
      </c>
      <c r="M2206">
        <v>2400</v>
      </c>
      <c r="N2206">
        <v>0</v>
      </c>
    </row>
    <row r="2207" spans="1:14" x14ac:dyDescent="0.25">
      <c r="A2207">
        <v>1358.514492</v>
      </c>
      <c r="B2207" s="1">
        <f>DATE(2014,1,18) + TIME(12,20,52)</f>
        <v>41657.514490740738</v>
      </c>
      <c r="C2207">
        <v>80</v>
      </c>
      <c r="D2207">
        <v>74.807868958</v>
      </c>
      <c r="E2207">
        <v>50</v>
      </c>
      <c r="F2207">
        <v>49.982845306000002</v>
      </c>
      <c r="G2207">
        <v>1327.3753661999999</v>
      </c>
      <c r="H2207">
        <v>1325.4270019999999</v>
      </c>
      <c r="I2207">
        <v>1337.9729004000001</v>
      </c>
      <c r="J2207">
        <v>1335.7182617000001</v>
      </c>
      <c r="K2207">
        <v>0</v>
      </c>
      <c r="L2207">
        <v>2400</v>
      </c>
      <c r="M2207">
        <v>2400</v>
      </c>
      <c r="N2207">
        <v>0</v>
      </c>
    </row>
    <row r="2208" spans="1:14" x14ac:dyDescent="0.25">
      <c r="A2208">
        <v>1360.9764090000001</v>
      </c>
      <c r="B2208" s="1">
        <f>DATE(2014,1,20) + TIME(23,26,1)</f>
        <v>41659.976400462961</v>
      </c>
      <c r="C2208">
        <v>80</v>
      </c>
      <c r="D2208">
        <v>74.634223938000005</v>
      </c>
      <c r="E2208">
        <v>50</v>
      </c>
      <c r="F2208">
        <v>49.982833862</v>
      </c>
      <c r="G2208">
        <v>1327.3327637</v>
      </c>
      <c r="H2208">
        <v>1325.3710937999999</v>
      </c>
      <c r="I2208">
        <v>1337.9691161999999</v>
      </c>
      <c r="J2208">
        <v>1335.7174072</v>
      </c>
      <c r="K2208">
        <v>0</v>
      </c>
      <c r="L2208">
        <v>2400</v>
      </c>
      <c r="M2208">
        <v>2400</v>
      </c>
      <c r="N2208">
        <v>0</v>
      </c>
    </row>
    <row r="2209" spans="1:14" x14ac:dyDescent="0.25">
      <c r="A2209">
        <v>1363.5411449999999</v>
      </c>
      <c r="B2209" s="1">
        <f>DATE(2014,1,23) + TIME(12,59,14)</f>
        <v>41662.541134259256</v>
      </c>
      <c r="C2209">
        <v>80</v>
      </c>
      <c r="D2209">
        <v>74.453880310000002</v>
      </c>
      <c r="E2209">
        <v>50</v>
      </c>
      <c r="F2209">
        <v>49.982822417999998</v>
      </c>
      <c r="G2209">
        <v>1327.2899170000001</v>
      </c>
      <c r="H2209">
        <v>1325.3150635</v>
      </c>
      <c r="I2209">
        <v>1337.9654541</v>
      </c>
      <c r="J2209">
        <v>1335.7166748</v>
      </c>
      <c r="K2209">
        <v>0</v>
      </c>
      <c r="L2209">
        <v>2400</v>
      </c>
      <c r="M2209">
        <v>2400</v>
      </c>
      <c r="N2209">
        <v>0</v>
      </c>
    </row>
    <row r="2210" spans="1:14" x14ac:dyDescent="0.25">
      <c r="A2210">
        <v>1366.173006</v>
      </c>
      <c r="B2210" s="1">
        <f>DATE(2014,1,26) + TIME(4,9,7)</f>
        <v>41665.172997685186</v>
      </c>
      <c r="C2210">
        <v>80</v>
      </c>
      <c r="D2210">
        <v>74.265701293999996</v>
      </c>
      <c r="E2210">
        <v>50</v>
      </c>
      <c r="F2210">
        <v>49.982807158999996</v>
      </c>
      <c r="G2210">
        <v>1327.2464600000001</v>
      </c>
      <c r="H2210">
        <v>1325.2584228999999</v>
      </c>
      <c r="I2210">
        <v>1337.9615478999999</v>
      </c>
      <c r="J2210">
        <v>1335.7158202999999</v>
      </c>
      <c r="K2210">
        <v>0</v>
      </c>
      <c r="L2210">
        <v>2400</v>
      </c>
      <c r="M2210">
        <v>2400</v>
      </c>
      <c r="N2210">
        <v>0</v>
      </c>
    </row>
    <row r="2211" spans="1:14" x14ac:dyDescent="0.25">
      <c r="A2211">
        <v>1368.8402249999999</v>
      </c>
      <c r="B2211" s="1">
        <f>DATE(2014,1,28) + TIME(20,9,55)</f>
        <v>41667.840219907404</v>
      </c>
      <c r="C2211">
        <v>80</v>
      </c>
      <c r="D2211">
        <v>74.071502686000002</v>
      </c>
      <c r="E2211">
        <v>50</v>
      </c>
      <c r="F2211">
        <v>49.982795715000002</v>
      </c>
      <c r="G2211">
        <v>1327.2027588000001</v>
      </c>
      <c r="H2211">
        <v>1325.2015381000001</v>
      </c>
      <c r="I2211">
        <v>1337.9577637</v>
      </c>
      <c r="J2211">
        <v>1335.7149658000001</v>
      </c>
      <c r="K2211">
        <v>0</v>
      </c>
      <c r="L2211">
        <v>2400</v>
      </c>
      <c r="M2211">
        <v>2400</v>
      </c>
      <c r="N2211">
        <v>0</v>
      </c>
    </row>
    <row r="2212" spans="1:14" x14ac:dyDescent="0.25">
      <c r="A2212">
        <v>1371.5644279999999</v>
      </c>
      <c r="B2212" s="1">
        <f>DATE(2014,1,31) + TIME(13,32,46)</f>
        <v>41670.564421296294</v>
      </c>
      <c r="C2212">
        <v>80</v>
      </c>
      <c r="D2212">
        <v>73.872940063000001</v>
      </c>
      <c r="E2212">
        <v>50</v>
      </c>
      <c r="F2212">
        <v>49.982784271</v>
      </c>
      <c r="G2212">
        <v>1327.1594238</v>
      </c>
      <c r="H2212">
        <v>1325.1448975000001</v>
      </c>
      <c r="I2212">
        <v>1337.9538574000001</v>
      </c>
      <c r="J2212">
        <v>1335.7141113</v>
      </c>
      <c r="K2212">
        <v>0</v>
      </c>
      <c r="L2212">
        <v>2400</v>
      </c>
      <c r="M2212">
        <v>2400</v>
      </c>
      <c r="N2212">
        <v>0</v>
      </c>
    </row>
    <row r="2213" spans="1:14" x14ac:dyDescent="0.25">
      <c r="A2213">
        <v>1372</v>
      </c>
      <c r="B2213" s="1">
        <f>DATE(2014,2,1) + TIME(0,0,0)</f>
        <v>41671</v>
      </c>
      <c r="C2213">
        <v>80</v>
      </c>
      <c r="D2213">
        <v>73.763313292999996</v>
      </c>
      <c r="E2213">
        <v>50</v>
      </c>
      <c r="F2213">
        <v>49.982772826999998</v>
      </c>
      <c r="G2213">
        <v>1327.1176757999999</v>
      </c>
      <c r="H2213">
        <v>1325.0935059000001</v>
      </c>
      <c r="I2213">
        <v>1337.9501952999999</v>
      </c>
      <c r="J2213">
        <v>1335.7132568</v>
      </c>
      <c r="K2213">
        <v>0</v>
      </c>
      <c r="L2213">
        <v>2400</v>
      </c>
      <c r="M2213">
        <v>2400</v>
      </c>
      <c r="N2213">
        <v>0</v>
      </c>
    </row>
    <row r="2214" spans="1:14" x14ac:dyDescent="0.25">
      <c r="A2214">
        <v>1374.840461</v>
      </c>
      <c r="B2214" s="1">
        <f>DATE(2014,2,3) + TIME(20,10,15)</f>
        <v>41673.840451388889</v>
      </c>
      <c r="C2214">
        <v>80</v>
      </c>
      <c r="D2214">
        <v>73.623550414999997</v>
      </c>
      <c r="E2214">
        <v>50</v>
      </c>
      <c r="F2214">
        <v>49.982769011999999</v>
      </c>
      <c r="G2214">
        <v>1327.1035156</v>
      </c>
      <c r="H2214">
        <v>1325.0689697</v>
      </c>
      <c r="I2214">
        <v>1337.9494629000001</v>
      </c>
      <c r="J2214">
        <v>1335.7131348</v>
      </c>
      <c r="K2214">
        <v>0</v>
      </c>
      <c r="L2214">
        <v>2400</v>
      </c>
      <c r="M2214">
        <v>2400</v>
      </c>
      <c r="N2214">
        <v>0</v>
      </c>
    </row>
    <row r="2215" spans="1:14" x14ac:dyDescent="0.25">
      <c r="A2215">
        <v>1377.797403</v>
      </c>
      <c r="B2215" s="1">
        <f>DATE(2014,2,6) + TIME(19,8,15)</f>
        <v>41676.797395833331</v>
      </c>
      <c r="C2215">
        <v>80</v>
      </c>
      <c r="D2215">
        <v>73.419754028</v>
      </c>
      <c r="E2215">
        <v>50</v>
      </c>
      <c r="F2215">
        <v>49.982757567999997</v>
      </c>
      <c r="G2215">
        <v>1327.0646973</v>
      </c>
      <c r="H2215">
        <v>1325.0211182</v>
      </c>
      <c r="I2215">
        <v>1337.9456786999999</v>
      </c>
      <c r="J2215">
        <v>1335.7122803</v>
      </c>
      <c r="K2215">
        <v>0</v>
      </c>
      <c r="L2215">
        <v>2400</v>
      </c>
      <c r="M2215">
        <v>2400</v>
      </c>
      <c r="N2215">
        <v>0</v>
      </c>
    </row>
    <row r="2216" spans="1:14" x14ac:dyDescent="0.25">
      <c r="A2216">
        <v>1380.829428</v>
      </c>
      <c r="B2216" s="1">
        <f>DATE(2014,2,9) + TIME(19,54,22)</f>
        <v>41679.829421296294</v>
      </c>
      <c r="C2216">
        <v>80</v>
      </c>
      <c r="D2216">
        <v>73.198379517000006</v>
      </c>
      <c r="E2216">
        <v>50</v>
      </c>
      <c r="F2216">
        <v>49.982746124000002</v>
      </c>
      <c r="G2216">
        <v>1327.0214844</v>
      </c>
      <c r="H2216">
        <v>1324.9654541</v>
      </c>
      <c r="I2216">
        <v>1337.9416504000001</v>
      </c>
      <c r="J2216">
        <v>1335.7114257999999</v>
      </c>
      <c r="K2216">
        <v>0</v>
      </c>
      <c r="L2216">
        <v>2400</v>
      </c>
      <c r="M2216">
        <v>2400</v>
      </c>
      <c r="N2216">
        <v>0</v>
      </c>
    </row>
    <row r="2217" spans="1:14" x14ac:dyDescent="0.25">
      <c r="A2217">
        <v>1383.946246</v>
      </c>
      <c r="B2217" s="1">
        <f>DATE(2014,2,12) + TIME(22,42,35)</f>
        <v>41682.946238425924</v>
      </c>
      <c r="C2217">
        <v>80</v>
      </c>
      <c r="D2217">
        <v>72.968414307000003</v>
      </c>
      <c r="E2217">
        <v>50</v>
      </c>
      <c r="F2217">
        <v>49.98273468</v>
      </c>
      <c r="G2217">
        <v>1326.9772949000001</v>
      </c>
      <c r="H2217">
        <v>1324.9082031</v>
      </c>
      <c r="I2217">
        <v>1337.9377440999999</v>
      </c>
      <c r="J2217">
        <v>1335.7104492000001</v>
      </c>
      <c r="K2217">
        <v>0</v>
      </c>
      <c r="L2217">
        <v>2400</v>
      </c>
      <c r="M2217">
        <v>2400</v>
      </c>
      <c r="N2217">
        <v>0</v>
      </c>
    </row>
    <row r="2218" spans="1:14" x14ac:dyDescent="0.25">
      <c r="A2218">
        <v>1387.191096</v>
      </c>
      <c r="B2218" s="1">
        <f>DATE(2014,2,16) + TIME(4,35,10)</f>
        <v>41686.191087962965</v>
      </c>
      <c r="C2218">
        <v>80</v>
      </c>
      <c r="D2218">
        <v>72.730430603000002</v>
      </c>
      <c r="E2218">
        <v>50</v>
      </c>
      <c r="F2218">
        <v>49.982723235999998</v>
      </c>
      <c r="G2218">
        <v>1326.9329834</v>
      </c>
      <c r="H2218">
        <v>1324.8507079999999</v>
      </c>
      <c r="I2218">
        <v>1337.9337158000001</v>
      </c>
      <c r="J2218">
        <v>1335.7095947</v>
      </c>
      <c r="K2218">
        <v>0</v>
      </c>
      <c r="L2218">
        <v>2400</v>
      </c>
      <c r="M2218">
        <v>2400</v>
      </c>
      <c r="N2218">
        <v>0</v>
      </c>
    </row>
    <row r="2219" spans="1:14" x14ac:dyDescent="0.25">
      <c r="A2219">
        <v>1390.551706</v>
      </c>
      <c r="B2219" s="1">
        <f>DATE(2014,2,19) + TIME(13,14,27)</f>
        <v>41689.551701388889</v>
      </c>
      <c r="C2219">
        <v>80</v>
      </c>
      <c r="D2219">
        <v>72.482086182000003</v>
      </c>
      <c r="E2219">
        <v>50</v>
      </c>
      <c r="F2219">
        <v>49.982711792000003</v>
      </c>
      <c r="G2219">
        <v>1326.8883057</v>
      </c>
      <c r="H2219">
        <v>1324.7927245999999</v>
      </c>
      <c r="I2219">
        <v>1337.9296875</v>
      </c>
      <c r="J2219">
        <v>1335.7086182</v>
      </c>
      <c r="K2219">
        <v>0</v>
      </c>
      <c r="L2219">
        <v>2400</v>
      </c>
      <c r="M2219">
        <v>2400</v>
      </c>
      <c r="N2219">
        <v>0</v>
      </c>
    </row>
    <row r="2220" spans="1:14" x14ac:dyDescent="0.25">
      <c r="A2220">
        <v>1393.92524</v>
      </c>
      <c r="B2220" s="1">
        <f>DATE(2014,2,22) + TIME(22,12,20)</f>
        <v>41692.92523148148</v>
      </c>
      <c r="C2220">
        <v>80</v>
      </c>
      <c r="D2220">
        <v>72.224884032999995</v>
      </c>
      <c r="E2220">
        <v>50</v>
      </c>
      <c r="F2220">
        <v>49.982704163000001</v>
      </c>
      <c r="G2220">
        <v>1326.8430175999999</v>
      </c>
      <c r="H2220">
        <v>1324.7342529</v>
      </c>
      <c r="I2220">
        <v>1337.9255370999999</v>
      </c>
      <c r="J2220">
        <v>1335.7076416</v>
      </c>
      <c r="K2220">
        <v>0</v>
      </c>
      <c r="L2220">
        <v>2400</v>
      </c>
      <c r="M2220">
        <v>2400</v>
      </c>
      <c r="N2220">
        <v>0</v>
      </c>
    </row>
    <row r="2221" spans="1:14" x14ac:dyDescent="0.25">
      <c r="A2221">
        <v>1397.34582</v>
      </c>
      <c r="B2221" s="1">
        <f>DATE(2014,2,26) + TIME(8,17,58)</f>
        <v>41696.345810185187</v>
      </c>
      <c r="C2221">
        <v>80</v>
      </c>
      <c r="D2221">
        <v>71.964263915999993</v>
      </c>
      <c r="E2221">
        <v>50</v>
      </c>
      <c r="F2221">
        <v>49.982692718999999</v>
      </c>
      <c r="G2221">
        <v>1326.7984618999999</v>
      </c>
      <c r="H2221">
        <v>1324.6762695</v>
      </c>
      <c r="I2221">
        <v>1337.9213867000001</v>
      </c>
      <c r="J2221">
        <v>1335.7066649999999</v>
      </c>
      <c r="K2221">
        <v>0</v>
      </c>
      <c r="L2221">
        <v>2400</v>
      </c>
      <c r="M2221">
        <v>2400</v>
      </c>
      <c r="N2221">
        <v>0</v>
      </c>
    </row>
    <row r="2222" spans="1:14" x14ac:dyDescent="0.25">
      <c r="A2222">
        <v>1400</v>
      </c>
      <c r="B2222" s="1">
        <f>DATE(2014,3,1) + TIME(0,0,0)</f>
        <v>41699</v>
      </c>
      <c r="C2222">
        <v>80</v>
      </c>
      <c r="D2222">
        <v>71.709396362000007</v>
      </c>
      <c r="E2222">
        <v>50</v>
      </c>
      <c r="F2222">
        <v>49.982681274000001</v>
      </c>
      <c r="G2222">
        <v>1326.7545166</v>
      </c>
      <c r="H2222">
        <v>1324.6196289</v>
      </c>
      <c r="I2222">
        <v>1337.9173584</v>
      </c>
      <c r="J2222">
        <v>1335.7055664</v>
      </c>
      <c r="K2222">
        <v>0</v>
      </c>
      <c r="L2222">
        <v>2400</v>
      </c>
      <c r="M2222">
        <v>2400</v>
      </c>
      <c r="N2222">
        <v>0</v>
      </c>
    </row>
    <row r="2223" spans="1:14" x14ac:dyDescent="0.25">
      <c r="A2223">
        <v>1403.517053</v>
      </c>
      <c r="B2223" s="1">
        <f>DATE(2014,3,4) + TIME(12,24,33)</f>
        <v>41702.517048611109</v>
      </c>
      <c r="C2223">
        <v>80</v>
      </c>
      <c r="D2223">
        <v>71.485664368000002</v>
      </c>
      <c r="E2223">
        <v>50</v>
      </c>
      <c r="F2223">
        <v>49.982677459999998</v>
      </c>
      <c r="G2223">
        <v>1326.7180175999999</v>
      </c>
      <c r="H2223">
        <v>1324.5701904</v>
      </c>
      <c r="I2223">
        <v>1337.9143065999999</v>
      </c>
      <c r="J2223">
        <v>1335.7048339999999</v>
      </c>
      <c r="K2223">
        <v>0</v>
      </c>
      <c r="L2223">
        <v>2400</v>
      </c>
      <c r="M2223">
        <v>2400</v>
      </c>
      <c r="N2223">
        <v>0</v>
      </c>
    </row>
    <row r="2224" spans="1:14" x14ac:dyDescent="0.25">
      <c r="A2224">
        <v>1407.2940530000001</v>
      </c>
      <c r="B2224" s="1">
        <f>DATE(2014,3,8) + TIME(7,3,26)</f>
        <v>41706.294050925928</v>
      </c>
      <c r="C2224">
        <v>80</v>
      </c>
      <c r="D2224">
        <v>71.215171814000001</v>
      </c>
      <c r="E2224">
        <v>50</v>
      </c>
      <c r="F2224">
        <v>49.982669829999999</v>
      </c>
      <c r="G2224">
        <v>1326.6774902</v>
      </c>
      <c r="H2224">
        <v>1324.5191649999999</v>
      </c>
      <c r="I2224">
        <v>1337.9102783000001</v>
      </c>
      <c r="J2224">
        <v>1335.7037353999999</v>
      </c>
      <c r="K2224">
        <v>0</v>
      </c>
      <c r="L2224">
        <v>2400</v>
      </c>
      <c r="M2224">
        <v>2400</v>
      </c>
      <c r="N2224">
        <v>0</v>
      </c>
    </row>
    <row r="2225" spans="1:14" x14ac:dyDescent="0.25">
      <c r="A2225">
        <v>1411.250456</v>
      </c>
      <c r="B2225" s="1">
        <f>DATE(2014,3,12) + TIME(6,0,39)</f>
        <v>41710.250451388885</v>
      </c>
      <c r="C2225">
        <v>80</v>
      </c>
      <c r="D2225">
        <v>70.920806885000005</v>
      </c>
      <c r="E2225">
        <v>50</v>
      </c>
      <c r="F2225">
        <v>49.982662200999997</v>
      </c>
      <c r="G2225">
        <v>1326.6335449000001</v>
      </c>
      <c r="H2225">
        <v>1324.4628906</v>
      </c>
      <c r="I2225">
        <v>1337.9058838000001</v>
      </c>
      <c r="J2225">
        <v>1335.7026367000001</v>
      </c>
      <c r="K2225">
        <v>0</v>
      </c>
      <c r="L2225">
        <v>2400</v>
      </c>
      <c r="M2225">
        <v>2400</v>
      </c>
      <c r="N2225">
        <v>0</v>
      </c>
    </row>
    <row r="2226" spans="1:14" x14ac:dyDescent="0.25">
      <c r="A2226">
        <v>1415.2768450000001</v>
      </c>
      <c r="B2226" s="1">
        <f>DATE(2014,3,16) + TIME(6,38,39)</f>
        <v>41714.27684027778</v>
      </c>
      <c r="C2226">
        <v>80</v>
      </c>
      <c r="D2226">
        <v>70.612327575999998</v>
      </c>
      <c r="E2226">
        <v>50</v>
      </c>
      <c r="F2226">
        <v>49.982650757000002</v>
      </c>
      <c r="G2226">
        <v>1326.5882568</v>
      </c>
      <c r="H2226">
        <v>1324.4045410000001</v>
      </c>
      <c r="I2226">
        <v>1337.9014893000001</v>
      </c>
      <c r="J2226">
        <v>1335.7014160000001</v>
      </c>
      <c r="K2226">
        <v>0</v>
      </c>
      <c r="L2226">
        <v>2400</v>
      </c>
      <c r="M2226">
        <v>2400</v>
      </c>
      <c r="N2226">
        <v>0</v>
      </c>
    </row>
    <row r="2227" spans="1:14" x14ac:dyDescent="0.25">
      <c r="A2227">
        <v>1419.3782470000001</v>
      </c>
      <c r="B2227" s="1">
        <f>DATE(2014,3,20) + TIME(9,4,40)</f>
        <v>41718.378240740742</v>
      </c>
      <c r="C2227">
        <v>80</v>
      </c>
      <c r="D2227">
        <v>70.294334411999998</v>
      </c>
      <c r="E2227">
        <v>50</v>
      </c>
      <c r="F2227">
        <v>49.982646942000002</v>
      </c>
      <c r="G2227">
        <v>1326.5430908000001</v>
      </c>
      <c r="H2227">
        <v>1324.3460693</v>
      </c>
      <c r="I2227">
        <v>1337.8970947</v>
      </c>
      <c r="J2227">
        <v>1335.7000731999999</v>
      </c>
      <c r="K2227">
        <v>0</v>
      </c>
      <c r="L2227">
        <v>2400</v>
      </c>
      <c r="M2227">
        <v>2400</v>
      </c>
      <c r="N2227">
        <v>0</v>
      </c>
    </row>
    <row r="2228" spans="1:14" x14ac:dyDescent="0.25">
      <c r="A2228">
        <v>1423.5119709999999</v>
      </c>
      <c r="B2228" s="1">
        <f>DATE(2014,3,24) + TIME(12,17,14)</f>
        <v>41722.511967592596</v>
      </c>
      <c r="C2228">
        <v>80</v>
      </c>
      <c r="D2228">
        <v>69.973182678000001</v>
      </c>
      <c r="E2228">
        <v>50</v>
      </c>
      <c r="F2228">
        <v>49.982639313</v>
      </c>
      <c r="G2228">
        <v>1326.4981689000001</v>
      </c>
      <c r="H2228">
        <v>1324.2879639</v>
      </c>
      <c r="I2228">
        <v>1337.8927002</v>
      </c>
      <c r="J2228">
        <v>1335.6987305</v>
      </c>
      <c r="K2228">
        <v>0</v>
      </c>
      <c r="L2228">
        <v>2400</v>
      </c>
      <c r="M2228">
        <v>2400</v>
      </c>
      <c r="N2228">
        <v>0</v>
      </c>
    </row>
    <row r="2229" spans="1:14" x14ac:dyDescent="0.25">
      <c r="A2229">
        <v>1427.725623</v>
      </c>
      <c r="B2229" s="1">
        <f>DATE(2014,3,28) + TIME(17,24,53)</f>
        <v>41726.725613425922</v>
      </c>
      <c r="C2229">
        <v>80</v>
      </c>
      <c r="D2229">
        <v>69.640052795000003</v>
      </c>
      <c r="E2229">
        <v>50</v>
      </c>
      <c r="F2229">
        <v>49.982631683000001</v>
      </c>
      <c r="G2229">
        <v>1326.4542236</v>
      </c>
      <c r="H2229">
        <v>1324.230957</v>
      </c>
      <c r="I2229">
        <v>1337.8883057</v>
      </c>
      <c r="J2229">
        <v>1335.6973877</v>
      </c>
      <c r="K2229">
        <v>0</v>
      </c>
      <c r="L2229">
        <v>2400</v>
      </c>
      <c r="M2229">
        <v>2400</v>
      </c>
      <c r="N2229">
        <v>0</v>
      </c>
    </row>
    <row r="2230" spans="1:14" x14ac:dyDescent="0.25">
      <c r="A2230">
        <v>1431</v>
      </c>
      <c r="B2230" s="1">
        <f>DATE(2014,4,1) + TIME(0,0,0)</f>
        <v>41730</v>
      </c>
      <c r="C2230">
        <v>80</v>
      </c>
      <c r="D2230">
        <v>69.323303222999996</v>
      </c>
      <c r="E2230">
        <v>50</v>
      </c>
      <c r="F2230">
        <v>49.982624053999999</v>
      </c>
      <c r="G2230">
        <v>1326.4107666</v>
      </c>
      <c r="H2230">
        <v>1324.1749268000001</v>
      </c>
      <c r="I2230">
        <v>1337.8839111</v>
      </c>
      <c r="J2230">
        <v>1335.6960449000001</v>
      </c>
      <c r="K2230">
        <v>0</v>
      </c>
      <c r="L2230">
        <v>2400</v>
      </c>
      <c r="M2230">
        <v>2400</v>
      </c>
      <c r="N2230">
        <v>0</v>
      </c>
    </row>
    <row r="2231" spans="1:14" x14ac:dyDescent="0.25">
      <c r="A2231">
        <v>1435.3401859999999</v>
      </c>
      <c r="B2231" s="1">
        <f>DATE(2014,4,5) + TIME(8,9,52)</f>
        <v>41734.340185185189</v>
      </c>
      <c r="C2231">
        <v>80</v>
      </c>
      <c r="D2231">
        <v>69.030105590999995</v>
      </c>
      <c r="E2231">
        <v>50</v>
      </c>
      <c r="F2231">
        <v>49.982624053999999</v>
      </c>
      <c r="G2231">
        <v>1326.3748779</v>
      </c>
      <c r="H2231">
        <v>1324.1263428</v>
      </c>
      <c r="I2231">
        <v>1337.8804932</v>
      </c>
      <c r="J2231">
        <v>1335.6949463000001</v>
      </c>
      <c r="K2231">
        <v>0</v>
      </c>
      <c r="L2231">
        <v>2400</v>
      </c>
      <c r="M2231">
        <v>2400</v>
      </c>
      <c r="N2231">
        <v>0</v>
      </c>
    </row>
    <row r="2232" spans="1:14" x14ac:dyDescent="0.25">
      <c r="A2232">
        <v>1437.682834</v>
      </c>
      <c r="B2232" s="1">
        <f>DATE(2014,4,7) + TIME(16,23,16)</f>
        <v>41736.682824074072</v>
      </c>
      <c r="C2232">
        <v>80</v>
      </c>
      <c r="D2232">
        <v>68.737876892000003</v>
      </c>
      <c r="E2232">
        <v>50</v>
      </c>
      <c r="F2232">
        <v>49.982612609999997</v>
      </c>
      <c r="G2232">
        <v>1326.3348389</v>
      </c>
      <c r="H2232">
        <v>1324.0765381000001</v>
      </c>
      <c r="I2232">
        <v>1337.8760986</v>
      </c>
      <c r="J2232">
        <v>1335.6934814000001</v>
      </c>
      <c r="K2232">
        <v>0</v>
      </c>
      <c r="L2232">
        <v>2400</v>
      </c>
      <c r="M2232">
        <v>2400</v>
      </c>
      <c r="N2232">
        <v>0</v>
      </c>
    </row>
    <row r="2233" spans="1:14" x14ac:dyDescent="0.25">
      <c r="A2233">
        <v>1440.0254829999999</v>
      </c>
      <c r="B2233" s="1">
        <f>DATE(2014,4,10) + TIME(0,36,41)</f>
        <v>41739.02547453704</v>
      </c>
      <c r="C2233">
        <v>80</v>
      </c>
      <c r="D2233">
        <v>68.505142211999996</v>
      </c>
      <c r="E2233">
        <v>50</v>
      </c>
      <c r="F2233">
        <v>49.982608794999997</v>
      </c>
      <c r="G2233">
        <v>1326.307251</v>
      </c>
      <c r="H2233">
        <v>1324.0374756000001</v>
      </c>
      <c r="I2233">
        <v>1337.8737793</v>
      </c>
      <c r="J2233">
        <v>1335.6926269999999</v>
      </c>
      <c r="K2233">
        <v>0</v>
      </c>
      <c r="L2233">
        <v>2400</v>
      </c>
      <c r="M2233">
        <v>2400</v>
      </c>
      <c r="N2233">
        <v>0</v>
      </c>
    </row>
    <row r="2234" spans="1:14" x14ac:dyDescent="0.25">
      <c r="A2234">
        <v>1442.3681309999999</v>
      </c>
      <c r="B2234" s="1">
        <f>DATE(2014,4,12) + TIME(8,50,6)</f>
        <v>41741.368125000001</v>
      </c>
      <c r="C2234">
        <v>80</v>
      </c>
      <c r="D2234">
        <v>68.323448181000003</v>
      </c>
      <c r="E2234">
        <v>50</v>
      </c>
      <c r="F2234">
        <v>49.982604979999998</v>
      </c>
      <c r="G2234">
        <v>1326.2841797000001</v>
      </c>
      <c r="H2234">
        <v>1324.0067139</v>
      </c>
      <c r="I2234">
        <v>1337.8713379000001</v>
      </c>
      <c r="J2234">
        <v>1335.6917725000001</v>
      </c>
      <c r="K2234">
        <v>0</v>
      </c>
      <c r="L2234">
        <v>2400</v>
      </c>
      <c r="M2234">
        <v>2400</v>
      </c>
      <c r="N2234">
        <v>0</v>
      </c>
    </row>
    <row r="2235" spans="1:14" x14ac:dyDescent="0.25">
      <c r="A2235">
        <v>1444.710779</v>
      </c>
      <c r="B2235" s="1">
        <f>DATE(2014,4,14) + TIME(17,3,31)</f>
        <v>41743.710775462961</v>
      </c>
      <c r="C2235">
        <v>80</v>
      </c>
      <c r="D2235">
        <v>68.123908997000001</v>
      </c>
      <c r="E2235">
        <v>50</v>
      </c>
      <c r="F2235">
        <v>49.982604979999998</v>
      </c>
      <c r="G2235">
        <v>1326.2623291</v>
      </c>
      <c r="H2235">
        <v>1323.9782714999999</v>
      </c>
      <c r="I2235">
        <v>1337.8690185999999</v>
      </c>
      <c r="J2235">
        <v>1335.690918</v>
      </c>
      <c r="K2235">
        <v>0</v>
      </c>
      <c r="L2235">
        <v>2400</v>
      </c>
      <c r="M2235">
        <v>2400</v>
      </c>
      <c r="N2235">
        <v>0</v>
      </c>
    </row>
    <row r="2236" spans="1:14" x14ac:dyDescent="0.25">
      <c r="A2236">
        <v>1447.0534279999999</v>
      </c>
      <c r="B2236" s="1">
        <f>DATE(2014,4,17) + TIME(1,16,56)</f>
        <v>41746.053425925929</v>
      </c>
      <c r="C2236">
        <v>80</v>
      </c>
      <c r="D2236">
        <v>67.938323975000003</v>
      </c>
      <c r="E2236">
        <v>50</v>
      </c>
      <c r="F2236">
        <v>49.982604979999998</v>
      </c>
      <c r="G2236">
        <v>1326.2410889</v>
      </c>
      <c r="H2236">
        <v>1323.9505615</v>
      </c>
      <c r="I2236">
        <v>1337.8666992000001</v>
      </c>
      <c r="J2236">
        <v>1335.6900635</v>
      </c>
      <c r="K2236">
        <v>0</v>
      </c>
      <c r="L2236">
        <v>2400</v>
      </c>
      <c r="M2236">
        <v>2400</v>
      </c>
      <c r="N2236">
        <v>0</v>
      </c>
    </row>
    <row r="2237" spans="1:14" x14ac:dyDescent="0.25">
      <c r="A2237">
        <v>1449.396076</v>
      </c>
      <c r="B2237" s="1">
        <f>DATE(2014,4,19) + TIME(9,30,20)</f>
        <v>41748.396064814813</v>
      </c>
      <c r="C2237">
        <v>80</v>
      </c>
      <c r="D2237">
        <v>67.743415833</v>
      </c>
      <c r="E2237">
        <v>50</v>
      </c>
      <c r="F2237">
        <v>49.982601166000002</v>
      </c>
      <c r="G2237">
        <v>1326.2200928</v>
      </c>
      <c r="H2237">
        <v>1323.9233397999999</v>
      </c>
      <c r="I2237">
        <v>1337.8645019999999</v>
      </c>
      <c r="J2237">
        <v>1335.6892089999999</v>
      </c>
      <c r="K2237">
        <v>0</v>
      </c>
      <c r="L2237">
        <v>2400</v>
      </c>
      <c r="M2237">
        <v>2400</v>
      </c>
      <c r="N2237">
        <v>0</v>
      </c>
    </row>
    <row r="2238" spans="1:14" x14ac:dyDescent="0.25">
      <c r="A2238">
        <v>1451.738724</v>
      </c>
      <c r="B2238" s="1">
        <f>DATE(2014,4,21) + TIME(17,43,45)</f>
        <v>41750.738715277781</v>
      </c>
      <c r="C2238">
        <v>80</v>
      </c>
      <c r="D2238">
        <v>67.554351807000003</v>
      </c>
      <c r="E2238">
        <v>50</v>
      </c>
      <c r="F2238">
        <v>49.982601166000002</v>
      </c>
      <c r="G2238">
        <v>1326.1995850000001</v>
      </c>
      <c r="H2238">
        <v>1323.8967285000001</v>
      </c>
      <c r="I2238">
        <v>1337.8621826000001</v>
      </c>
      <c r="J2238">
        <v>1335.6883545000001</v>
      </c>
      <c r="K2238">
        <v>0</v>
      </c>
      <c r="L2238">
        <v>2400</v>
      </c>
      <c r="M2238">
        <v>2400</v>
      </c>
      <c r="N2238">
        <v>0</v>
      </c>
    </row>
    <row r="2239" spans="1:14" x14ac:dyDescent="0.25">
      <c r="A2239">
        <v>1454.0813720000001</v>
      </c>
      <c r="B2239" s="1">
        <f>DATE(2014,4,24) + TIME(1,57,10)</f>
        <v>41753.081365740742</v>
      </c>
      <c r="C2239">
        <v>80</v>
      </c>
      <c r="D2239">
        <v>67.360832213999998</v>
      </c>
      <c r="E2239">
        <v>50</v>
      </c>
      <c r="F2239">
        <v>49.982601166000002</v>
      </c>
      <c r="G2239">
        <v>1326.1794434000001</v>
      </c>
      <c r="H2239">
        <v>1323.8704834</v>
      </c>
      <c r="I2239">
        <v>1337.8598632999999</v>
      </c>
      <c r="J2239">
        <v>1335.6875</v>
      </c>
      <c r="K2239">
        <v>0</v>
      </c>
      <c r="L2239">
        <v>2400</v>
      </c>
      <c r="M2239">
        <v>2400</v>
      </c>
      <c r="N2239">
        <v>0</v>
      </c>
    </row>
    <row r="2240" spans="1:14" x14ac:dyDescent="0.25">
      <c r="A2240">
        <v>1456.424021</v>
      </c>
      <c r="B2240" s="1">
        <f>DATE(2014,4,26) + TIME(10,10,35)</f>
        <v>41755.424016203702</v>
      </c>
      <c r="C2240">
        <v>80</v>
      </c>
      <c r="D2240">
        <v>67.169830321999996</v>
      </c>
      <c r="E2240">
        <v>50</v>
      </c>
      <c r="F2240">
        <v>49.982601166000002</v>
      </c>
      <c r="G2240">
        <v>1326.159668</v>
      </c>
      <c r="H2240">
        <v>1323.8447266000001</v>
      </c>
      <c r="I2240">
        <v>1337.8576660000001</v>
      </c>
      <c r="J2240">
        <v>1335.6866454999999</v>
      </c>
      <c r="K2240">
        <v>0</v>
      </c>
      <c r="L2240">
        <v>2400</v>
      </c>
      <c r="M2240">
        <v>2400</v>
      </c>
      <c r="N2240">
        <v>0</v>
      </c>
    </row>
    <row r="2241" spans="1:14" x14ac:dyDescent="0.25">
      <c r="A2241">
        <v>1458.71201</v>
      </c>
      <c r="B2241" s="1">
        <f>DATE(2014,4,28) + TIME(17,5,17)</f>
        <v>41757.712002314816</v>
      </c>
      <c r="C2241">
        <v>80</v>
      </c>
      <c r="D2241">
        <v>66.977333068999997</v>
      </c>
      <c r="E2241">
        <v>50</v>
      </c>
      <c r="F2241">
        <v>49.982601166000002</v>
      </c>
      <c r="G2241">
        <v>1326.1401367000001</v>
      </c>
      <c r="H2241">
        <v>1323.8194579999999</v>
      </c>
      <c r="I2241">
        <v>1337.8554687999999</v>
      </c>
      <c r="J2241">
        <v>1335.6857910000001</v>
      </c>
      <c r="K2241">
        <v>0</v>
      </c>
      <c r="L2241">
        <v>2400</v>
      </c>
      <c r="M2241">
        <v>2400</v>
      </c>
      <c r="N2241">
        <v>0</v>
      </c>
    </row>
    <row r="2242" spans="1:14" x14ac:dyDescent="0.25">
      <c r="A2242">
        <v>1461</v>
      </c>
      <c r="B2242" s="1">
        <f>DATE(2014,5,1) + TIME(0,0,0)</f>
        <v>41760</v>
      </c>
      <c r="C2242">
        <v>80</v>
      </c>
      <c r="D2242">
        <v>66.788749695000007</v>
      </c>
      <c r="E2242">
        <v>50</v>
      </c>
      <c r="F2242">
        <v>49.982601166000002</v>
      </c>
      <c r="G2242">
        <v>1326.1217041</v>
      </c>
      <c r="H2242">
        <v>1323.7954102000001</v>
      </c>
      <c r="I2242">
        <v>1337.8532714999999</v>
      </c>
      <c r="J2242">
        <v>1335.6848144999999</v>
      </c>
      <c r="K2242">
        <v>0</v>
      </c>
      <c r="L2242">
        <v>2400</v>
      </c>
      <c r="M2242">
        <v>2400</v>
      </c>
      <c r="N2242">
        <v>0</v>
      </c>
    </row>
    <row r="2243" spans="1:14" x14ac:dyDescent="0.25">
      <c r="A2243">
        <v>1461.0000010000001</v>
      </c>
      <c r="B2243" s="1">
        <f>DATE(2014,5,1) + TIME(0,0,0)</f>
        <v>41760</v>
      </c>
      <c r="C2243">
        <v>80</v>
      </c>
      <c r="D2243">
        <v>66.788810729999994</v>
      </c>
      <c r="E2243">
        <v>50</v>
      </c>
      <c r="F2243">
        <v>49.982582092000001</v>
      </c>
      <c r="G2243">
        <v>1328.5869141000001</v>
      </c>
      <c r="H2243">
        <v>1326.1374512</v>
      </c>
      <c r="I2243">
        <v>1335.6750488</v>
      </c>
      <c r="J2243">
        <v>1334.0085449000001</v>
      </c>
      <c r="K2243">
        <v>2400</v>
      </c>
      <c r="L2243">
        <v>0</v>
      </c>
      <c r="M2243">
        <v>0</v>
      </c>
      <c r="N2243">
        <v>2400</v>
      </c>
    </row>
    <row r="2244" spans="1:14" x14ac:dyDescent="0.25">
      <c r="A2244">
        <v>1461.000004</v>
      </c>
      <c r="B2244" s="1">
        <f>DATE(2014,5,1) + TIME(0,0,0)</f>
        <v>41760</v>
      </c>
      <c r="C2244">
        <v>80</v>
      </c>
      <c r="D2244">
        <v>66.789009093999994</v>
      </c>
      <c r="E2244">
        <v>50</v>
      </c>
      <c r="F2244">
        <v>49.982536316000001</v>
      </c>
      <c r="G2244">
        <v>1328.6195068</v>
      </c>
      <c r="H2244">
        <v>1326.1838379000001</v>
      </c>
      <c r="I2244">
        <v>1335.6461182</v>
      </c>
      <c r="J2244">
        <v>1333.9794922000001</v>
      </c>
      <c r="K2244">
        <v>2400</v>
      </c>
      <c r="L2244">
        <v>0</v>
      </c>
      <c r="M2244">
        <v>0</v>
      </c>
      <c r="N2244">
        <v>2400</v>
      </c>
    </row>
    <row r="2245" spans="1:14" x14ac:dyDescent="0.25">
      <c r="A2245">
        <v>1461.0000130000001</v>
      </c>
      <c r="B2245" s="1">
        <f>DATE(2014,5,1) + TIME(0,0,1)</f>
        <v>41760.000011574077</v>
      </c>
      <c r="C2245">
        <v>80</v>
      </c>
      <c r="D2245">
        <v>66.789573669000006</v>
      </c>
      <c r="E2245">
        <v>50</v>
      </c>
      <c r="F2245">
        <v>49.982406615999999</v>
      </c>
      <c r="G2245">
        <v>1328.7131348</v>
      </c>
      <c r="H2245">
        <v>1326.3145752</v>
      </c>
      <c r="I2245">
        <v>1335.5627440999999</v>
      </c>
      <c r="J2245">
        <v>1333.8961182</v>
      </c>
      <c r="K2245">
        <v>2400</v>
      </c>
      <c r="L2245">
        <v>0</v>
      </c>
      <c r="M2245">
        <v>0</v>
      </c>
      <c r="N2245">
        <v>2400</v>
      </c>
    </row>
    <row r="2246" spans="1:14" x14ac:dyDescent="0.25">
      <c r="A2246">
        <v>1461.0000399999999</v>
      </c>
      <c r="B2246" s="1">
        <f>DATE(2014,5,1) + TIME(0,0,3)</f>
        <v>41760.000034722223</v>
      </c>
      <c r="C2246">
        <v>80</v>
      </c>
      <c r="D2246">
        <v>66.791091918999996</v>
      </c>
      <c r="E2246">
        <v>50</v>
      </c>
      <c r="F2246">
        <v>49.982048034999998</v>
      </c>
      <c r="G2246">
        <v>1328.963501</v>
      </c>
      <c r="H2246">
        <v>1326.6481934000001</v>
      </c>
      <c r="I2246">
        <v>1335.3394774999999</v>
      </c>
      <c r="J2246">
        <v>1333.6728516000001</v>
      </c>
      <c r="K2246">
        <v>2400</v>
      </c>
      <c r="L2246">
        <v>0</v>
      </c>
      <c r="M2246">
        <v>0</v>
      </c>
      <c r="N2246">
        <v>2400</v>
      </c>
    </row>
    <row r="2247" spans="1:14" x14ac:dyDescent="0.25">
      <c r="A2247">
        <v>1461.000121</v>
      </c>
      <c r="B2247" s="1">
        <f>DATE(2014,5,1) + TIME(0,0,10)</f>
        <v>41760.000115740739</v>
      </c>
      <c r="C2247">
        <v>80</v>
      </c>
      <c r="D2247">
        <v>66.794776916999993</v>
      </c>
      <c r="E2247">
        <v>50</v>
      </c>
      <c r="F2247">
        <v>49.981243134000003</v>
      </c>
      <c r="G2247">
        <v>1329.5325928</v>
      </c>
      <c r="H2247">
        <v>1327.3376464999999</v>
      </c>
      <c r="I2247">
        <v>1334.8344727000001</v>
      </c>
      <c r="J2247">
        <v>1333.1678466999999</v>
      </c>
      <c r="K2247">
        <v>2400</v>
      </c>
      <c r="L2247">
        <v>0</v>
      </c>
      <c r="M2247">
        <v>0</v>
      </c>
      <c r="N2247">
        <v>2400</v>
      </c>
    </row>
    <row r="2248" spans="1:14" x14ac:dyDescent="0.25">
      <c r="A2248">
        <v>1461.000364</v>
      </c>
      <c r="B2248" s="1">
        <f>DATE(2014,5,1) + TIME(0,0,31)</f>
        <v>41760.000358796293</v>
      </c>
      <c r="C2248">
        <v>80</v>
      </c>
      <c r="D2248">
        <v>66.803192139000004</v>
      </c>
      <c r="E2248">
        <v>50</v>
      </c>
      <c r="F2248">
        <v>49.979877471999998</v>
      </c>
      <c r="G2248">
        <v>1330.5236815999999</v>
      </c>
      <c r="H2248">
        <v>1328.3930664</v>
      </c>
      <c r="I2248">
        <v>1333.9798584</v>
      </c>
      <c r="J2248">
        <v>1332.3132324000001</v>
      </c>
      <c r="K2248">
        <v>2400</v>
      </c>
      <c r="L2248">
        <v>0</v>
      </c>
      <c r="M2248">
        <v>0</v>
      </c>
      <c r="N2248">
        <v>2400</v>
      </c>
    </row>
    <row r="2249" spans="1:14" x14ac:dyDescent="0.25">
      <c r="A2249">
        <v>1461.0010930000001</v>
      </c>
      <c r="B2249" s="1">
        <f>DATE(2014,5,1) + TIME(0,1,34)</f>
        <v>41760.001087962963</v>
      </c>
      <c r="C2249">
        <v>80</v>
      </c>
      <c r="D2249">
        <v>66.823936462000006</v>
      </c>
      <c r="E2249">
        <v>50</v>
      </c>
      <c r="F2249">
        <v>49.978153229</v>
      </c>
      <c r="G2249">
        <v>1331.8079834</v>
      </c>
      <c r="H2249">
        <v>1329.6457519999999</v>
      </c>
      <c r="I2249">
        <v>1332.9235839999999</v>
      </c>
      <c r="J2249">
        <v>1331.2572021000001</v>
      </c>
      <c r="K2249">
        <v>2400</v>
      </c>
      <c r="L2249">
        <v>0</v>
      </c>
      <c r="M2249">
        <v>0</v>
      </c>
      <c r="N2249">
        <v>2400</v>
      </c>
    </row>
    <row r="2250" spans="1:14" x14ac:dyDescent="0.25">
      <c r="A2250">
        <v>1461.0032799999999</v>
      </c>
      <c r="B2250" s="1">
        <f>DATE(2014,5,1) + TIME(0,4,43)</f>
        <v>41760.003275462965</v>
      </c>
      <c r="C2250">
        <v>80</v>
      </c>
      <c r="D2250">
        <v>66.881286621000001</v>
      </c>
      <c r="E2250">
        <v>50</v>
      </c>
      <c r="F2250">
        <v>49.976257324000002</v>
      </c>
      <c r="G2250">
        <v>1333.1732178</v>
      </c>
      <c r="H2250">
        <v>1330.9555664</v>
      </c>
      <c r="I2250">
        <v>1331.8283690999999</v>
      </c>
      <c r="J2250">
        <v>1330.1616211</v>
      </c>
      <c r="K2250">
        <v>2400</v>
      </c>
      <c r="L2250">
        <v>0</v>
      </c>
      <c r="M2250">
        <v>0</v>
      </c>
      <c r="N2250">
        <v>2400</v>
      </c>
    </row>
    <row r="2251" spans="1:14" x14ac:dyDescent="0.25">
      <c r="A2251">
        <v>1461.0098410000001</v>
      </c>
      <c r="B2251" s="1">
        <f>DATE(2014,5,1) + TIME(0,14,10)</f>
        <v>41760.009837962964</v>
      </c>
      <c r="C2251">
        <v>80</v>
      </c>
      <c r="D2251">
        <v>67.048553467000005</v>
      </c>
      <c r="E2251">
        <v>50</v>
      </c>
      <c r="F2251">
        <v>49.974025726000001</v>
      </c>
      <c r="G2251">
        <v>1334.5330810999999</v>
      </c>
      <c r="H2251">
        <v>1332.2683105000001</v>
      </c>
      <c r="I2251">
        <v>1330.7257079999999</v>
      </c>
      <c r="J2251">
        <v>1329.0523682</v>
      </c>
      <c r="K2251">
        <v>2400</v>
      </c>
      <c r="L2251">
        <v>0</v>
      </c>
      <c r="M2251">
        <v>0</v>
      </c>
      <c r="N2251">
        <v>2400</v>
      </c>
    </row>
    <row r="2252" spans="1:14" x14ac:dyDescent="0.25">
      <c r="A2252">
        <v>1461.029513</v>
      </c>
      <c r="B2252" s="1">
        <f>DATE(2014,5,1) + TIME(0,42,29)</f>
        <v>41760.029502314814</v>
      </c>
      <c r="C2252">
        <v>80</v>
      </c>
      <c r="D2252">
        <v>67.535263061999999</v>
      </c>
      <c r="E2252">
        <v>50</v>
      </c>
      <c r="F2252">
        <v>49.970779419000003</v>
      </c>
      <c r="G2252">
        <v>1335.8558350000001</v>
      </c>
      <c r="H2252">
        <v>1333.5561522999999</v>
      </c>
      <c r="I2252">
        <v>1329.5976562000001</v>
      </c>
      <c r="J2252">
        <v>1327.9003906</v>
      </c>
      <c r="K2252">
        <v>2400</v>
      </c>
      <c r="L2252">
        <v>0</v>
      </c>
      <c r="M2252">
        <v>0</v>
      </c>
      <c r="N2252">
        <v>2400</v>
      </c>
    </row>
    <row r="2253" spans="1:14" x14ac:dyDescent="0.25">
      <c r="A2253">
        <v>1461.0498250000001</v>
      </c>
      <c r="B2253" s="1">
        <f>DATE(2014,5,1) + TIME(1,11,44)</f>
        <v>41760.049814814818</v>
      </c>
      <c r="C2253">
        <v>80</v>
      </c>
      <c r="D2253">
        <v>68.025314331000004</v>
      </c>
      <c r="E2253">
        <v>50</v>
      </c>
      <c r="F2253">
        <v>49.968288422000001</v>
      </c>
      <c r="G2253">
        <v>1336.5631103999999</v>
      </c>
      <c r="H2253">
        <v>1334.2365723</v>
      </c>
      <c r="I2253">
        <v>1328.9875488</v>
      </c>
      <c r="J2253">
        <v>1327.2703856999999</v>
      </c>
      <c r="K2253">
        <v>2400</v>
      </c>
      <c r="L2253">
        <v>0</v>
      </c>
      <c r="M2253">
        <v>0</v>
      </c>
      <c r="N2253">
        <v>2400</v>
      </c>
    </row>
    <row r="2254" spans="1:14" x14ac:dyDescent="0.25">
      <c r="A2254">
        <v>1461.070655</v>
      </c>
      <c r="B2254" s="1">
        <f>DATE(2014,5,1) + TIME(1,41,44)</f>
        <v>41760.070648148147</v>
      </c>
      <c r="C2254">
        <v>80</v>
      </c>
      <c r="D2254">
        <v>68.513282775999997</v>
      </c>
      <c r="E2254">
        <v>50</v>
      </c>
      <c r="F2254">
        <v>49.966091155999997</v>
      </c>
      <c r="G2254">
        <v>1337.0108643000001</v>
      </c>
      <c r="H2254">
        <v>1334.6678466999999</v>
      </c>
      <c r="I2254">
        <v>1328.5894774999999</v>
      </c>
      <c r="J2254">
        <v>1326.8576660000001</v>
      </c>
      <c r="K2254">
        <v>2400</v>
      </c>
      <c r="L2254">
        <v>0</v>
      </c>
      <c r="M2254">
        <v>0</v>
      </c>
      <c r="N2254">
        <v>2400</v>
      </c>
    </row>
    <row r="2255" spans="1:14" x14ac:dyDescent="0.25">
      <c r="A2255">
        <v>1461.091981</v>
      </c>
      <c r="B2255" s="1">
        <f>DATE(2014,5,1) + TIME(2,12,27)</f>
        <v>41760.091979166667</v>
      </c>
      <c r="C2255">
        <v>80</v>
      </c>
      <c r="D2255">
        <v>68.996925353999998</v>
      </c>
      <c r="E2255">
        <v>50</v>
      </c>
      <c r="F2255">
        <v>49.964031218999999</v>
      </c>
      <c r="G2255">
        <v>1337.3254394999999</v>
      </c>
      <c r="H2255">
        <v>1334.9713135</v>
      </c>
      <c r="I2255">
        <v>1328.3038329999999</v>
      </c>
      <c r="J2255">
        <v>1326.5615233999999</v>
      </c>
      <c r="K2255">
        <v>2400</v>
      </c>
      <c r="L2255">
        <v>0</v>
      </c>
      <c r="M2255">
        <v>0</v>
      </c>
      <c r="N2255">
        <v>2400</v>
      </c>
    </row>
    <row r="2256" spans="1:14" x14ac:dyDescent="0.25">
      <c r="A2256">
        <v>1461.1138109999999</v>
      </c>
      <c r="B2256" s="1">
        <f>DATE(2014,5,1) + TIME(2,43,53)</f>
        <v>41760.113807870373</v>
      </c>
      <c r="C2256">
        <v>80</v>
      </c>
      <c r="D2256">
        <v>69.474922179999993</v>
      </c>
      <c r="E2256">
        <v>50</v>
      </c>
      <c r="F2256">
        <v>49.962051391999999</v>
      </c>
      <c r="G2256">
        <v>1337.5612793</v>
      </c>
      <c r="H2256">
        <v>1335.1992187999999</v>
      </c>
      <c r="I2256">
        <v>1328.0872803</v>
      </c>
      <c r="J2256">
        <v>1326.3375243999999</v>
      </c>
      <c r="K2256">
        <v>2400</v>
      </c>
      <c r="L2256">
        <v>0</v>
      </c>
      <c r="M2256">
        <v>0</v>
      </c>
      <c r="N2256">
        <v>2400</v>
      </c>
    </row>
    <row r="2257" spans="1:14" x14ac:dyDescent="0.25">
      <c r="A2257">
        <v>1461.1361589999999</v>
      </c>
      <c r="B2257" s="1">
        <f>DATE(2014,5,1) + TIME(3,16,4)</f>
        <v>41760.136157407411</v>
      </c>
      <c r="C2257">
        <v>80</v>
      </c>
      <c r="D2257">
        <v>69.946388244999994</v>
      </c>
      <c r="E2257">
        <v>50</v>
      </c>
      <c r="F2257">
        <v>49.960109711000001</v>
      </c>
      <c r="G2257">
        <v>1337.7467041</v>
      </c>
      <c r="H2257">
        <v>1335.378418</v>
      </c>
      <c r="I2257">
        <v>1327.916626</v>
      </c>
      <c r="J2257">
        <v>1326.1616211</v>
      </c>
      <c r="K2257">
        <v>2400</v>
      </c>
      <c r="L2257">
        <v>0</v>
      </c>
      <c r="M2257">
        <v>0</v>
      </c>
      <c r="N2257">
        <v>2400</v>
      </c>
    </row>
    <row r="2258" spans="1:14" x14ac:dyDescent="0.25">
      <c r="A2258">
        <v>1461.1590450000001</v>
      </c>
      <c r="B2258" s="1">
        <f>DATE(2014,5,1) + TIME(3,49,1)</f>
        <v>41760.159039351849</v>
      </c>
      <c r="C2258">
        <v>80</v>
      </c>
      <c r="D2258">
        <v>70.410362243999998</v>
      </c>
      <c r="E2258">
        <v>50</v>
      </c>
      <c r="F2258">
        <v>49.958190918</v>
      </c>
      <c r="G2258">
        <v>1337.8979492000001</v>
      </c>
      <c r="H2258">
        <v>1335.5245361</v>
      </c>
      <c r="I2258">
        <v>1327.7786865</v>
      </c>
      <c r="J2258">
        <v>1326.0197754000001</v>
      </c>
      <c r="K2258">
        <v>2400</v>
      </c>
      <c r="L2258">
        <v>0</v>
      </c>
      <c r="M2258">
        <v>0</v>
      </c>
      <c r="N2258">
        <v>2400</v>
      </c>
    </row>
    <row r="2259" spans="1:14" x14ac:dyDescent="0.25">
      <c r="A2259">
        <v>1461.182499</v>
      </c>
      <c r="B2259" s="1">
        <f>DATE(2014,5,1) + TIME(4,22,47)</f>
        <v>41760.182488425926</v>
      </c>
      <c r="C2259">
        <v>80</v>
      </c>
      <c r="D2259">
        <v>70.866661071999999</v>
      </c>
      <c r="E2259">
        <v>50</v>
      </c>
      <c r="F2259">
        <v>49.956279754999997</v>
      </c>
      <c r="G2259">
        <v>1338.0249022999999</v>
      </c>
      <c r="H2259">
        <v>1335.6470947</v>
      </c>
      <c r="I2259">
        <v>1327.6647949000001</v>
      </c>
      <c r="J2259">
        <v>1325.9029541</v>
      </c>
      <c r="K2259">
        <v>2400</v>
      </c>
      <c r="L2259">
        <v>0</v>
      </c>
      <c r="M2259">
        <v>0</v>
      </c>
      <c r="N2259">
        <v>2400</v>
      </c>
    </row>
    <row r="2260" spans="1:14" x14ac:dyDescent="0.25">
      <c r="A2260">
        <v>1461.2065480000001</v>
      </c>
      <c r="B2260" s="1">
        <f>DATE(2014,5,1) + TIME(4,57,25)</f>
        <v>41760.20653935185</v>
      </c>
      <c r="C2260">
        <v>80</v>
      </c>
      <c r="D2260">
        <v>71.314918517999999</v>
      </c>
      <c r="E2260">
        <v>50</v>
      </c>
      <c r="F2260">
        <v>49.954364777000002</v>
      </c>
      <c r="G2260">
        <v>1338.1343993999999</v>
      </c>
      <c r="H2260">
        <v>1335.7523193</v>
      </c>
      <c r="I2260">
        <v>1327.5692139</v>
      </c>
      <c r="J2260">
        <v>1325.8051757999999</v>
      </c>
      <c r="K2260">
        <v>2400</v>
      </c>
      <c r="L2260">
        <v>0</v>
      </c>
      <c r="M2260">
        <v>0</v>
      </c>
      <c r="N2260">
        <v>2400</v>
      </c>
    </row>
    <row r="2261" spans="1:14" x14ac:dyDescent="0.25">
      <c r="A2261">
        <v>1461.2312240000001</v>
      </c>
      <c r="B2261" s="1">
        <f>DATE(2014,5,1) + TIME(5,32,57)</f>
        <v>41760.231215277781</v>
      </c>
      <c r="C2261">
        <v>80</v>
      </c>
      <c r="D2261">
        <v>71.754768372000001</v>
      </c>
      <c r="E2261">
        <v>50</v>
      </c>
      <c r="F2261">
        <v>49.952438354000002</v>
      </c>
      <c r="G2261">
        <v>1338.230957</v>
      </c>
      <c r="H2261">
        <v>1335.8446045000001</v>
      </c>
      <c r="I2261">
        <v>1327.4879149999999</v>
      </c>
      <c r="J2261">
        <v>1325.722168</v>
      </c>
      <c r="K2261">
        <v>2400</v>
      </c>
      <c r="L2261">
        <v>0</v>
      </c>
      <c r="M2261">
        <v>0</v>
      </c>
      <c r="N2261">
        <v>2400</v>
      </c>
    </row>
    <row r="2262" spans="1:14" x14ac:dyDescent="0.25">
      <c r="A2262">
        <v>1461.256562</v>
      </c>
      <c r="B2262" s="1">
        <f>DATE(2014,5,1) + TIME(6,9,26)</f>
        <v>41760.256550925929</v>
      </c>
      <c r="C2262">
        <v>80</v>
      </c>
      <c r="D2262">
        <v>72.185874939000001</v>
      </c>
      <c r="E2262">
        <v>50</v>
      </c>
      <c r="F2262">
        <v>49.950496674</v>
      </c>
      <c r="G2262">
        <v>1338.3175048999999</v>
      </c>
      <c r="H2262">
        <v>1335.9268798999999</v>
      </c>
      <c r="I2262">
        <v>1327.4183350000001</v>
      </c>
      <c r="J2262">
        <v>1325.6512451000001</v>
      </c>
      <c r="K2262">
        <v>2400</v>
      </c>
      <c r="L2262">
        <v>0</v>
      </c>
      <c r="M2262">
        <v>0</v>
      </c>
      <c r="N2262">
        <v>2400</v>
      </c>
    </row>
    <row r="2263" spans="1:14" x14ac:dyDescent="0.25">
      <c r="A2263">
        <v>1461.282596</v>
      </c>
      <c r="B2263" s="1">
        <f>DATE(2014,5,1) + TIME(6,46,56)</f>
        <v>41760.282592592594</v>
      </c>
      <c r="C2263">
        <v>80</v>
      </c>
      <c r="D2263">
        <v>72.607940674000005</v>
      </c>
      <c r="E2263">
        <v>50</v>
      </c>
      <c r="F2263">
        <v>49.948532104000002</v>
      </c>
      <c r="G2263">
        <v>1338.3966064000001</v>
      </c>
      <c r="H2263">
        <v>1336.0013428</v>
      </c>
      <c r="I2263">
        <v>1327.3581543</v>
      </c>
      <c r="J2263">
        <v>1325.5899658000001</v>
      </c>
      <c r="K2263">
        <v>2400</v>
      </c>
      <c r="L2263">
        <v>0</v>
      </c>
      <c r="M2263">
        <v>0</v>
      </c>
      <c r="N2263">
        <v>2400</v>
      </c>
    </row>
    <row r="2264" spans="1:14" x14ac:dyDescent="0.25">
      <c r="A2264">
        <v>1461.3093650000001</v>
      </c>
      <c r="B2264" s="1">
        <f>DATE(2014,5,1) + TIME(7,25,29)</f>
        <v>41760.309363425928</v>
      </c>
      <c r="C2264">
        <v>80</v>
      </c>
      <c r="D2264">
        <v>73.020622252999999</v>
      </c>
      <c r="E2264">
        <v>50</v>
      </c>
      <c r="F2264">
        <v>49.946540833</v>
      </c>
      <c r="G2264">
        <v>1338.4697266000001</v>
      </c>
      <c r="H2264">
        <v>1336.0695800999999</v>
      </c>
      <c r="I2264">
        <v>1327.3059082</v>
      </c>
      <c r="J2264">
        <v>1325.5368652</v>
      </c>
      <c r="K2264">
        <v>2400</v>
      </c>
      <c r="L2264">
        <v>0</v>
      </c>
      <c r="M2264">
        <v>0</v>
      </c>
      <c r="N2264">
        <v>2400</v>
      </c>
    </row>
    <row r="2265" spans="1:14" x14ac:dyDescent="0.25">
      <c r="A2265">
        <v>1461.3368599999999</v>
      </c>
      <c r="B2265" s="1">
        <f>DATE(2014,5,1) + TIME(8,5,4)</f>
        <v>41760.336851851855</v>
      </c>
      <c r="C2265">
        <v>80</v>
      </c>
      <c r="D2265">
        <v>73.422912597999996</v>
      </c>
      <c r="E2265">
        <v>50</v>
      </c>
      <c r="F2265">
        <v>49.944526672000002</v>
      </c>
      <c r="G2265">
        <v>1338.5382079999999</v>
      </c>
      <c r="H2265">
        <v>1336.1328125</v>
      </c>
      <c r="I2265">
        <v>1327.2606201000001</v>
      </c>
      <c r="J2265">
        <v>1325.4906006000001</v>
      </c>
      <c r="K2265">
        <v>2400</v>
      </c>
      <c r="L2265">
        <v>0</v>
      </c>
      <c r="M2265">
        <v>0</v>
      </c>
      <c r="N2265">
        <v>2400</v>
      </c>
    </row>
    <row r="2266" spans="1:14" x14ac:dyDescent="0.25">
      <c r="A2266">
        <v>1461.3651219999999</v>
      </c>
      <c r="B2266" s="1">
        <f>DATE(2014,5,1) + TIME(8,45,46)</f>
        <v>41760.365115740744</v>
      </c>
      <c r="C2266">
        <v>80</v>
      </c>
      <c r="D2266">
        <v>73.814575195000003</v>
      </c>
      <c r="E2266">
        <v>50</v>
      </c>
      <c r="F2266">
        <v>49.942481995000001</v>
      </c>
      <c r="G2266">
        <v>1338.6029053</v>
      </c>
      <c r="H2266">
        <v>1336.1916504000001</v>
      </c>
      <c r="I2266">
        <v>1327.2210693</v>
      </c>
      <c r="J2266">
        <v>1325.4505615</v>
      </c>
      <c r="K2266">
        <v>2400</v>
      </c>
      <c r="L2266">
        <v>0</v>
      </c>
      <c r="M2266">
        <v>0</v>
      </c>
      <c r="N2266">
        <v>2400</v>
      </c>
    </row>
    <row r="2267" spans="1:14" x14ac:dyDescent="0.25">
      <c r="A2267">
        <v>1461.394194</v>
      </c>
      <c r="B2267" s="1">
        <f>DATE(2014,5,1) + TIME(9,27,38)</f>
        <v>41760.394189814811</v>
      </c>
      <c r="C2267">
        <v>80</v>
      </c>
      <c r="D2267">
        <v>74.195358275999993</v>
      </c>
      <c r="E2267">
        <v>50</v>
      </c>
      <c r="F2267">
        <v>49.940406799000002</v>
      </c>
      <c r="G2267">
        <v>1338.6644286999999</v>
      </c>
      <c r="H2267">
        <v>1336.2471923999999</v>
      </c>
      <c r="I2267">
        <v>1327.1867675999999</v>
      </c>
      <c r="J2267">
        <v>1325.4155272999999</v>
      </c>
      <c r="K2267">
        <v>2400</v>
      </c>
      <c r="L2267">
        <v>0</v>
      </c>
      <c r="M2267">
        <v>0</v>
      </c>
      <c r="N2267">
        <v>2400</v>
      </c>
    </row>
    <row r="2268" spans="1:14" x14ac:dyDescent="0.25">
      <c r="A2268">
        <v>1461.4241219999999</v>
      </c>
      <c r="B2268" s="1">
        <f>DATE(2014,5,1) + TIME(10,10,44)</f>
        <v>41760.424120370371</v>
      </c>
      <c r="C2268">
        <v>80</v>
      </c>
      <c r="D2268">
        <v>74.564979553000001</v>
      </c>
      <c r="E2268">
        <v>50</v>
      </c>
      <c r="F2268">
        <v>49.938293457</v>
      </c>
      <c r="G2268">
        <v>1338.7233887</v>
      </c>
      <c r="H2268">
        <v>1336.2996826000001</v>
      </c>
      <c r="I2268">
        <v>1327.1568603999999</v>
      </c>
      <c r="J2268">
        <v>1325.3851318</v>
      </c>
      <c r="K2268">
        <v>2400</v>
      </c>
      <c r="L2268">
        <v>0</v>
      </c>
      <c r="M2268">
        <v>0</v>
      </c>
      <c r="N2268">
        <v>2400</v>
      </c>
    </row>
    <row r="2269" spans="1:14" x14ac:dyDescent="0.25">
      <c r="A2269">
        <v>1461.454954</v>
      </c>
      <c r="B2269" s="1">
        <f>DATE(2014,5,1) + TIME(10,55,8)</f>
        <v>41760.454953703702</v>
      </c>
      <c r="C2269">
        <v>80</v>
      </c>
      <c r="D2269">
        <v>74.923171996999997</v>
      </c>
      <c r="E2269">
        <v>50</v>
      </c>
      <c r="F2269">
        <v>49.936141968000001</v>
      </c>
      <c r="G2269">
        <v>1338.7802733999999</v>
      </c>
      <c r="H2269">
        <v>1336.3496094</v>
      </c>
      <c r="I2269">
        <v>1327.1308594</v>
      </c>
      <c r="J2269">
        <v>1325.3587646000001</v>
      </c>
      <c r="K2269">
        <v>2400</v>
      </c>
      <c r="L2269">
        <v>0</v>
      </c>
      <c r="M2269">
        <v>0</v>
      </c>
      <c r="N2269">
        <v>2400</v>
      </c>
    </row>
    <row r="2270" spans="1:14" x14ac:dyDescent="0.25">
      <c r="A2270">
        <v>1461.486744</v>
      </c>
      <c r="B2270" s="1">
        <f>DATE(2014,5,1) + TIME(11,40,54)</f>
        <v>41760.48673611111</v>
      </c>
      <c r="C2270">
        <v>80</v>
      </c>
      <c r="D2270">
        <v>75.269485474000007</v>
      </c>
      <c r="E2270">
        <v>50</v>
      </c>
      <c r="F2270">
        <v>49.933948516999997</v>
      </c>
      <c r="G2270">
        <v>1338.8353271000001</v>
      </c>
      <c r="H2270">
        <v>1336.3974608999999</v>
      </c>
      <c r="I2270">
        <v>1327.1085204999999</v>
      </c>
      <c r="J2270">
        <v>1325.3359375</v>
      </c>
      <c r="K2270">
        <v>2400</v>
      </c>
      <c r="L2270">
        <v>0</v>
      </c>
      <c r="M2270">
        <v>0</v>
      </c>
      <c r="N2270">
        <v>2400</v>
      </c>
    </row>
    <row r="2271" spans="1:14" x14ac:dyDescent="0.25">
      <c r="A2271">
        <v>1461.5195470000001</v>
      </c>
      <c r="B2271" s="1">
        <f>DATE(2014,5,1) + TIME(12,28,8)</f>
        <v>41760.519537037035</v>
      </c>
      <c r="C2271">
        <v>80</v>
      </c>
      <c r="D2271">
        <v>75.603797912999994</v>
      </c>
      <c r="E2271">
        <v>50</v>
      </c>
      <c r="F2271">
        <v>49.931709290000001</v>
      </c>
      <c r="G2271">
        <v>1338.8887939000001</v>
      </c>
      <c r="H2271">
        <v>1336.4434814000001</v>
      </c>
      <c r="I2271">
        <v>1327.0892334</v>
      </c>
      <c r="J2271">
        <v>1325.3162841999999</v>
      </c>
      <c r="K2271">
        <v>2400</v>
      </c>
      <c r="L2271">
        <v>0</v>
      </c>
      <c r="M2271">
        <v>0</v>
      </c>
      <c r="N2271">
        <v>2400</v>
      </c>
    </row>
    <row r="2272" spans="1:14" x14ac:dyDescent="0.25">
      <c r="A2272">
        <v>1461.5534259999999</v>
      </c>
      <c r="B2272" s="1">
        <f>DATE(2014,5,1) + TIME(13,16,55)</f>
        <v>41760.553414351853</v>
      </c>
      <c r="C2272">
        <v>80</v>
      </c>
      <c r="D2272">
        <v>75.925903320000003</v>
      </c>
      <c r="E2272">
        <v>50</v>
      </c>
      <c r="F2272">
        <v>49.929424286</v>
      </c>
      <c r="G2272">
        <v>1338.9410399999999</v>
      </c>
      <c r="H2272">
        <v>1336.4876709</v>
      </c>
      <c r="I2272">
        <v>1327.072876</v>
      </c>
      <c r="J2272">
        <v>1325.2995605000001</v>
      </c>
      <c r="K2272">
        <v>2400</v>
      </c>
      <c r="L2272">
        <v>0</v>
      </c>
      <c r="M2272">
        <v>0</v>
      </c>
      <c r="N2272">
        <v>2400</v>
      </c>
    </row>
    <row r="2273" spans="1:14" x14ac:dyDescent="0.25">
      <c r="A2273">
        <v>1461.5884470000001</v>
      </c>
      <c r="B2273" s="1">
        <f>DATE(2014,5,1) + TIME(14,7,21)</f>
        <v>41760.588437500002</v>
      </c>
      <c r="C2273">
        <v>80</v>
      </c>
      <c r="D2273">
        <v>76.235580443999993</v>
      </c>
      <c r="E2273">
        <v>50</v>
      </c>
      <c r="F2273">
        <v>49.927082061999997</v>
      </c>
      <c r="G2273">
        <v>1338.9920654</v>
      </c>
      <c r="H2273">
        <v>1336.5305175999999</v>
      </c>
      <c r="I2273">
        <v>1327.0588379000001</v>
      </c>
      <c r="J2273">
        <v>1325.2854004000001</v>
      </c>
      <c r="K2273">
        <v>2400</v>
      </c>
      <c r="L2273">
        <v>0</v>
      </c>
      <c r="M2273">
        <v>0</v>
      </c>
      <c r="N2273">
        <v>2400</v>
      </c>
    </row>
    <row r="2274" spans="1:14" x14ac:dyDescent="0.25">
      <c r="A2274">
        <v>1461.624683</v>
      </c>
      <c r="B2274" s="1">
        <f>DATE(2014,5,1) + TIME(14,59,32)</f>
        <v>41760.624675925923</v>
      </c>
      <c r="C2274">
        <v>80</v>
      </c>
      <c r="D2274">
        <v>76.532623290999993</v>
      </c>
      <c r="E2274">
        <v>50</v>
      </c>
      <c r="F2274">
        <v>49.924690247000001</v>
      </c>
      <c r="G2274">
        <v>1339.0419922000001</v>
      </c>
      <c r="H2274">
        <v>1336.5718993999999</v>
      </c>
      <c r="I2274">
        <v>1327.0472411999999</v>
      </c>
      <c r="J2274">
        <v>1325.2734375</v>
      </c>
      <c r="K2274">
        <v>2400</v>
      </c>
      <c r="L2274">
        <v>0</v>
      </c>
      <c r="M2274">
        <v>0</v>
      </c>
      <c r="N2274">
        <v>2400</v>
      </c>
    </row>
    <row r="2275" spans="1:14" x14ac:dyDescent="0.25">
      <c r="A2275">
        <v>1461.6622199999999</v>
      </c>
      <c r="B2275" s="1">
        <f>DATE(2014,5,1) + TIME(15,53,35)</f>
        <v>41760.662210648145</v>
      </c>
      <c r="C2275">
        <v>80</v>
      </c>
      <c r="D2275">
        <v>76.816871642999999</v>
      </c>
      <c r="E2275">
        <v>50</v>
      </c>
      <c r="F2275">
        <v>49.922233581999997</v>
      </c>
      <c r="G2275">
        <v>1339.0909423999999</v>
      </c>
      <c r="H2275">
        <v>1336.6120605000001</v>
      </c>
      <c r="I2275">
        <v>1327.0375977000001</v>
      </c>
      <c r="J2275">
        <v>1325.2634277</v>
      </c>
      <c r="K2275">
        <v>2400</v>
      </c>
      <c r="L2275">
        <v>0</v>
      </c>
      <c r="M2275">
        <v>0</v>
      </c>
      <c r="N2275">
        <v>2400</v>
      </c>
    </row>
    <row r="2276" spans="1:14" x14ac:dyDescent="0.25">
      <c r="A2276">
        <v>1461.701151</v>
      </c>
      <c r="B2276" s="1">
        <f>DATE(2014,5,1) + TIME(16,49,39)</f>
        <v>41760.701145833336</v>
      </c>
      <c r="C2276">
        <v>80</v>
      </c>
      <c r="D2276">
        <v>77.088180542000003</v>
      </c>
      <c r="E2276">
        <v>50</v>
      </c>
      <c r="F2276">
        <v>49.919712066999999</v>
      </c>
      <c r="G2276">
        <v>1339.1390381000001</v>
      </c>
      <c r="H2276">
        <v>1336.6511230000001</v>
      </c>
      <c r="I2276">
        <v>1327.0296631000001</v>
      </c>
      <c r="J2276">
        <v>1325.2553711</v>
      </c>
      <c r="K2276">
        <v>2400</v>
      </c>
      <c r="L2276">
        <v>0</v>
      </c>
      <c r="M2276">
        <v>0</v>
      </c>
      <c r="N2276">
        <v>2400</v>
      </c>
    </row>
    <row r="2277" spans="1:14" x14ac:dyDescent="0.25">
      <c r="A2277">
        <v>1461.7415590000001</v>
      </c>
      <c r="B2277" s="1">
        <f>DATE(2014,5,1) + TIME(17,47,50)</f>
        <v>41760.741550925923</v>
      </c>
      <c r="C2277">
        <v>80</v>
      </c>
      <c r="D2277">
        <v>77.346328735</v>
      </c>
      <c r="E2277">
        <v>50</v>
      </c>
      <c r="F2277">
        <v>49.917125702</v>
      </c>
      <c r="G2277">
        <v>1339.1861572</v>
      </c>
      <c r="H2277">
        <v>1336.6890868999999</v>
      </c>
      <c r="I2277">
        <v>1327.0233154</v>
      </c>
      <c r="J2277">
        <v>1325.2487793</v>
      </c>
      <c r="K2277">
        <v>2400</v>
      </c>
      <c r="L2277">
        <v>0</v>
      </c>
      <c r="M2277">
        <v>0</v>
      </c>
      <c r="N2277">
        <v>2400</v>
      </c>
    </row>
    <row r="2278" spans="1:14" x14ac:dyDescent="0.25">
      <c r="A2278">
        <v>1461.783549</v>
      </c>
      <c r="B2278" s="1">
        <f>DATE(2014,5,1) + TIME(18,48,18)</f>
        <v>41760.783541666664</v>
      </c>
      <c r="C2278">
        <v>80</v>
      </c>
      <c r="D2278">
        <v>77.591201781999999</v>
      </c>
      <c r="E2278">
        <v>50</v>
      </c>
      <c r="F2278">
        <v>49.914463042999998</v>
      </c>
      <c r="G2278">
        <v>1339.2325439000001</v>
      </c>
      <c r="H2278">
        <v>1336.7259521000001</v>
      </c>
      <c r="I2278">
        <v>1327.0184326000001</v>
      </c>
      <c r="J2278">
        <v>1325.2437743999999</v>
      </c>
      <c r="K2278">
        <v>2400</v>
      </c>
      <c r="L2278">
        <v>0</v>
      </c>
      <c r="M2278">
        <v>0</v>
      </c>
      <c r="N2278">
        <v>2400</v>
      </c>
    </row>
    <row r="2279" spans="1:14" x14ac:dyDescent="0.25">
      <c r="A2279">
        <v>1461.827237</v>
      </c>
      <c r="B2279" s="1">
        <f>DATE(2014,5,1) + TIME(19,51,13)</f>
        <v>41760.827233796299</v>
      </c>
      <c r="C2279">
        <v>80</v>
      </c>
      <c r="D2279">
        <v>77.822715759000005</v>
      </c>
      <c r="E2279">
        <v>50</v>
      </c>
      <c r="F2279">
        <v>49.911720275999997</v>
      </c>
      <c r="G2279">
        <v>1339.2779541</v>
      </c>
      <c r="H2279">
        <v>1336.7618408000001</v>
      </c>
      <c r="I2279">
        <v>1327.0147704999999</v>
      </c>
      <c r="J2279">
        <v>1325.2398682</v>
      </c>
      <c r="K2279">
        <v>2400</v>
      </c>
      <c r="L2279">
        <v>0</v>
      </c>
      <c r="M2279">
        <v>0</v>
      </c>
      <c r="N2279">
        <v>2400</v>
      </c>
    </row>
    <row r="2280" spans="1:14" x14ac:dyDescent="0.25">
      <c r="A2280">
        <v>1461.87275</v>
      </c>
      <c r="B2280" s="1">
        <f>DATE(2014,5,1) + TIME(20,56,45)</f>
        <v>41760.872743055559</v>
      </c>
      <c r="C2280">
        <v>80</v>
      </c>
      <c r="D2280">
        <v>78.040824889999996</v>
      </c>
      <c r="E2280">
        <v>50</v>
      </c>
      <c r="F2280">
        <v>49.908889770999998</v>
      </c>
      <c r="G2280">
        <v>1339.3226318</v>
      </c>
      <c r="H2280">
        <v>1336.7967529</v>
      </c>
      <c r="I2280">
        <v>1327.012207</v>
      </c>
      <c r="J2280">
        <v>1325.2370605000001</v>
      </c>
      <c r="K2280">
        <v>2400</v>
      </c>
      <c r="L2280">
        <v>0</v>
      </c>
      <c r="M2280">
        <v>0</v>
      </c>
      <c r="N2280">
        <v>2400</v>
      </c>
    </row>
    <row r="2281" spans="1:14" x14ac:dyDescent="0.25">
      <c r="A2281">
        <v>1461.9202299999999</v>
      </c>
      <c r="B2281" s="1">
        <f>DATE(2014,5,1) + TIME(22,5,7)</f>
        <v>41760.920219907406</v>
      </c>
      <c r="C2281">
        <v>80</v>
      </c>
      <c r="D2281">
        <v>78.245536803999997</v>
      </c>
      <c r="E2281">
        <v>50</v>
      </c>
      <c r="F2281">
        <v>49.905971526999998</v>
      </c>
      <c r="G2281">
        <v>1339.3664550999999</v>
      </c>
      <c r="H2281">
        <v>1336.8308105000001</v>
      </c>
      <c r="I2281">
        <v>1327.0104980000001</v>
      </c>
      <c r="J2281">
        <v>1325.2352295000001</v>
      </c>
      <c r="K2281">
        <v>2400</v>
      </c>
      <c r="L2281">
        <v>0</v>
      </c>
      <c r="M2281">
        <v>0</v>
      </c>
      <c r="N2281">
        <v>2400</v>
      </c>
    </row>
    <row r="2282" spans="1:14" x14ac:dyDescent="0.25">
      <c r="A2282">
        <v>1461.969834</v>
      </c>
      <c r="B2282" s="1">
        <f>DATE(2014,5,1) + TIME(23,16,33)</f>
        <v>41760.969826388886</v>
      </c>
      <c r="C2282">
        <v>80</v>
      </c>
      <c r="D2282">
        <v>78.436889648000005</v>
      </c>
      <c r="E2282">
        <v>50</v>
      </c>
      <c r="F2282">
        <v>49.902950287000003</v>
      </c>
      <c r="G2282">
        <v>1339.4094238</v>
      </c>
      <c r="H2282">
        <v>1336.8638916</v>
      </c>
      <c r="I2282">
        <v>1327.0095214999999</v>
      </c>
      <c r="J2282">
        <v>1325.2341309000001</v>
      </c>
      <c r="K2282">
        <v>2400</v>
      </c>
      <c r="L2282">
        <v>0</v>
      </c>
      <c r="M2282">
        <v>0</v>
      </c>
      <c r="N2282">
        <v>2400</v>
      </c>
    </row>
    <row r="2283" spans="1:14" x14ac:dyDescent="0.25">
      <c r="A2283">
        <v>1462.021739</v>
      </c>
      <c r="B2283" s="1">
        <f>DATE(2014,5,2) + TIME(0,31,18)</f>
        <v>41761.021736111114</v>
      </c>
      <c r="C2283">
        <v>80</v>
      </c>
      <c r="D2283">
        <v>78.614967346</v>
      </c>
      <c r="E2283">
        <v>50</v>
      </c>
      <c r="F2283">
        <v>49.899822235000002</v>
      </c>
      <c r="G2283">
        <v>1339.4514160000001</v>
      </c>
      <c r="H2283">
        <v>1336.8959961</v>
      </c>
      <c r="I2283">
        <v>1327.0092772999999</v>
      </c>
      <c r="J2283">
        <v>1325.2337646000001</v>
      </c>
      <c r="K2283">
        <v>2400</v>
      </c>
      <c r="L2283">
        <v>0</v>
      </c>
      <c r="M2283">
        <v>0</v>
      </c>
      <c r="N2283">
        <v>2400</v>
      </c>
    </row>
    <row r="2284" spans="1:14" x14ac:dyDescent="0.25">
      <c r="A2284">
        <v>1462.0761460000001</v>
      </c>
      <c r="B2284" s="1">
        <f>DATE(2014,5,2) + TIME(1,49,39)</f>
        <v>41761.076145833336</v>
      </c>
      <c r="C2284">
        <v>80</v>
      </c>
      <c r="D2284">
        <v>78.779922485</v>
      </c>
      <c r="E2284">
        <v>50</v>
      </c>
      <c r="F2284">
        <v>49.896579742</v>
      </c>
      <c r="G2284">
        <v>1339.4925536999999</v>
      </c>
      <c r="H2284">
        <v>1336.9272461</v>
      </c>
      <c r="I2284">
        <v>1327.0096435999999</v>
      </c>
      <c r="J2284">
        <v>1325.2338867000001</v>
      </c>
      <c r="K2284">
        <v>2400</v>
      </c>
      <c r="L2284">
        <v>0</v>
      </c>
      <c r="M2284">
        <v>0</v>
      </c>
      <c r="N2284">
        <v>2400</v>
      </c>
    </row>
    <row r="2285" spans="1:14" x14ac:dyDescent="0.25">
      <c r="A2285">
        <v>1462.13328</v>
      </c>
      <c r="B2285" s="1">
        <f>DATE(2014,5,2) + TIME(3,11,55)</f>
        <v>41761.133275462962</v>
      </c>
      <c r="C2285">
        <v>80</v>
      </c>
      <c r="D2285">
        <v>78.931945800999998</v>
      </c>
      <c r="E2285">
        <v>50</v>
      </c>
      <c r="F2285">
        <v>49.89320755</v>
      </c>
      <c r="G2285">
        <v>1339.5327147999999</v>
      </c>
      <c r="H2285">
        <v>1336.9576416</v>
      </c>
      <c r="I2285">
        <v>1327.010376</v>
      </c>
      <c r="J2285">
        <v>1325.2344971</v>
      </c>
      <c r="K2285">
        <v>2400</v>
      </c>
      <c r="L2285">
        <v>0</v>
      </c>
      <c r="M2285">
        <v>0</v>
      </c>
      <c r="N2285">
        <v>2400</v>
      </c>
    </row>
    <row r="2286" spans="1:14" x14ac:dyDescent="0.25">
      <c r="A2286">
        <v>1462.193442</v>
      </c>
      <c r="B2286" s="1">
        <f>DATE(2014,5,2) + TIME(4,38,33)</f>
        <v>41761.193437499998</v>
      </c>
      <c r="C2286">
        <v>80</v>
      </c>
      <c r="D2286">
        <v>79.071365356000001</v>
      </c>
      <c r="E2286">
        <v>50</v>
      </c>
      <c r="F2286">
        <v>49.889694214000002</v>
      </c>
      <c r="G2286">
        <v>1339.5718993999999</v>
      </c>
      <c r="H2286">
        <v>1336.9870605000001</v>
      </c>
      <c r="I2286">
        <v>1327.0114745999999</v>
      </c>
      <c r="J2286">
        <v>1325.2354736</v>
      </c>
      <c r="K2286">
        <v>2400</v>
      </c>
      <c r="L2286">
        <v>0</v>
      </c>
      <c r="M2286">
        <v>0</v>
      </c>
      <c r="N2286">
        <v>2400</v>
      </c>
    </row>
    <row r="2287" spans="1:14" x14ac:dyDescent="0.25">
      <c r="A2287">
        <v>1462.256891</v>
      </c>
      <c r="B2287" s="1">
        <f>DATE(2014,5,2) + TIME(6,9,55)</f>
        <v>41761.256886574076</v>
      </c>
      <c r="C2287">
        <v>80</v>
      </c>
      <c r="D2287">
        <v>79.198394774999997</v>
      </c>
      <c r="E2287">
        <v>50</v>
      </c>
      <c r="F2287">
        <v>49.886032104000002</v>
      </c>
      <c r="G2287">
        <v>1339.6099853999999</v>
      </c>
      <c r="H2287">
        <v>1337.0155029</v>
      </c>
      <c r="I2287">
        <v>1327.0126952999999</v>
      </c>
      <c r="J2287">
        <v>1325.2366943</v>
      </c>
      <c r="K2287">
        <v>2400</v>
      </c>
      <c r="L2287">
        <v>0</v>
      </c>
      <c r="M2287">
        <v>0</v>
      </c>
      <c r="N2287">
        <v>2400</v>
      </c>
    </row>
    <row r="2288" spans="1:14" x14ac:dyDescent="0.25">
      <c r="A2288">
        <v>1462.323969</v>
      </c>
      <c r="B2288" s="1">
        <f>DATE(2014,5,2) + TIME(7,46,30)</f>
        <v>41761.323958333334</v>
      </c>
      <c r="C2288">
        <v>80</v>
      </c>
      <c r="D2288">
        <v>79.313385010000005</v>
      </c>
      <c r="E2288">
        <v>50</v>
      </c>
      <c r="F2288">
        <v>49.882198334000002</v>
      </c>
      <c r="G2288">
        <v>1339.6470947</v>
      </c>
      <c r="H2288">
        <v>1337.0429687999999</v>
      </c>
      <c r="I2288">
        <v>1327.0142822</v>
      </c>
      <c r="J2288">
        <v>1325.2380370999999</v>
      </c>
      <c r="K2288">
        <v>2400</v>
      </c>
      <c r="L2288">
        <v>0</v>
      </c>
      <c r="M2288">
        <v>0</v>
      </c>
      <c r="N2288">
        <v>2400</v>
      </c>
    </row>
    <row r="2289" spans="1:14" x14ac:dyDescent="0.25">
      <c r="A2289">
        <v>1462.3950729999999</v>
      </c>
      <c r="B2289" s="1">
        <f>DATE(2014,5,2) + TIME(9,28,54)</f>
        <v>41761.395069444443</v>
      </c>
      <c r="C2289">
        <v>80</v>
      </c>
      <c r="D2289">
        <v>79.416748046999999</v>
      </c>
      <c r="E2289">
        <v>50</v>
      </c>
      <c r="F2289">
        <v>49.878181458</v>
      </c>
      <c r="G2289">
        <v>1339.6829834</v>
      </c>
      <c r="H2289">
        <v>1337.0695800999999</v>
      </c>
      <c r="I2289">
        <v>1327.0158690999999</v>
      </c>
      <c r="J2289">
        <v>1325.2395019999999</v>
      </c>
      <c r="K2289">
        <v>2400</v>
      </c>
      <c r="L2289">
        <v>0</v>
      </c>
      <c r="M2289">
        <v>0</v>
      </c>
      <c r="N2289">
        <v>2400</v>
      </c>
    </row>
    <row r="2290" spans="1:14" x14ac:dyDescent="0.25">
      <c r="A2290">
        <v>1462.4703050000001</v>
      </c>
      <c r="B2290" s="1">
        <f>DATE(2014,5,2) + TIME(11,17,14)</f>
        <v>41761.470300925925</v>
      </c>
      <c r="C2290">
        <v>80</v>
      </c>
      <c r="D2290">
        <v>79.508583068999997</v>
      </c>
      <c r="E2290">
        <v>50</v>
      </c>
      <c r="F2290">
        <v>49.873981475999997</v>
      </c>
      <c r="G2290">
        <v>1339.7176514</v>
      </c>
      <c r="H2290">
        <v>1337.0952147999999</v>
      </c>
      <c r="I2290">
        <v>1327.0174560999999</v>
      </c>
      <c r="J2290">
        <v>1325.2409668</v>
      </c>
      <c r="K2290">
        <v>2400</v>
      </c>
      <c r="L2290">
        <v>0</v>
      </c>
      <c r="M2290">
        <v>0</v>
      </c>
      <c r="N2290">
        <v>2400</v>
      </c>
    </row>
    <row r="2291" spans="1:14" x14ac:dyDescent="0.25">
      <c r="A2291">
        <v>1462.5499170000001</v>
      </c>
      <c r="B2291" s="1">
        <f>DATE(2014,5,2) + TIME(13,11,52)</f>
        <v>41761.549907407411</v>
      </c>
      <c r="C2291">
        <v>80</v>
      </c>
      <c r="D2291">
        <v>79.589340210000003</v>
      </c>
      <c r="E2291">
        <v>50</v>
      </c>
      <c r="F2291">
        <v>49.869583130000002</v>
      </c>
      <c r="G2291">
        <v>1339.7509766000001</v>
      </c>
      <c r="H2291">
        <v>1337.119751</v>
      </c>
      <c r="I2291">
        <v>1327.019043</v>
      </c>
      <c r="J2291">
        <v>1325.2424315999999</v>
      </c>
      <c r="K2291">
        <v>2400</v>
      </c>
      <c r="L2291">
        <v>0</v>
      </c>
      <c r="M2291">
        <v>0</v>
      </c>
      <c r="N2291">
        <v>2400</v>
      </c>
    </row>
    <row r="2292" spans="1:14" x14ac:dyDescent="0.25">
      <c r="A2292">
        <v>1462.6343449999999</v>
      </c>
      <c r="B2292" s="1">
        <f>DATE(2014,5,2) + TIME(15,13,27)</f>
        <v>41761.634340277778</v>
      </c>
      <c r="C2292">
        <v>80</v>
      </c>
      <c r="D2292">
        <v>79.659713745000005</v>
      </c>
      <c r="E2292">
        <v>50</v>
      </c>
      <c r="F2292">
        <v>49.864971161</v>
      </c>
      <c r="G2292">
        <v>1339.7828368999999</v>
      </c>
      <c r="H2292">
        <v>1337.1431885</v>
      </c>
      <c r="I2292">
        <v>1327.0206298999999</v>
      </c>
      <c r="J2292">
        <v>1325.2438964999999</v>
      </c>
      <c r="K2292">
        <v>2400</v>
      </c>
      <c r="L2292">
        <v>0</v>
      </c>
      <c r="M2292">
        <v>0</v>
      </c>
      <c r="N2292">
        <v>2400</v>
      </c>
    </row>
    <row r="2293" spans="1:14" x14ac:dyDescent="0.25">
      <c r="A2293">
        <v>1462.7207989999999</v>
      </c>
      <c r="B2293" s="1">
        <f>DATE(2014,5,2) + TIME(17,17,57)</f>
        <v>41761.72079861111</v>
      </c>
      <c r="C2293">
        <v>80</v>
      </c>
      <c r="D2293">
        <v>79.718643188000001</v>
      </c>
      <c r="E2293">
        <v>50</v>
      </c>
      <c r="F2293">
        <v>49.860290526999997</v>
      </c>
      <c r="G2293">
        <v>1339.8133545000001</v>
      </c>
      <c r="H2293">
        <v>1337.1655272999999</v>
      </c>
      <c r="I2293">
        <v>1327.0219727000001</v>
      </c>
      <c r="J2293">
        <v>1325.2451172000001</v>
      </c>
      <c r="K2293">
        <v>2400</v>
      </c>
      <c r="L2293">
        <v>0</v>
      </c>
      <c r="M2293">
        <v>0</v>
      </c>
      <c r="N2293">
        <v>2400</v>
      </c>
    </row>
    <row r="2294" spans="1:14" x14ac:dyDescent="0.25">
      <c r="A2294">
        <v>1462.807654</v>
      </c>
      <c r="B2294" s="1">
        <f>DATE(2014,5,2) + TIME(19,23,1)</f>
        <v>41761.807650462964</v>
      </c>
      <c r="C2294">
        <v>80</v>
      </c>
      <c r="D2294">
        <v>79.766967773000005</v>
      </c>
      <c r="E2294">
        <v>50</v>
      </c>
      <c r="F2294">
        <v>49.855609893999997</v>
      </c>
      <c r="G2294">
        <v>1339.8414307</v>
      </c>
      <c r="H2294">
        <v>1337.1860352000001</v>
      </c>
      <c r="I2294">
        <v>1327.0231934000001</v>
      </c>
      <c r="J2294">
        <v>1325.2460937999999</v>
      </c>
      <c r="K2294">
        <v>2400</v>
      </c>
      <c r="L2294">
        <v>0</v>
      </c>
      <c r="M2294">
        <v>0</v>
      </c>
      <c r="N2294">
        <v>2400</v>
      </c>
    </row>
    <row r="2295" spans="1:14" x14ac:dyDescent="0.25">
      <c r="A2295">
        <v>1462.895227</v>
      </c>
      <c r="B2295" s="1">
        <f>DATE(2014,5,2) + TIME(21,29,7)</f>
        <v>41761.895219907405</v>
      </c>
      <c r="C2295">
        <v>80</v>
      </c>
      <c r="D2295">
        <v>79.806648253999995</v>
      </c>
      <c r="E2295">
        <v>50</v>
      </c>
      <c r="F2295">
        <v>49.850925445999998</v>
      </c>
      <c r="G2295">
        <v>1339.8665771000001</v>
      </c>
      <c r="H2295">
        <v>1337.2044678</v>
      </c>
      <c r="I2295">
        <v>1327.0241699000001</v>
      </c>
      <c r="J2295">
        <v>1325.2469481999999</v>
      </c>
      <c r="K2295">
        <v>2400</v>
      </c>
      <c r="L2295">
        <v>0</v>
      </c>
      <c r="M2295">
        <v>0</v>
      </c>
      <c r="N2295">
        <v>2400</v>
      </c>
    </row>
    <row r="2296" spans="1:14" x14ac:dyDescent="0.25">
      <c r="A2296">
        <v>1462.9837379999999</v>
      </c>
      <c r="B2296" s="1">
        <f>DATE(2014,5,2) + TIME(23,36,34)</f>
        <v>41761.983726851853</v>
      </c>
      <c r="C2296">
        <v>80</v>
      </c>
      <c r="D2296">
        <v>79.839233398000005</v>
      </c>
      <c r="E2296">
        <v>50</v>
      </c>
      <c r="F2296">
        <v>49.846218108999999</v>
      </c>
      <c r="G2296">
        <v>1339.8891602000001</v>
      </c>
      <c r="H2296">
        <v>1337.2210693</v>
      </c>
      <c r="I2296">
        <v>1327.0250243999999</v>
      </c>
      <c r="J2296">
        <v>1325.2476807</v>
      </c>
      <c r="K2296">
        <v>2400</v>
      </c>
      <c r="L2296">
        <v>0</v>
      </c>
      <c r="M2296">
        <v>0</v>
      </c>
      <c r="N2296">
        <v>2400</v>
      </c>
    </row>
    <row r="2297" spans="1:14" x14ac:dyDescent="0.25">
      <c r="A2297">
        <v>1463.0733949999999</v>
      </c>
      <c r="B2297" s="1">
        <f>DATE(2014,5,3) + TIME(1,45,41)</f>
        <v>41762.073391203703</v>
      </c>
      <c r="C2297">
        <v>80</v>
      </c>
      <c r="D2297">
        <v>79.865959167</v>
      </c>
      <c r="E2297">
        <v>50</v>
      </c>
      <c r="F2297">
        <v>49.841480255</v>
      </c>
      <c r="G2297">
        <v>1339.9094238</v>
      </c>
      <c r="H2297">
        <v>1337.2360839999999</v>
      </c>
      <c r="I2297">
        <v>1327.0257568</v>
      </c>
      <c r="J2297">
        <v>1325.2481689000001</v>
      </c>
      <c r="K2297">
        <v>2400</v>
      </c>
      <c r="L2297">
        <v>0</v>
      </c>
      <c r="M2297">
        <v>0</v>
      </c>
      <c r="N2297">
        <v>2400</v>
      </c>
    </row>
    <row r="2298" spans="1:14" x14ac:dyDescent="0.25">
      <c r="A2298">
        <v>1463.1644269999999</v>
      </c>
      <c r="B2298" s="1">
        <f>DATE(2014,5,3) + TIME(3,56,46)</f>
        <v>41762.164421296293</v>
      </c>
      <c r="C2298">
        <v>80</v>
      </c>
      <c r="D2298">
        <v>79.887870789000004</v>
      </c>
      <c r="E2298">
        <v>50</v>
      </c>
      <c r="F2298">
        <v>49.836696625000002</v>
      </c>
      <c r="G2298">
        <v>1339.9273682</v>
      </c>
      <c r="H2298">
        <v>1337.2496338000001</v>
      </c>
      <c r="I2298">
        <v>1327.0262451000001</v>
      </c>
      <c r="J2298">
        <v>1325.2486572</v>
      </c>
      <c r="K2298">
        <v>2400</v>
      </c>
      <c r="L2298">
        <v>0</v>
      </c>
      <c r="M2298">
        <v>0</v>
      </c>
      <c r="N2298">
        <v>2400</v>
      </c>
    </row>
    <row r="2299" spans="1:14" x14ac:dyDescent="0.25">
      <c r="A2299">
        <v>1463.2570740000001</v>
      </c>
      <c r="B2299" s="1">
        <f>DATE(2014,5,3) + TIME(6,10,11)</f>
        <v>41762.257071759261</v>
      </c>
      <c r="C2299">
        <v>80</v>
      </c>
      <c r="D2299">
        <v>79.905807495000005</v>
      </c>
      <c r="E2299">
        <v>50</v>
      </c>
      <c r="F2299">
        <v>49.831863403</v>
      </c>
      <c r="G2299">
        <v>1339.9436035000001</v>
      </c>
      <c r="H2299">
        <v>1337.2618408000001</v>
      </c>
      <c r="I2299">
        <v>1327.0266113</v>
      </c>
      <c r="J2299">
        <v>1325.2489014</v>
      </c>
      <c r="K2299">
        <v>2400</v>
      </c>
      <c r="L2299">
        <v>0</v>
      </c>
      <c r="M2299">
        <v>0</v>
      </c>
      <c r="N2299">
        <v>2400</v>
      </c>
    </row>
    <row r="2300" spans="1:14" x14ac:dyDescent="0.25">
      <c r="A2300">
        <v>1463.351586</v>
      </c>
      <c r="B2300" s="1">
        <f>DATE(2014,5,3) + TIME(8,26,16)</f>
        <v>41762.351574074077</v>
      </c>
      <c r="C2300">
        <v>80</v>
      </c>
      <c r="D2300">
        <v>79.920463561999995</v>
      </c>
      <c r="E2300">
        <v>50</v>
      </c>
      <c r="F2300">
        <v>49.826965332</v>
      </c>
      <c r="G2300">
        <v>1339.9580077999999</v>
      </c>
      <c r="H2300">
        <v>1337.2729492000001</v>
      </c>
      <c r="I2300">
        <v>1327.0269774999999</v>
      </c>
      <c r="J2300">
        <v>1325.2490233999999</v>
      </c>
      <c r="K2300">
        <v>2400</v>
      </c>
      <c r="L2300">
        <v>0</v>
      </c>
      <c r="M2300">
        <v>0</v>
      </c>
      <c r="N2300">
        <v>2400</v>
      </c>
    </row>
    <row r="2301" spans="1:14" x14ac:dyDescent="0.25">
      <c r="A2301">
        <v>1463.448226</v>
      </c>
      <c r="B2301" s="1">
        <f>DATE(2014,5,3) + TIME(10,45,26)</f>
        <v>41762.448217592595</v>
      </c>
      <c r="C2301">
        <v>80</v>
      </c>
      <c r="D2301">
        <v>79.932426453000005</v>
      </c>
      <c r="E2301">
        <v>50</v>
      </c>
      <c r="F2301">
        <v>49.821987151999998</v>
      </c>
      <c r="G2301">
        <v>1339.9709473</v>
      </c>
      <c r="H2301">
        <v>1337.2829589999999</v>
      </c>
      <c r="I2301">
        <v>1327.0270995999999</v>
      </c>
      <c r="J2301">
        <v>1325.2490233999999</v>
      </c>
      <c r="K2301">
        <v>2400</v>
      </c>
      <c r="L2301">
        <v>0</v>
      </c>
      <c r="M2301">
        <v>0</v>
      </c>
      <c r="N2301">
        <v>2400</v>
      </c>
    </row>
    <row r="2302" spans="1:14" x14ac:dyDescent="0.25">
      <c r="A2302">
        <v>1463.547358</v>
      </c>
      <c r="B2302" s="1">
        <f>DATE(2014,5,3) + TIME(13,8,11)</f>
        <v>41762.547349537039</v>
      </c>
      <c r="C2302">
        <v>80</v>
      </c>
      <c r="D2302">
        <v>79.942161560000002</v>
      </c>
      <c r="E2302">
        <v>50</v>
      </c>
      <c r="F2302">
        <v>49.816917418999999</v>
      </c>
      <c r="G2302">
        <v>1339.9824219</v>
      </c>
      <c r="H2302">
        <v>1337.2921143000001</v>
      </c>
      <c r="I2302">
        <v>1327.0272216999999</v>
      </c>
      <c r="J2302">
        <v>1325.2490233999999</v>
      </c>
      <c r="K2302">
        <v>2400</v>
      </c>
      <c r="L2302">
        <v>0</v>
      </c>
      <c r="M2302">
        <v>0</v>
      </c>
      <c r="N2302">
        <v>2400</v>
      </c>
    </row>
    <row r="2303" spans="1:14" x14ac:dyDescent="0.25">
      <c r="A2303">
        <v>1463.649379</v>
      </c>
      <c r="B2303" s="1">
        <f>DATE(2014,5,3) + TIME(15,35,6)</f>
        <v>41762.649375000001</v>
      </c>
      <c r="C2303">
        <v>80</v>
      </c>
      <c r="D2303">
        <v>79.950065613000007</v>
      </c>
      <c r="E2303">
        <v>50</v>
      </c>
      <c r="F2303">
        <v>49.811737061000002</v>
      </c>
      <c r="G2303">
        <v>1339.9925536999999</v>
      </c>
      <c r="H2303">
        <v>1337.3001709</v>
      </c>
      <c r="I2303">
        <v>1327.0270995999999</v>
      </c>
      <c r="J2303">
        <v>1325.2487793</v>
      </c>
      <c r="K2303">
        <v>2400</v>
      </c>
      <c r="L2303">
        <v>0</v>
      </c>
      <c r="M2303">
        <v>0</v>
      </c>
      <c r="N2303">
        <v>2400</v>
      </c>
    </row>
    <row r="2304" spans="1:14" x14ac:dyDescent="0.25">
      <c r="A2304">
        <v>1463.754666</v>
      </c>
      <c r="B2304" s="1">
        <f>DATE(2014,5,3) + TIME(18,6,43)</f>
        <v>41762.754664351851</v>
      </c>
      <c r="C2304">
        <v>80</v>
      </c>
      <c r="D2304">
        <v>79.956466675000001</v>
      </c>
      <c r="E2304">
        <v>50</v>
      </c>
      <c r="F2304">
        <v>49.806427002</v>
      </c>
      <c r="G2304">
        <v>1340.0014647999999</v>
      </c>
      <c r="H2304">
        <v>1337.3076172000001</v>
      </c>
      <c r="I2304">
        <v>1327.0270995999999</v>
      </c>
      <c r="J2304">
        <v>1325.2485352000001</v>
      </c>
      <c r="K2304">
        <v>2400</v>
      </c>
      <c r="L2304">
        <v>0</v>
      </c>
      <c r="M2304">
        <v>0</v>
      </c>
      <c r="N2304">
        <v>2400</v>
      </c>
    </row>
    <row r="2305" spans="1:14" x14ac:dyDescent="0.25">
      <c r="A2305">
        <v>1463.863668</v>
      </c>
      <c r="B2305" s="1">
        <f>DATE(2014,5,3) + TIME(20,43,40)</f>
        <v>41762.863657407404</v>
      </c>
      <c r="C2305">
        <v>80</v>
      </c>
      <c r="D2305">
        <v>79.961631775000001</v>
      </c>
      <c r="E2305">
        <v>50</v>
      </c>
      <c r="F2305">
        <v>49.800968169999997</v>
      </c>
      <c r="G2305">
        <v>1340.0080565999999</v>
      </c>
      <c r="H2305">
        <v>1337.3134766000001</v>
      </c>
      <c r="I2305">
        <v>1327.0268555</v>
      </c>
      <c r="J2305">
        <v>1325.2482910000001</v>
      </c>
      <c r="K2305">
        <v>2400</v>
      </c>
      <c r="L2305">
        <v>0</v>
      </c>
      <c r="M2305">
        <v>0</v>
      </c>
      <c r="N2305">
        <v>2400</v>
      </c>
    </row>
    <row r="2306" spans="1:14" x14ac:dyDescent="0.25">
      <c r="A2306">
        <v>1463.976797</v>
      </c>
      <c r="B2306" s="1">
        <f>DATE(2014,5,3) + TIME(23,26,35)</f>
        <v>41762.976793981485</v>
      </c>
      <c r="C2306">
        <v>80</v>
      </c>
      <c r="D2306">
        <v>79.965766907000003</v>
      </c>
      <c r="E2306">
        <v>50</v>
      </c>
      <c r="F2306">
        <v>49.795349121000001</v>
      </c>
      <c r="G2306">
        <v>1340.0126952999999</v>
      </c>
      <c r="H2306">
        <v>1337.3181152</v>
      </c>
      <c r="I2306">
        <v>1327.0266113</v>
      </c>
      <c r="J2306">
        <v>1325.2478027</v>
      </c>
      <c r="K2306">
        <v>2400</v>
      </c>
      <c r="L2306">
        <v>0</v>
      </c>
      <c r="M2306">
        <v>0</v>
      </c>
      <c r="N2306">
        <v>2400</v>
      </c>
    </row>
    <row r="2307" spans="1:14" x14ac:dyDescent="0.25">
      <c r="A2307">
        <v>1464.0919260000001</v>
      </c>
      <c r="B2307" s="1">
        <f>DATE(2014,5,4) + TIME(2,12,22)</f>
        <v>41763.091921296298</v>
      </c>
      <c r="C2307">
        <v>80</v>
      </c>
      <c r="D2307">
        <v>79.969017029</v>
      </c>
      <c r="E2307">
        <v>50</v>
      </c>
      <c r="F2307">
        <v>49.789657593000001</v>
      </c>
      <c r="G2307">
        <v>1340.0166016000001</v>
      </c>
      <c r="H2307">
        <v>1337.3223877</v>
      </c>
      <c r="I2307">
        <v>1327.0262451000001</v>
      </c>
      <c r="J2307">
        <v>1325.2473144999999</v>
      </c>
      <c r="K2307">
        <v>2400</v>
      </c>
      <c r="L2307">
        <v>0</v>
      </c>
      <c r="M2307">
        <v>0</v>
      </c>
      <c r="N2307">
        <v>2400</v>
      </c>
    </row>
    <row r="2308" spans="1:14" x14ac:dyDescent="0.25">
      <c r="A2308">
        <v>1464.2093150000001</v>
      </c>
      <c r="B2308" s="1">
        <f>DATE(2014,5,4) + TIME(5,1,24)</f>
        <v>41763.209305555552</v>
      </c>
      <c r="C2308">
        <v>80</v>
      </c>
      <c r="D2308">
        <v>79.971565247000001</v>
      </c>
      <c r="E2308">
        <v>50</v>
      </c>
      <c r="F2308">
        <v>49.783885955999999</v>
      </c>
      <c r="G2308">
        <v>1340.0196533000001</v>
      </c>
      <c r="H2308">
        <v>1337.3259277</v>
      </c>
      <c r="I2308">
        <v>1327.0258789</v>
      </c>
      <c r="J2308">
        <v>1325.2468262</v>
      </c>
      <c r="K2308">
        <v>2400</v>
      </c>
      <c r="L2308">
        <v>0</v>
      </c>
      <c r="M2308">
        <v>0</v>
      </c>
      <c r="N2308">
        <v>2400</v>
      </c>
    </row>
    <row r="2309" spans="1:14" x14ac:dyDescent="0.25">
      <c r="A2309">
        <v>1464.329197</v>
      </c>
      <c r="B2309" s="1">
        <f>DATE(2014,5,4) + TIME(7,54,2)</f>
        <v>41763.329189814816</v>
      </c>
      <c r="C2309">
        <v>80</v>
      </c>
      <c r="D2309">
        <v>79.973556518999999</v>
      </c>
      <c r="E2309">
        <v>50</v>
      </c>
      <c r="F2309">
        <v>49.778026580999999</v>
      </c>
      <c r="G2309">
        <v>1340.0218506000001</v>
      </c>
      <c r="H2309">
        <v>1337.3289795000001</v>
      </c>
      <c r="I2309">
        <v>1327.0255127</v>
      </c>
      <c r="J2309">
        <v>1325.2462158000001</v>
      </c>
      <c r="K2309">
        <v>2400</v>
      </c>
      <c r="L2309">
        <v>0</v>
      </c>
      <c r="M2309">
        <v>0</v>
      </c>
      <c r="N2309">
        <v>2400</v>
      </c>
    </row>
    <row r="2310" spans="1:14" x14ac:dyDescent="0.25">
      <c r="A2310">
        <v>1464.451828</v>
      </c>
      <c r="B2310" s="1">
        <f>DATE(2014,5,4) + TIME(10,50,37)</f>
        <v>41763.451817129629</v>
      </c>
      <c r="C2310">
        <v>80</v>
      </c>
      <c r="D2310">
        <v>79.975120544000006</v>
      </c>
      <c r="E2310">
        <v>50</v>
      </c>
      <c r="F2310">
        <v>49.772060394</v>
      </c>
      <c r="G2310">
        <v>1340.0233154</v>
      </c>
      <c r="H2310">
        <v>1337.3316649999999</v>
      </c>
      <c r="I2310">
        <v>1327.0250243999999</v>
      </c>
      <c r="J2310">
        <v>1325.2456055</v>
      </c>
      <c r="K2310">
        <v>2400</v>
      </c>
      <c r="L2310">
        <v>0</v>
      </c>
      <c r="M2310">
        <v>0</v>
      </c>
      <c r="N2310">
        <v>2400</v>
      </c>
    </row>
    <row r="2311" spans="1:14" x14ac:dyDescent="0.25">
      <c r="A2311">
        <v>1464.5774919999999</v>
      </c>
      <c r="B2311" s="1">
        <f>DATE(2014,5,4) + TIME(13,51,35)</f>
        <v>41763.577488425923</v>
      </c>
      <c r="C2311">
        <v>80</v>
      </c>
      <c r="D2311">
        <v>79.976333617999998</v>
      </c>
      <c r="E2311">
        <v>50</v>
      </c>
      <c r="F2311">
        <v>49.765987396</v>
      </c>
      <c r="G2311">
        <v>1340.0240478999999</v>
      </c>
      <c r="H2311">
        <v>1337.3337402</v>
      </c>
      <c r="I2311">
        <v>1327.0245361</v>
      </c>
      <c r="J2311">
        <v>1325.2449951000001</v>
      </c>
      <c r="K2311">
        <v>2400</v>
      </c>
      <c r="L2311">
        <v>0</v>
      </c>
      <c r="M2311">
        <v>0</v>
      </c>
      <c r="N2311">
        <v>2400</v>
      </c>
    </row>
    <row r="2312" spans="1:14" x14ac:dyDescent="0.25">
      <c r="A2312">
        <v>1464.7064949999999</v>
      </c>
      <c r="B2312" s="1">
        <f>DATE(2014,5,4) + TIME(16,57,21)</f>
        <v>41763.706493055557</v>
      </c>
      <c r="C2312">
        <v>80</v>
      </c>
      <c r="D2312">
        <v>79.977279663000004</v>
      </c>
      <c r="E2312">
        <v>50</v>
      </c>
      <c r="F2312">
        <v>49.759788512999997</v>
      </c>
      <c r="G2312">
        <v>1340.0240478999999</v>
      </c>
      <c r="H2312">
        <v>1337.3355713000001</v>
      </c>
      <c r="I2312">
        <v>1327.0239257999999</v>
      </c>
      <c r="J2312">
        <v>1325.2442627</v>
      </c>
      <c r="K2312">
        <v>2400</v>
      </c>
      <c r="L2312">
        <v>0</v>
      </c>
      <c r="M2312">
        <v>0</v>
      </c>
      <c r="N2312">
        <v>2400</v>
      </c>
    </row>
    <row r="2313" spans="1:14" x14ac:dyDescent="0.25">
      <c r="A2313">
        <v>1464.8391770000001</v>
      </c>
      <c r="B2313" s="1">
        <f>DATE(2014,5,4) + TIME(20,8,24)</f>
        <v>41763.839166666665</v>
      </c>
      <c r="C2313">
        <v>80</v>
      </c>
      <c r="D2313">
        <v>79.978019713999998</v>
      </c>
      <c r="E2313">
        <v>50</v>
      </c>
      <c r="F2313">
        <v>49.753448486000003</v>
      </c>
      <c r="G2313">
        <v>1340.0236815999999</v>
      </c>
      <c r="H2313">
        <v>1337.3370361</v>
      </c>
      <c r="I2313">
        <v>1327.0234375</v>
      </c>
      <c r="J2313">
        <v>1325.2435303</v>
      </c>
      <c r="K2313">
        <v>2400</v>
      </c>
      <c r="L2313">
        <v>0</v>
      </c>
      <c r="M2313">
        <v>0</v>
      </c>
      <c r="N2313">
        <v>2400</v>
      </c>
    </row>
    <row r="2314" spans="1:14" x14ac:dyDescent="0.25">
      <c r="A2314">
        <v>1464.975913</v>
      </c>
      <c r="B2314" s="1">
        <f>DATE(2014,5,4) + TIME(23,25,18)</f>
        <v>41763.975902777776</v>
      </c>
      <c r="C2314">
        <v>80</v>
      </c>
      <c r="D2314">
        <v>79.978584290000001</v>
      </c>
      <c r="E2314">
        <v>50</v>
      </c>
      <c r="F2314">
        <v>49.746959685999997</v>
      </c>
      <c r="G2314">
        <v>1340.0225829999999</v>
      </c>
      <c r="H2314">
        <v>1337.3381348</v>
      </c>
      <c r="I2314">
        <v>1327.0228271000001</v>
      </c>
      <c r="J2314">
        <v>1325.2426757999999</v>
      </c>
      <c r="K2314">
        <v>2400</v>
      </c>
      <c r="L2314">
        <v>0</v>
      </c>
      <c r="M2314">
        <v>0</v>
      </c>
      <c r="N2314">
        <v>2400</v>
      </c>
    </row>
    <row r="2315" spans="1:14" x14ac:dyDescent="0.25">
      <c r="A2315">
        <v>1465.1171750000001</v>
      </c>
      <c r="B2315" s="1">
        <f>DATE(2014,5,5) + TIME(2,48,43)</f>
        <v>41764.117164351854</v>
      </c>
      <c r="C2315">
        <v>80</v>
      </c>
      <c r="D2315">
        <v>79.979026794000006</v>
      </c>
      <c r="E2315">
        <v>50</v>
      </c>
      <c r="F2315">
        <v>49.740299225000001</v>
      </c>
      <c r="G2315">
        <v>1340.0211182</v>
      </c>
      <c r="H2315">
        <v>1337.3389893000001</v>
      </c>
      <c r="I2315">
        <v>1327.0220947</v>
      </c>
      <c r="J2315">
        <v>1325.2418213000001</v>
      </c>
      <c r="K2315">
        <v>2400</v>
      </c>
      <c r="L2315">
        <v>0</v>
      </c>
      <c r="M2315">
        <v>0</v>
      </c>
      <c r="N2315">
        <v>2400</v>
      </c>
    </row>
    <row r="2316" spans="1:14" x14ac:dyDescent="0.25">
      <c r="A2316">
        <v>1465.2638159999999</v>
      </c>
      <c r="B2316" s="1">
        <f>DATE(2014,5,5) + TIME(6,19,53)</f>
        <v>41764.263807870368</v>
      </c>
      <c r="C2316">
        <v>80</v>
      </c>
      <c r="D2316">
        <v>79.979370117000002</v>
      </c>
      <c r="E2316">
        <v>50</v>
      </c>
      <c r="F2316">
        <v>49.73343277</v>
      </c>
      <c r="G2316">
        <v>1340.019043</v>
      </c>
      <c r="H2316">
        <v>1337.3395995999999</v>
      </c>
      <c r="I2316">
        <v>1327.0214844</v>
      </c>
      <c r="J2316">
        <v>1325.2409668</v>
      </c>
      <c r="K2316">
        <v>2400</v>
      </c>
      <c r="L2316">
        <v>0</v>
      </c>
      <c r="M2316">
        <v>0</v>
      </c>
      <c r="N2316">
        <v>2400</v>
      </c>
    </row>
    <row r="2317" spans="1:14" x14ac:dyDescent="0.25">
      <c r="A2317">
        <v>1465.4158910000001</v>
      </c>
      <c r="B2317" s="1">
        <f>DATE(2014,5,5) + TIME(9,58,53)</f>
        <v>41764.415891203702</v>
      </c>
      <c r="C2317">
        <v>80</v>
      </c>
      <c r="D2317">
        <v>79.979637146000002</v>
      </c>
      <c r="E2317">
        <v>50</v>
      </c>
      <c r="F2317">
        <v>49.726364136000001</v>
      </c>
      <c r="G2317">
        <v>1340.0166016000001</v>
      </c>
      <c r="H2317">
        <v>1337.3399658000001</v>
      </c>
      <c r="I2317">
        <v>1327.0207519999999</v>
      </c>
      <c r="J2317">
        <v>1325.2401123</v>
      </c>
      <c r="K2317">
        <v>2400</v>
      </c>
      <c r="L2317">
        <v>0</v>
      </c>
      <c r="M2317">
        <v>0</v>
      </c>
      <c r="N2317">
        <v>2400</v>
      </c>
    </row>
    <row r="2318" spans="1:14" x14ac:dyDescent="0.25">
      <c r="A2318">
        <v>1465.5720670000001</v>
      </c>
      <c r="B2318" s="1">
        <f>DATE(2014,5,5) + TIME(13,43,46)</f>
        <v>41764.572060185186</v>
      </c>
      <c r="C2318">
        <v>80</v>
      </c>
      <c r="D2318">
        <v>79.979835510000001</v>
      </c>
      <c r="E2318">
        <v>50</v>
      </c>
      <c r="F2318">
        <v>49.719142914000003</v>
      </c>
      <c r="G2318">
        <v>1340.0136719</v>
      </c>
      <c r="H2318">
        <v>1337.3400879000001</v>
      </c>
      <c r="I2318">
        <v>1327.0200195</v>
      </c>
      <c r="J2318">
        <v>1325.2391356999999</v>
      </c>
      <c r="K2318">
        <v>2400</v>
      </c>
      <c r="L2318">
        <v>0</v>
      </c>
      <c r="M2318">
        <v>0</v>
      </c>
      <c r="N2318">
        <v>2400</v>
      </c>
    </row>
    <row r="2319" spans="1:14" x14ac:dyDescent="0.25">
      <c r="A2319">
        <v>1465.732816</v>
      </c>
      <c r="B2319" s="1">
        <f>DATE(2014,5,5) + TIME(17,35,15)</f>
        <v>41764.732812499999</v>
      </c>
      <c r="C2319">
        <v>80</v>
      </c>
      <c r="D2319">
        <v>79.979980468999997</v>
      </c>
      <c r="E2319">
        <v>50</v>
      </c>
      <c r="F2319">
        <v>49.711750031000001</v>
      </c>
      <c r="G2319">
        <v>1340.0100098</v>
      </c>
      <c r="H2319">
        <v>1337.3397216999999</v>
      </c>
      <c r="I2319">
        <v>1327.0192870999999</v>
      </c>
      <c r="J2319">
        <v>1325.2381591999999</v>
      </c>
      <c r="K2319">
        <v>2400</v>
      </c>
      <c r="L2319">
        <v>0</v>
      </c>
      <c r="M2319">
        <v>0</v>
      </c>
      <c r="N2319">
        <v>2400</v>
      </c>
    </row>
    <row r="2320" spans="1:14" x14ac:dyDescent="0.25">
      <c r="A2320">
        <v>1465.8986150000001</v>
      </c>
      <c r="B2320" s="1">
        <f>DATE(2014,5,5) + TIME(21,34,0)</f>
        <v>41764.898611111108</v>
      </c>
      <c r="C2320">
        <v>80</v>
      </c>
      <c r="D2320">
        <v>79.980094910000005</v>
      </c>
      <c r="E2320">
        <v>50</v>
      </c>
      <c r="F2320">
        <v>49.704170226999999</v>
      </c>
      <c r="G2320">
        <v>1340.0048827999999</v>
      </c>
      <c r="H2320">
        <v>1337.338501</v>
      </c>
      <c r="I2320">
        <v>1327.0184326000001</v>
      </c>
      <c r="J2320">
        <v>1325.2370605000001</v>
      </c>
      <c r="K2320">
        <v>2400</v>
      </c>
      <c r="L2320">
        <v>0</v>
      </c>
      <c r="M2320">
        <v>0</v>
      </c>
      <c r="N2320">
        <v>2400</v>
      </c>
    </row>
    <row r="2321" spans="1:14" x14ac:dyDescent="0.25">
      <c r="A2321">
        <v>1466.070046</v>
      </c>
      <c r="B2321" s="1">
        <f>DATE(2014,5,6) + TIME(1,40,51)</f>
        <v>41765.070034722223</v>
      </c>
      <c r="C2321">
        <v>80</v>
      </c>
      <c r="D2321">
        <v>79.980171204000001</v>
      </c>
      <c r="E2321">
        <v>50</v>
      </c>
      <c r="F2321">
        <v>49.696388245000001</v>
      </c>
      <c r="G2321">
        <v>1339.9996338000001</v>
      </c>
      <c r="H2321">
        <v>1337.3371582</v>
      </c>
      <c r="I2321">
        <v>1327.0175781</v>
      </c>
      <c r="J2321">
        <v>1325.2359618999999</v>
      </c>
      <c r="K2321">
        <v>2400</v>
      </c>
      <c r="L2321">
        <v>0</v>
      </c>
      <c r="M2321">
        <v>0</v>
      </c>
      <c r="N2321">
        <v>2400</v>
      </c>
    </row>
    <row r="2322" spans="1:14" x14ac:dyDescent="0.25">
      <c r="A2322">
        <v>1466.247212</v>
      </c>
      <c r="B2322" s="1">
        <f>DATE(2014,5,6) + TIME(5,55,59)</f>
        <v>41765.247210648151</v>
      </c>
      <c r="C2322">
        <v>80</v>
      </c>
      <c r="D2322">
        <v>79.980232239000003</v>
      </c>
      <c r="E2322">
        <v>50</v>
      </c>
      <c r="F2322">
        <v>49.688392639</v>
      </c>
      <c r="G2322">
        <v>1339.9941406</v>
      </c>
      <c r="H2322">
        <v>1337.3356934000001</v>
      </c>
      <c r="I2322">
        <v>1327.0167236</v>
      </c>
      <c r="J2322">
        <v>1325.2348632999999</v>
      </c>
      <c r="K2322">
        <v>2400</v>
      </c>
      <c r="L2322">
        <v>0</v>
      </c>
      <c r="M2322">
        <v>0</v>
      </c>
      <c r="N2322">
        <v>2400</v>
      </c>
    </row>
    <row r="2323" spans="1:14" x14ac:dyDescent="0.25">
      <c r="A2323">
        <v>1466.427514</v>
      </c>
      <c r="B2323" s="1">
        <f>DATE(2014,5,6) + TIME(10,15,37)</f>
        <v>41765.427511574075</v>
      </c>
      <c r="C2323">
        <v>80</v>
      </c>
      <c r="D2323">
        <v>79.980270386000001</v>
      </c>
      <c r="E2323">
        <v>50</v>
      </c>
      <c r="F2323">
        <v>49.680286406999997</v>
      </c>
      <c r="G2323">
        <v>1339.9884033000001</v>
      </c>
      <c r="H2323">
        <v>1337.3342285000001</v>
      </c>
      <c r="I2323">
        <v>1327.0157471</v>
      </c>
      <c r="J2323">
        <v>1325.2336425999999</v>
      </c>
      <c r="K2323">
        <v>2400</v>
      </c>
      <c r="L2323">
        <v>0</v>
      </c>
      <c r="M2323">
        <v>0</v>
      </c>
      <c r="N2323">
        <v>2400</v>
      </c>
    </row>
    <row r="2324" spans="1:14" x14ac:dyDescent="0.25">
      <c r="A2324">
        <v>1466.611541</v>
      </c>
      <c r="B2324" s="1">
        <f>DATE(2014,5,6) + TIME(14,40,37)</f>
        <v>41765.611539351848</v>
      </c>
      <c r="C2324">
        <v>80</v>
      </c>
      <c r="D2324">
        <v>79.980293274000005</v>
      </c>
      <c r="E2324">
        <v>50</v>
      </c>
      <c r="F2324">
        <v>49.672050476000003</v>
      </c>
      <c r="G2324">
        <v>1339.9825439000001</v>
      </c>
      <c r="H2324">
        <v>1337.3326416</v>
      </c>
      <c r="I2324">
        <v>1327.0147704999999</v>
      </c>
      <c r="J2324">
        <v>1325.2324219</v>
      </c>
      <c r="K2324">
        <v>2400</v>
      </c>
      <c r="L2324">
        <v>0</v>
      </c>
      <c r="M2324">
        <v>0</v>
      </c>
      <c r="N2324">
        <v>2400</v>
      </c>
    </row>
    <row r="2325" spans="1:14" x14ac:dyDescent="0.25">
      <c r="A2325">
        <v>1466.7983529999999</v>
      </c>
      <c r="B2325" s="1">
        <f>DATE(2014,5,6) + TIME(19,9,37)</f>
        <v>41765.798344907409</v>
      </c>
      <c r="C2325">
        <v>80</v>
      </c>
      <c r="D2325">
        <v>79.980308532999999</v>
      </c>
      <c r="E2325">
        <v>50</v>
      </c>
      <c r="F2325">
        <v>49.663719176999997</v>
      </c>
      <c r="G2325">
        <v>1339.9765625</v>
      </c>
      <c r="H2325">
        <v>1337.3309326000001</v>
      </c>
      <c r="I2325">
        <v>1327.0139160000001</v>
      </c>
      <c r="J2325">
        <v>1325.2312012</v>
      </c>
      <c r="K2325">
        <v>2400</v>
      </c>
      <c r="L2325">
        <v>0</v>
      </c>
      <c r="M2325">
        <v>0</v>
      </c>
      <c r="N2325">
        <v>2400</v>
      </c>
    </row>
    <row r="2326" spans="1:14" x14ac:dyDescent="0.25">
      <c r="A2326">
        <v>1466.9884959999999</v>
      </c>
      <c r="B2326" s="1">
        <f>DATE(2014,5,6) + TIME(23,43,26)</f>
        <v>41765.988495370373</v>
      </c>
      <c r="C2326">
        <v>80</v>
      </c>
      <c r="D2326">
        <v>79.980308532999999</v>
      </c>
      <c r="E2326">
        <v>50</v>
      </c>
      <c r="F2326">
        <v>49.655277251999998</v>
      </c>
      <c r="G2326">
        <v>1339.9704589999999</v>
      </c>
      <c r="H2326">
        <v>1337.3293457</v>
      </c>
      <c r="I2326">
        <v>1327.0128173999999</v>
      </c>
      <c r="J2326">
        <v>1325.2298584</v>
      </c>
      <c r="K2326">
        <v>2400</v>
      </c>
      <c r="L2326">
        <v>0</v>
      </c>
      <c r="M2326">
        <v>0</v>
      </c>
      <c r="N2326">
        <v>2400</v>
      </c>
    </row>
    <row r="2327" spans="1:14" x14ac:dyDescent="0.25">
      <c r="A2327">
        <v>1467.1825120000001</v>
      </c>
      <c r="B2327" s="1">
        <f>DATE(2014,5,7) + TIME(4,22,49)</f>
        <v>41766.182511574072</v>
      </c>
      <c r="C2327">
        <v>80</v>
      </c>
      <c r="D2327">
        <v>79.980308532999999</v>
      </c>
      <c r="E2327">
        <v>50</v>
      </c>
      <c r="F2327">
        <v>49.646709442000002</v>
      </c>
      <c r="G2327">
        <v>1339.9643555</v>
      </c>
      <c r="H2327">
        <v>1337.3276367000001</v>
      </c>
      <c r="I2327">
        <v>1327.0118408000001</v>
      </c>
      <c r="J2327">
        <v>1325.2286377</v>
      </c>
      <c r="K2327">
        <v>2400</v>
      </c>
      <c r="L2327">
        <v>0</v>
      </c>
      <c r="M2327">
        <v>0</v>
      </c>
      <c r="N2327">
        <v>2400</v>
      </c>
    </row>
    <row r="2328" spans="1:14" x14ac:dyDescent="0.25">
      <c r="A2328">
        <v>1467.380977</v>
      </c>
      <c r="B2328" s="1">
        <f>DATE(2014,5,7) + TIME(9,8,36)</f>
        <v>41766.380972222221</v>
      </c>
      <c r="C2328">
        <v>80</v>
      </c>
      <c r="D2328">
        <v>79.980300903</v>
      </c>
      <c r="E2328">
        <v>50</v>
      </c>
      <c r="F2328">
        <v>49.637996674</v>
      </c>
      <c r="G2328">
        <v>1339.9581298999999</v>
      </c>
      <c r="H2328">
        <v>1337.3259277</v>
      </c>
      <c r="I2328">
        <v>1327.0107422000001</v>
      </c>
      <c r="J2328">
        <v>1325.2271728999999</v>
      </c>
      <c r="K2328">
        <v>2400</v>
      </c>
      <c r="L2328">
        <v>0</v>
      </c>
      <c r="M2328">
        <v>0</v>
      </c>
      <c r="N2328">
        <v>2400</v>
      </c>
    </row>
    <row r="2329" spans="1:14" x14ac:dyDescent="0.25">
      <c r="A2329">
        <v>1467.584511</v>
      </c>
      <c r="B2329" s="1">
        <f>DATE(2014,5,7) + TIME(14,1,41)</f>
        <v>41766.584502314814</v>
      </c>
      <c r="C2329">
        <v>80</v>
      </c>
      <c r="D2329">
        <v>79.980285644999995</v>
      </c>
      <c r="E2329">
        <v>50</v>
      </c>
      <c r="F2329">
        <v>49.629116058000001</v>
      </c>
      <c r="G2329">
        <v>1339.9519043</v>
      </c>
      <c r="H2329">
        <v>1337.3240966999999</v>
      </c>
      <c r="I2329">
        <v>1327.0096435999999</v>
      </c>
      <c r="J2329">
        <v>1325.2257079999999</v>
      </c>
      <c r="K2329">
        <v>2400</v>
      </c>
      <c r="L2329">
        <v>0</v>
      </c>
      <c r="M2329">
        <v>0</v>
      </c>
      <c r="N2329">
        <v>2400</v>
      </c>
    </row>
    <row r="2330" spans="1:14" x14ac:dyDescent="0.25">
      <c r="A2330">
        <v>1467.7945830000001</v>
      </c>
      <c r="B2330" s="1">
        <f>DATE(2014,5,7) + TIME(19,4,12)</f>
        <v>41766.794583333336</v>
      </c>
      <c r="C2330">
        <v>80</v>
      </c>
      <c r="D2330">
        <v>79.980270386000001</v>
      </c>
      <c r="E2330">
        <v>50</v>
      </c>
      <c r="F2330">
        <v>49.620018004999999</v>
      </c>
      <c r="G2330">
        <v>1339.9455565999999</v>
      </c>
      <c r="H2330">
        <v>1337.3223877</v>
      </c>
      <c r="I2330">
        <v>1327.0085449000001</v>
      </c>
      <c r="J2330">
        <v>1325.2242432</v>
      </c>
      <c r="K2330">
        <v>2400</v>
      </c>
      <c r="L2330">
        <v>0</v>
      </c>
      <c r="M2330">
        <v>0</v>
      </c>
      <c r="N2330">
        <v>2400</v>
      </c>
    </row>
    <row r="2331" spans="1:14" x14ac:dyDescent="0.25">
      <c r="A2331">
        <v>1468.0081809999999</v>
      </c>
      <c r="B2331" s="1">
        <f>DATE(2014,5,8) + TIME(0,11,46)</f>
        <v>41767.008171296293</v>
      </c>
      <c r="C2331">
        <v>80</v>
      </c>
      <c r="D2331">
        <v>79.980247497999997</v>
      </c>
      <c r="E2331">
        <v>50</v>
      </c>
      <c r="F2331">
        <v>49.610805511000002</v>
      </c>
      <c r="G2331">
        <v>1339.9389647999999</v>
      </c>
      <c r="H2331">
        <v>1337.3205565999999</v>
      </c>
      <c r="I2331">
        <v>1327.0073242000001</v>
      </c>
      <c r="J2331">
        <v>1325.2227783000001</v>
      </c>
      <c r="K2331">
        <v>2400</v>
      </c>
      <c r="L2331">
        <v>0</v>
      </c>
      <c r="M2331">
        <v>0</v>
      </c>
      <c r="N2331">
        <v>2400</v>
      </c>
    </row>
    <row r="2332" spans="1:14" x14ac:dyDescent="0.25">
      <c r="A2332">
        <v>1468.224438</v>
      </c>
      <c r="B2332" s="1">
        <f>DATE(2014,5,8) + TIME(5,23,11)</f>
        <v>41767.224432870367</v>
      </c>
      <c r="C2332">
        <v>80</v>
      </c>
      <c r="D2332">
        <v>79.980224609000004</v>
      </c>
      <c r="E2332">
        <v>50</v>
      </c>
      <c r="F2332">
        <v>49.601516724</v>
      </c>
      <c r="G2332">
        <v>1339.9324951000001</v>
      </c>
      <c r="H2332">
        <v>1337.3187256000001</v>
      </c>
      <c r="I2332">
        <v>1327.0061035000001</v>
      </c>
      <c r="J2332">
        <v>1325.2210693</v>
      </c>
      <c r="K2332">
        <v>2400</v>
      </c>
      <c r="L2332">
        <v>0</v>
      </c>
      <c r="M2332">
        <v>0</v>
      </c>
      <c r="N2332">
        <v>2400</v>
      </c>
    </row>
    <row r="2333" spans="1:14" x14ac:dyDescent="0.25">
      <c r="A2333">
        <v>1468.443886</v>
      </c>
      <c r="B2333" s="1">
        <f>DATE(2014,5,8) + TIME(10,39,11)</f>
        <v>41767.443877314814</v>
      </c>
      <c r="C2333">
        <v>80</v>
      </c>
      <c r="D2333">
        <v>79.980201721</v>
      </c>
      <c r="E2333">
        <v>50</v>
      </c>
      <c r="F2333">
        <v>49.592132567999997</v>
      </c>
      <c r="G2333">
        <v>1339.9260254000001</v>
      </c>
      <c r="H2333">
        <v>1337.3170166</v>
      </c>
      <c r="I2333">
        <v>1327.0048827999999</v>
      </c>
      <c r="J2333">
        <v>1325.2194824000001</v>
      </c>
      <c r="K2333">
        <v>2400</v>
      </c>
      <c r="L2333">
        <v>0</v>
      </c>
      <c r="M2333">
        <v>0</v>
      </c>
      <c r="N2333">
        <v>2400</v>
      </c>
    </row>
    <row r="2334" spans="1:14" x14ac:dyDescent="0.25">
      <c r="A2334">
        <v>1468.667066</v>
      </c>
      <c r="B2334" s="1">
        <f>DATE(2014,5,8) + TIME(16,0,34)</f>
        <v>41767.667060185187</v>
      </c>
      <c r="C2334">
        <v>80</v>
      </c>
      <c r="D2334">
        <v>79.980178832999997</v>
      </c>
      <c r="E2334">
        <v>50</v>
      </c>
      <c r="F2334">
        <v>49.582641602000002</v>
      </c>
      <c r="G2334">
        <v>1339.9195557</v>
      </c>
      <c r="H2334">
        <v>1337.3151855000001</v>
      </c>
      <c r="I2334">
        <v>1327.0036620999999</v>
      </c>
      <c r="J2334">
        <v>1325.2177733999999</v>
      </c>
      <c r="K2334">
        <v>2400</v>
      </c>
      <c r="L2334">
        <v>0</v>
      </c>
      <c r="M2334">
        <v>0</v>
      </c>
      <c r="N2334">
        <v>2400</v>
      </c>
    </row>
    <row r="2335" spans="1:14" x14ac:dyDescent="0.25">
      <c r="A2335">
        <v>1468.8945510000001</v>
      </c>
      <c r="B2335" s="1">
        <f>DATE(2014,5,8) + TIME(21,28,9)</f>
        <v>41767.894548611112</v>
      </c>
      <c r="C2335">
        <v>80</v>
      </c>
      <c r="D2335">
        <v>79.980148314999994</v>
      </c>
      <c r="E2335">
        <v>50</v>
      </c>
      <c r="F2335">
        <v>49.573020935000002</v>
      </c>
      <c r="G2335">
        <v>1339.9130858999999</v>
      </c>
      <c r="H2335">
        <v>1337.3133545000001</v>
      </c>
      <c r="I2335">
        <v>1327.0023193</v>
      </c>
      <c r="J2335">
        <v>1325.2160644999999</v>
      </c>
      <c r="K2335">
        <v>2400</v>
      </c>
      <c r="L2335">
        <v>0</v>
      </c>
      <c r="M2335">
        <v>0</v>
      </c>
      <c r="N2335">
        <v>2400</v>
      </c>
    </row>
    <row r="2336" spans="1:14" x14ac:dyDescent="0.25">
      <c r="A2336">
        <v>1469.1269500000001</v>
      </c>
      <c r="B2336" s="1">
        <f>DATE(2014,5,9) + TIME(3,2,48)</f>
        <v>41768.126944444448</v>
      </c>
      <c r="C2336">
        <v>80</v>
      </c>
      <c r="D2336">
        <v>79.980117797999995</v>
      </c>
      <c r="E2336">
        <v>50</v>
      </c>
      <c r="F2336">
        <v>49.563255310000002</v>
      </c>
      <c r="G2336">
        <v>1339.9066161999999</v>
      </c>
      <c r="H2336">
        <v>1337.3116454999999</v>
      </c>
      <c r="I2336">
        <v>1327.0008545000001</v>
      </c>
      <c r="J2336">
        <v>1325.2142334</v>
      </c>
      <c r="K2336">
        <v>2400</v>
      </c>
      <c r="L2336">
        <v>0</v>
      </c>
      <c r="M2336">
        <v>0</v>
      </c>
      <c r="N2336">
        <v>2400</v>
      </c>
    </row>
    <row r="2337" spans="1:14" x14ac:dyDescent="0.25">
      <c r="A2337">
        <v>1469.364922</v>
      </c>
      <c r="B2337" s="1">
        <f>DATE(2014,5,9) + TIME(8,45,29)</f>
        <v>41768.364918981482</v>
      </c>
      <c r="C2337">
        <v>80</v>
      </c>
      <c r="D2337">
        <v>79.980087280000006</v>
      </c>
      <c r="E2337">
        <v>50</v>
      </c>
      <c r="F2337">
        <v>49.553325653000002</v>
      </c>
      <c r="G2337">
        <v>1339.9001464999999</v>
      </c>
      <c r="H2337">
        <v>1337.3098144999999</v>
      </c>
      <c r="I2337">
        <v>1326.9995117000001</v>
      </c>
      <c r="J2337">
        <v>1325.2122803</v>
      </c>
      <c r="K2337">
        <v>2400</v>
      </c>
      <c r="L2337">
        <v>0</v>
      </c>
      <c r="M2337">
        <v>0</v>
      </c>
      <c r="N2337">
        <v>2400</v>
      </c>
    </row>
    <row r="2338" spans="1:14" x14ac:dyDescent="0.25">
      <c r="A2338">
        <v>1469.6091839999999</v>
      </c>
      <c r="B2338" s="1">
        <f>DATE(2014,5,9) + TIME(14,37,13)</f>
        <v>41768.609178240738</v>
      </c>
      <c r="C2338">
        <v>80</v>
      </c>
      <c r="D2338">
        <v>79.980056762999993</v>
      </c>
      <c r="E2338">
        <v>50</v>
      </c>
      <c r="F2338">
        <v>49.543209075999997</v>
      </c>
      <c r="G2338">
        <v>1339.8935547000001</v>
      </c>
      <c r="H2338">
        <v>1337.3081055</v>
      </c>
      <c r="I2338">
        <v>1326.9980469</v>
      </c>
      <c r="J2338">
        <v>1325.2103271000001</v>
      </c>
      <c r="K2338">
        <v>2400</v>
      </c>
      <c r="L2338">
        <v>0</v>
      </c>
      <c r="M2338">
        <v>0</v>
      </c>
      <c r="N2338">
        <v>2400</v>
      </c>
    </row>
    <row r="2339" spans="1:14" x14ac:dyDescent="0.25">
      <c r="A2339">
        <v>1469.860551</v>
      </c>
      <c r="B2339" s="1">
        <f>DATE(2014,5,9) + TIME(20,39,11)</f>
        <v>41768.860543981478</v>
      </c>
      <c r="C2339">
        <v>80</v>
      </c>
      <c r="D2339">
        <v>79.980026245000005</v>
      </c>
      <c r="E2339">
        <v>50</v>
      </c>
      <c r="F2339">
        <v>49.532875060999999</v>
      </c>
      <c r="G2339">
        <v>1339.8869629000001</v>
      </c>
      <c r="H2339">
        <v>1337.3062743999999</v>
      </c>
      <c r="I2339">
        <v>1326.9964600000001</v>
      </c>
      <c r="J2339">
        <v>1325.2082519999999</v>
      </c>
      <c r="K2339">
        <v>2400</v>
      </c>
      <c r="L2339">
        <v>0</v>
      </c>
      <c r="M2339">
        <v>0</v>
      </c>
      <c r="N2339">
        <v>2400</v>
      </c>
    </row>
    <row r="2340" spans="1:14" x14ac:dyDescent="0.25">
      <c r="A2340">
        <v>1470.1160030000001</v>
      </c>
      <c r="B2340" s="1">
        <f>DATE(2014,5,10) + TIME(2,47,2)</f>
        <v>41769.115995370368</v>
      </c>
      <c r="C2340">
        <v>80</v>
      </c>
      <c r="D2340">
        <v>79.979995728000006</v>
      </c>
      <c r="E2340">
        <v>50</v>
      </c>
      <c r="F2340">
        <v>49.522422790999997</v>
      </c>
      <c r="G2340">
        <v>1339.8803711</v>
      </c>
      <c r="H2340">
        <v>1337.3045654</v>
      </c>
      <c r="I2340">
        <v>1326.9948730000001</v>
      </c>
      <c r="J2340">
        <v>1325.2061768000001</v>
      </c>
      <c r="K2340">
        <v>2400</v>
      </c>
      <c r="L2340">
        <v>0</v>
      </c>
      <c r="M2340">
        <v>0</v>
      </c>
      <c r="N2340">
        <v>2400</v>
      </c>
    </row>
    <row r="2341" spans="1:14" x14ac:dyDescent="0.25">
      <c r="A2341">
        <v>1470.376197</v>
      </c>
      <c r="B2341" s="1">
        <f>DATE(2014,5,10) + TIME(9,1,43)</f>
        <v>41769.376192129632</v>
      </c>
      <c r="C2341">
        <v>80</v>
      </c>
      <c r="D2341">
        <v>79.979957580999994</v>
      </c>
      <c r="E2341">
        <v>50</v>
      </c>
      <c r="F2341">
        <v>49.511833191000001</v>
      </c>
      <c r="G2341">
        <v>1339.8737793</v>
      </c>
      <c r="H2341">
        <v>1337.3028564000001</v>
      </c>
      <c r="I2341">
        <v>1326.9932861</v>
      </c>
      <c r="J2341">
        <v>1325.2039795000001</v>
      </c>
      <c r="K2341">
        <v>2400</v>
      </c>
      <c r="L2341">
        <v>0</v>
      </c>
      <c r="M2341">
        <v>0</v>
      </c>
      <c r="N2341">
        <v>2400</v>
      </c>
    </row>
    <row r="2342" spans="1:14" x14ac:dyDescent="0.25">
      <c r="A2342">
        <v>1470.64176</v>
      </c>
      <c r="B2342" s="1">
        <f>DATE(2014,5,10) + TIME(15,24,8)</f>
        <v>41769.641759259262</v>
      </c>
      <c r="C2342">
        <v>80</v>
      </c>
      <c r="D2342">
        <v>79.979927063000005</v>
      </c>
      <c r="E2342">
        <v>50</v>
      </c>
      <c r="F2342">
        <v>49.501094817999999</v>
      </c>
      <c r="G2342">
        <v>1339.8671875</v>
      </c>
      <c r="H2342">
        <v>1337.3010254000001</v>
      </c>
      <c r="I2342">
        <v>1326.9915771000001</v>
      </c>
      <c r="J2342">
        <v>1325.2016602000001</v>
      </c>
      <c r="K2342">
        <v>2400</v>
      </c>
      <c r="L2342">
        <v>0</v>
      </c>
      <c r="M2342">
        <v>0</v>
      </c>
      <c r="N2342">
        <v>2400</v>
      </c>
    </row>
    <row r="2343" spans="1:14" x14ac:dyDescent="0.25">
      <c r="A2343">
        <v>1470.9133589999999</v>
      </c>
      <c r="B2343" s="1">
        <f>DATE(2014,5,10) + TIME(21,55,14)</f>
        <v>41769.913356481484</v>
      </c>
      <c r="C2343">
        <v>80</v>
      </c>
      <c r="D2343">
        <v>79.979888915999993</v>
      </c>
      <c r="E2343">
        <v>50</v>
      </c>
      <c r="F2343">
        <v>49.490180969000001</v>
      </c>
      <c r="G2343">
        <v>1339.8605957</v>
      </c>
      <c r="H2343">
        <v>1337.2993164</v>
      </c>
      <c r="I2343">
        <v>1326.9898682</v>
      </c>
      <c r="J2343">
        <v>1325.1993408000001</v>
      </c>
      <c r="K2343">
        <v>2400</v>
      </c>
      <c r="L2343">
        <v>0</v>
      </c>
      <c r="M2343">
        <v>0</v>
      </c>
      <c r="N2343">
        <v>2400</v>
      </c>
    </row>
    <row r="2344" spans="1:14" x14ac:dyDescent="0.25">
      <c r="A2344">
        <v>1471.191734</v>
      </c>
      <c r="B2344" s="1">
        <f>DATE(2014,5,11) + TIME(4,36,5)</f>
        <v>41770.191724537035</v>
      </c>
      <c r="C2344">
        <v>80</v>
      </c>
      <c r="D2344">
        <v>79.979850768999995</v>
      </c>
      <c r="E2344">
        <v>50</v>
      </c>
      <c r="F2344">
        <v>49.479076384999999</v>
      </c>
      <c r="G2344">
        <v>1339.8540039</v>
      </c>
      <c r="H2344">
        <v>1337.2977295000001</v>
      </c>
      <c r="I2344">
        <v>1326.9880370999999</v>
      </c>
      <c r="J2344">
        <v>1325.1968993999999</v>
      </c>
      <c r="K2344">
        <v>2400</v>
      </c>
      <c r="L2344">
        <v>0</v>
      </c>
      <c r="M2344">
        <v>0</v>
      </c>
      <c r="N2344">
        <v>2400</v>
      </c>
    </row>
    <row r="2345" spans="1:14" x14ac:dyDescent="0.25">
      <c r="A2345">
        <v>1471.4777039999999</v>
      </c>
      <c r="B2345" s="1">
        <f>DATE(2014,5,11) + TIME(11,27,53)</f>
        <v>41770.477696759262</v>
      </c>
      <c r="C2345">
        <v>80</v>
      </c>
      <c r="D2345">
        <v>79.979820251000007</v>
      </c>
      <c r="E2345">
        <v>50</v>
      </c>
      <c r="F2345">
        <v>49.467758179</v>
      </c>
      <c r="G2345">
        <v>1339.8472899999999</v>
      </c>
      <c r="H2345">
        <v>1337.2960204999999</v>
      </c>
      <c r="I2345">
        <v>1326.9860839999999</v>
      </c>
      <c r="J2345">
        <v>1325.1943358999999</v>
      </c>
      <c r="K2345">
        <v>2400</v>
      </c>
      <c r="L2345">
        <v>0</v>
      </c>
      <c r="M2345">
        <v>0</v>
      </c>
      <c r="N2345">
        <v>2400</v>
      </c>
    </row>
    <row r="2346" spans="1:14" x14ac:dyDescent="0.25">
      <c r="A2346">
        <v>1471.7721750000001</v>
      </c>
      <c r="B2346" s="1">
        <f>DATE(2014,5,11) + TIME(18,31,55)</f>
        <v>41770.772164351853</v>
      </c>
      <c r="C2346">
        <v>80</v>
      </c>
      <c r="D2346">
        <v>79.979782103999995</v>
      </c>
      <c r="E2346">
        <v>50</v>
      </c>
      <c r="F2346">
        <v>49.456192016999999</v>
      </c>
      <c r="G2346">
        <v>1339.8406981999999</v>
      </c>
      <c r="H2346">
        <v>1337.2943115</v>
      </c>
      <c r="I2346">
        <v>1326.9841309000001</v>
      </c>
      <c r="J2346">
        <v>1325.1916504000001</v>
      </c>
      <c r="K2346">
        <v>2400</v>
      </c>
      <c r="L2346">
        <v>0</v>
      </c>
      <c r="M2346">
        <v>0</v>
      </c>
      <c r="N2346">
        <v>2400</v>
      </c>
    </row>
    <row r="2347" spans="1:14" x14ac:dyDescent="0.25">
      <c r="A2347">
        <v>1472.0764380000001</v>
      </c>
      <c r="B2347" s="1">
        <f>DATE(2014,5,12) + TIME(1,50,4)</f>
        <v>41771.076435185183</v>
      </c>
      <c r="C2347">
        <v>80</v>
      </c>
      <c r="D2347">
        <v>79.979743958</v>
      </c>
      <c r="E2347">
        <v>50</v>
      </c>
      <c r="F2347">
        <v>49.444347381999997</v>
      </c>
      <c r="G2347">
        <v>1339.8339844</v>
      </c>
      <c r="H2347">
        <v>1337.2926024999999</v>
      </c>
      <c r="I2347">
        <v>1326.9820557</v>
      </c>
      <c r="J2347">
        <v>1325.1888428</v>
      </c>
      <c r="K2347">
        <v>2400</v>
      </c>
      <c r="L2347">
        <v>0</v>
      </c>
      <c r="M2347">
        <v>0</v>
      </c>
      <c r="N2347">
        <v>2400</v>
      </c>
    </row>
    <row r="2348" spans="1:14" x14ac:dyDescent="0.25">
      <c r="A2348">
        <v>1472.3915669999999</v>
      </c>
      <c r="B2348" s="1">
        <f>DATE(2014,5,12) + TIME(9,23,51)</f>
        <v>41771.391562500001</v>
      </c>
      <c r="C2348">
        <v>80</v>
      </c>
      <c r="D2348">
        <v>79.979705811000002</v>
      </c>
      <c r="E2348">
        <v>50</v>
      </c>
      <c r="F2348">
        <v>49.432189940999997</v>
      </c>
      <c r="G2348">
        <v>1339.8271483999999</v>
      </c>
      <c r="H2348">
        <v>1337.2910156</v>
      </c>
      <c r="I2348">
        <v>1326.9799805</v>
      </c>
      <c r="J2348">
        <v>1325.1859131000001</v>
      </c>
      <c r="K2348">
        <v>2400</v>
      </c>
      <c r="L2348">
        <v>0</v>
      </c>
      <c r="M2348">
        <v>0</v>
      </c>
      <c r="N2348">
        <v>2400</v>
      </c>
    </row>
    <row r="2349" spans="1:14" x14ac:dyDescent="0.25">
      <c r="A2349">
        <v>1472.713168</v>
      </c>
      <c r="B2349" s="1">
        <f>DATE(2014,5,12) + TIME(17,6,57)</f>
        <v>41771.713159722225</v>
      </c>
      <c r="C2349">
        <v>80</v>
      </c>
      <c r="D2349">
        <v>79.979667664000004</v>
      </c>
      <c r="E2349">
        <v>50</v>
      </c>
      <c r="F2349">
        <v>49.419837952000002</v>
      </c>
      <c r="G2349">
        <v>1339.8203125</v>
      </c>
      <c r="H2349">
        <v>1337.2893065999999</v>
      </c>
      <c r="I2349">
        <v>1326.9776611</v>
      </c>
      <c r="J2349">
        <v>1325.1827393000001</v>
      </c>
      <c r="K2349">
        <v>2400</v>
      </c>
      <c r="L2349">
        <v>0</v>
      </c>
      <c r="M2349">
        <v>0</v>
      </c>
      <c r="N2349">
        <v>2400</v>
      </c>
    </row>
    <row r="2350" spans="1:14" x14ac:dyDescent="0.25">
      <c r="A2350">
        <v>1473.0439200000001</v>
      </c>
      <c r="B2350" s="1">
        <f>DATE(2014,5,13) + TIME(1,3,14)</f>
        <v>41772.043912037036</v>
      </c>
      <c r="C2350">
        <v>80</v>
      </c>
      <c r="D2350">
        <v>79.979629517000006</v>
      </c>
      <c r="E2350">
        <v>50</v>
      </c>
      <c r="F2350">
        <v>49.407230376999998</v>
      </c>
      <c r="G2350">
        <v>1339.8135986</v>
      </c>
      <c r="H2350">
        <v>1337.2877197</v>
      </c>
      <c r="I2350">
        <v>1326.9753418</v>
      </c>
      <c r="J2350">
        <v>1325.1795654</v>
      </c>
      <c r="K2350">
        <v>2400</v>
      </c>
      <c r="L2350">
        <v>0</v>
      </c>
      <c r="M2350">
        <v>0</v>
      </c>
      <c r="N2350">
        <v>2400</v>
      </c>
    </row>
    <row r="2351" spans="1:14" x14ac:dyDescent="0.25">
      <c r="A2351">
        <v>1473.380854</v>
      </c>
      <c r="B2351" s="1">
        <f>DATE(2014,5,13) + TIME(9,8,25)</f>
        <v>41772.380844907406</v>
      </c>
      <c r="C2351">
        <v>80</v>
      </c>
      <c r="D2351">
        <v>79.979591369999994</v>
      </c>
      <c r="E2351">
        <v>50</v>
      </c>
      <c r="F2351">
        <v>49.394443512000002</v>
      </c>
      <c r="G2351">
        <v>1339.8066406</v>
      </c>
      <c r="H2351">
        <v>1337.2860106999999</v>
      </c>
      <c r="I2351">
        <v>1326.9729004000001</v>
      </c>
      <c r="J2351">
        <v>1325.1762695</v>
      </c>
      <c r="K2351">
        <v>2400</v>
      </c>
      <c r="L2351">
        <v>0</v>
      </c>
      <c r="M2351">
        <v>0</v>
      </c>
      <c r="N2351">
        <v>2400</v>
      </c>
    </row>
    <row r="2352" spans="1:14" x14ac:dyDescent="0.25">
      <c r="A2352">
        <v>1473.7210769999999</v>
      </c>
      <c r="B2352" s="1">
        <f>DATE(2014,5,13) + TIME(17,18,21)</f>
        <v>41772.721076388887</v>
      </c>
      <c r="C2352">
        <v>80</v>
      </c>
      <c r="D2352">
        <v>79.979553222999996</v>
      </c>
      <c r="E2352">
        <v>50</v>
      </c>
      <c r="F2352">
        <v>49.381568909000002</v>
      </c>
      <c r="G2352">
        <v>1339.7999268000001</v>
      </c>
      <c r="H2352">
        <v>1337.2844238</v>
      </c>
      <c r="I2352">
        <v>1326.9704589999999</v>
      </c>
      <c r="J2352">
        <v>1325.1727295000001</v>
      </c>
      <c r="K2352">
        <v>2400</v>
      </c>
      <c r="L2352">
        <v>0</v>
      </c>
      <c r="M2352">
        <v>0</v>
      </c>
      <c r="N2352">
        <v>2400</v>
      </c>
    </row>
    <row r="2353" spans="1:14" x14ac:dyDescent="0.25">
      <c r="A2353">
        <v>1474.065609</v>
      </c>
      <c r="B2353" s="1">
        <f>DATE(2014,5,14) + TIME(1,34,28)</f>
        <v>41773.065601851849</v>
      </c>
      <c r="C2353">
        <v>80</v>
      </c>
      <c r="D2353">
        <v>79.979515075999998</v>
      </c>
      <c r="E2353">
        <v>50</v>
      </c>
      <c r="F2353">
        <v>49.368595122999999</v>
      </c>
      <c r="G2353">
        <v>1339.7932129000001</v>
      </c>
      <c r="H2353">
        <v>1337.2828368999999</v>
      </c>
      <c r="I2353">
        <v>1326.9678954999999</v>
      </c>
      <c r="J2353">
        <v>1325.1691894999999</v>
      </c>
      <c r="K2353">
        <v>2400</v>
      </c>
      <c r="L2353">
        <v>0</v>
      </c>
      <c r="M2353">
        <v>0</v>
      </c>
      <c r="N2353">
        <v>2400</v>
      </c>
    </row>
    <row r="2354" spans="1:14" x14ac:dyDescent="0.25">
      <c r="A2354">
        <v>1474.4154559999999</v>
      </c>
      <c r="B2354" s="1">
        <f>DATE(2014,5,14) + TIME(9,58,15)</f>
        <v>41773.415451388886</v>
      </c>
      <c r="C2354">
        <v>80</v>
      </c>
      <c r="D2354">
        <v>79.979476929</v>
      </c>
      <c r="E2354">
        <v>50</v>
      </c>
      <c r="F2354">
        <v>49.355506896999998</v>
      </c>
      <c r="G2354">
        <v>1339.786499</v>
      </c>
      <c r="H2354">
        <v>1337.28125</v>
      </c>
      <c r="I2354">
        <v>1326.9652100000001</v>
      </c>
      <c r="J2354">
        <v>1325.1655272999999</v>
      </c>
      <c r="K2354">
        <v>2400</v>
      </c>
      <c r="L2354">
        <v>0</v>
      </c>
      <c r="M2354">
        <v>0</v>
      </c>
      <c r="N2354">
        <v>2400</v>
      </c>
    </row>
    <row r="2355" spans="1:14" x14ac:dyDescent="0.25">
      <c r="A2355">
        <v>1474.7716680000001</v>
      </c>
      <c r="B2355" s="1">
        <f>DATE(2014,5,14) + TIME(18,31,12)</f>
        <v>41773.771666666667</v>
      </c>
      <c r="C2355">
        <v>80</v>
      </c>
      <c r="D2355">
        <v>79.979438782000003</v>
      </c>
      <c r="E2355">
        <v>50</v>
      </c>
      <c r="F2355">
        <v>49.342273712000001</v>
      </c>
      <c r="G2355">
        <v>1339.7799072</v>
      </c>
      <c r="H2355">
        <v>1337.2797852000001</v>
      </c>
      <c r="I2355">
        <v>1326.9625243999999</v>
      </c>
      <c r="J2355">
        <v>1325.1617432</v>
      </c>
      <c r="K2355">
        <v>2400</v>
      </c>
      <c r="L2355">
        <v>0</v>
      </c>
      <c r="M2355">
        <v>0</v>
      </c>
      <c r="N2355">
        <v>2400</v>
      </c>
    </row>
    <row r="2356" spans="1:14" x14ac:dyDescent="0.25">
      <c r="A2356">
        <v>1475.1353610000001</v>
      </c>
      <c r="B2356" s="1">
        <f>DATE(2014,5,15) + TIME(3,14,55)</f>
        <v>41774.135358796295</v>
      </c>
      <c r="C2356">
        <v>80</v>
      </c>
      <c r="D2356">
        <v>79.979400635000005</v>
      </c>
      <c r="E2356">
        <v>50</v>
      </c>
      <c r="F2356">
        <v>49.328876495000003</v>
      </c>
      <c r="G2356">
        <v>1339.7734375</v>
      </c>
      <c r="H2356">
        <v>1337.2783202999999</v>
      </c>
      <c r="I2356">
        <v>1326.9597168</v>
      </c>
      <c r="J2356">
        <v>1325.1578368999999</v>
      </c>
      <c r="K2356">
        <v>2400</v>
      </c>
      <c r="L2356">
        <v>0</v>
      </c>
      <c r="M2356">
        <v>0</v>
      </c>
      <c r="N2356">
        <v>2400</v>
      </c>
    </row>
    <row r="2357" spans="1:14" x14ac:dyDescent="0.25">
      <c r="A2357">
        <v>1475.507327</v>
      </c>
      <c r="B2357" s="1">
        <f>DATE(2014,5,15) + TIME(12,10,33)</f>
        <v>41774.507326388892</v>
      </c>
      <c r="C2357">
        <v>80</v>
      </c>
      <c r="D2357">
        <v>79.979362488000007</v>
      </c>
      <c r="E2357">
        <v>50</v>
      </c>
      <c r="F2357">
        <v>49.315288543999998</v>
      </c>
      <c r="G2357">
        <v>1339.7668457</v>
      </c>
      <c r="H2357">
        <v>1337.2767334</v>
      </c>
      <c r="I2357">
        <v>1326.9567870999999</v>
      </c>
      <c r="J2357">
        <v>1325.1538086</v>
      </c>
      <c r="K2357">
        <v>2400</v>
      </c>
      <c r="L2357">
        <v>0</v>
      </c>
      <c r="M2357">
        <v>0</v>
      </c>
      <c r="N2357">
        <v>2400</v>
      </c>
    </row>
    <row r="2358" spans="1:14" x14ac:dyDescent="0.25">
      <c r="A2358">
        <v>1475.8886809999999</v>
      </c>
      <c r="B2358" s="1">
        <f>DATE(2014,5,15) + TIME(21,19,42)</f>
        <v>41774.888680555552</v>
      </c>
      <c r="C2358">
        <v>80</v>
      </c>
      <c r="D2358">
        <v>79.979324340999995</v>
      </c>
      <c r="E2358">
        <v>50</v>
      </c>
      <c r="F2358">
        <v>49.301483154000003</v>
      </c>
      <c r="G2358">
        <v>1339.760376</v>
      </c>
      <c r="H2358">
        <v>1337.2753906</v>
      </c>
      <c r="I2358">
        <v>1326.9537353999999</v>
      </c>
      <c r="J2358">
        <v>1325.1496582</v>
      </c>
      <c r="K2358">
        <v>2400</v>
      </c>
      <c r="L2358">
        <v>0</v>
      </c>
      <c r="M2358">
        <v>0</v>
      </c>
      <c r="N2358">
        <v>2400</v>
      </c>
    </row>
    <row r="2359" spans="1:14" x14ac:dyDescent="0.25">
      <c r="A2359">
        <v>1476.2832229999999</v>
      </c>
      <c r="B2359" s="1">
        <f>DATE(2014,5,16) + TIME(6,47,50)</f>
        <v>41775.283217592594</v>
      </c>
      <c r="C2359">
        <v>80</v>
      </c>
      <c r="D2359">
        <v>79.979286193999997</v>
      </c>
      <c r="E2359">
        <v>50</v>
      </c>
      <c r="F2359">
        <v>49.287364959999998</v>
      </c>
      <c r="G2359">
        <v>1339.7539062000001</v>
      </c>
      <c r="H2359">
        <v>1337.2739257999999</v>
      </c>
      <c r="I2359">
        <v>1326.9506836</v>
      </c>
      <c r="J2359">
        <v>1325.1452637</v>
      </c>
      <c r="K2359">
        <v>2400</v>
      </c>
      <c r="L2359">
        <v>0</v>
      </c>
      <c r="M2359">
        <v>0</v>
      </c>
      <c r="N2359">
        <v>2400</v>
      </c>
    </row>
    <row r="2360" spans="1:14" x14ac:dyDescent="0.25">
      <c r="A2360">
        <v>1476.692963</v>
      </c>
      <c r="B2360" s="1">
        <f>DATE(2014,5,16) + TIME(16,37,52)</f>
        <v>41775.692962962959</v>
      </c>
      <c r="C2360">
        <v>80</v>
      </c>
      <c r="D2360">
        <v>79.979248046999999</v>
      </c>
      <c r="E2360">
        <v>50</v>
      </c>
      <c r="F2360">
        <v>49.272872925000001</v>
      </c>
      <c r="G2360">
        <v>1339.7473144999999</v>
      </c>
      <c r="H2360">
        <v>1337.2724608999999</v>
      </c>
      <c r="I2360">
        <v>1326.9473877</v>
      </c>
      <c r="J2360">
        <v>1325.140625</v>
      </c>
      <c r="K2360">
        <v>2400</v>
      </c>
      <c r="L2360">
        <v>0</v>
      </c>
      <c r="M2360">
        <v>0</v>
      </c>
      <c r="N2360">
        <v>2400</v>
      </c>
    </row>
    <row r="2361" spans="1:14" x14ac:dyDescent="0.25">
      <c r="A2361">
        <v>1477.1067330000001</v>
      </c>
      <c r="B2361" s="1">
        <f>DATE(2014,5,17) + TIME(2,33,41)</f>
        <v>41776.106724537036</v>
      </c>
      <c r="C2361">
        <v>80</v>
      </c>
      <c r="D2361">
        <v>79.979209900000001</v>
      </c>
      <c r="E2361">
        <v>50</v>
      </c>
      <c r="F2361">
        <v>49.258262633999998</v>
      </c>
      <c r="G2361">
        <v>1339.7406006000001</v>
      </c>
      <c r="H2361">
        <v>1337.2709961</v>
      </c>
      <c r="I2361">
        <v>1326.9439697</v>
      </c>
      <c r="J2361">
        <v>1325.1358643000001</v>
      </c>
      <c r="K2361">
        <v>2400</v>
      </c>
      <c r="L2361">
        <v>0</v>
      </c>
      <c r="M2361">
        <v>0</v>
      </c>
      <c r="N2361">
        <v>2400</v>
      </c>
    </row>
    <row r="2362" spans="1:14" x14ac:dyDescent="0.25">
      <c r="A2362">
        <v>1477.524357</v>
      </c>
      <c r="B2362" s="1">
        <f>DATE(2014,5,17) + TIME(12,35,4)</f>
        <v>41776.524351851855</v>
      </c>
      <c r="C2362">
        <v>80</v>
      </c>
      <c r="D2362">
        <v>79.979171753000003</v>
      </c>
      <c r="E2362">
        <v>50</v>
      </c>
      <c r="F2362">
        <v>49.243560791</v>
      </c>
      <c r="G2362">
        <v>1339.7340088000001</v>
      </c>
      <c r="H2362">
        <v>1337.2696533000001</v>
      </c>
      <c r="I2362">
        <v>1326.9404297000001</v>
      </c>
      <c r="J2362">
        <v>1325.1309814000001</v>
      </c>
      <c r="K2362">
        <v>2400</v>
      </c>
      <c r="L2362">
        <v>0</v>
      </c>
      <c r="M2362">
        <v>0</v>
      </c>
      <c r="N2362">
        <v>2400</v>
      </c>
    </row>
    <row r="2363" spans="1:14" x14ac:dyDescent="0.25">
      <c r="A2363">
        <v>1477.9470229999999</v>
      </c>
      <c r="B2363" s="1">
        <f>DATE(2014,5,17) + TIME(22,43,42)</f>
        <v>41776.947013888886</v>
      </c>
      <c r="C2363">
        <v>80</v>
      </c>
      <c r="D2363">
        <v>79.979133606000005</v>
      </c>
      <c r="E2363">
        <v>50</v>
      </c>
      <c r="F2363">
        <v>49.228771209999998</v>
      </c>
      <c r="G2363">
        <v>1339.7276611</v>
      </c>
      <c r="H2363">
        <v>1337.2683105000001</v>
      </c>
      <c r="I2363">
        <v>1326.9368896000001</v>
      </c>
      <c r="J2363">
        <v>1325.1258545000001</v>
      </c>
      <c r="K2363">
        <v>2400</v>
      </c>
      <c r="L2363">
        <v>0</v>
      </c>
      <c r="M2363">
        <v>0</v>
      </c>
      <c r="N2363">
        <v>2400</v>
      </c>
    </row>
    <row r="2364" spans="1:14" x14ac:dyDescent="0.25">
      <c r="A2364">
        <v>1478.375716</v>
      </c>
      <c r="B2364" s="1">
        <f>DATE(2014,5,18) + TIME(9,1,1)</f>
        <v>41777.375706018516</v>
      </c>
      <c r="C2364">
        <v>80</v>
      </c>
      <c r="D2364">
        <v>79.979095459000007</v>
      </c>
      <c r="E2364">
        <v>50</v>
      </c>
      <c r="F2364">
        <v>49.213878631999997</v>
      </c>
      <c r="G2364">
        <v>1339.7211914</v>
      </c>
      <c r="H2364">
        <v>1337.2669678</v>
      </c>
      <c r="I2364">
        <v>1326.9332274999999</v>
      </c>
      <c r="J2364">
        <v>1325.1207274999999</v>
      </c>
      <c r="K2364">
        <v>2400</v>
      </c>
      <c r="L2364">
        <v>0</v>
      </c>
      <c r="M2364">
        <v>0</v>
      </c>
      <c r="N2364">
        <v>2400</v>
      </c>
    </row>
    <row r="2365" spans="1:14" x14ac:dyDescent="0.25">
      <c r="A2365">
        <v>1478.811616</v>
      </c>
      <c r="B2365" s="1">
        <f>DATE(2014,5,18) + TIME(19,28,43)</f>
        <v>41777.811608796299</v>
      </c>
      <c r="C2365">
        <v>80</v>
      </c>
      <c r="D2365">
        <v>79.979057311999995</v>
      </c>
      <c r="E2365">
        <v>50</v>
      </c>
      <c r="F2365">
        <v>49.198860168000003</v>
      </c>
      <c r="G2365">
        <v>1339.7149658000001</v>
      </c>
      <c r="H2365">
        <v>1337.265625</v>
      </c>
      <c r="I2365">
        <v>1326.9294434000001</v>
      </c>
      <c r="J2365">
        <v>1325.1153564000001</v>
      </c>
      <c r="K2365">
        <v>2400</v>
      </c>
      <c r="L2365">
        <v>0</v>
      </c>
      <c r="M2365">
        <v>0</v>
      </c>
      <c r="N2365">
        <v>2400</v>
      </c>
    </row>
    <row r="2366" spans="1:14" x14ac:dyDescent="0.25">
      <c r="A2366">
        <v>1479.255997</v>
      </c>
      <c r="B2366" s="1">
        <f>DATE(2014,5,19) + TIME(6,8,38)</f>
        <v>41778.255995370368</v>
      </c>
      <c r="C2366">
        <v>80</v>
      </c>
      <c r="D2366">
        <v>79.979019164999997</v>
      </c>
      <c r="E2366">
        <v>50</v>
      </c>
      <c r="F2366">
        <v>49.183689117</v>
      </c>
      <c r="G2366">
        <v>1339.7086182</v>
      </c>
      <c r="H2366">
        <v>1337.2642822</v>
      </c>
      <c r="I2366">
        <v>1326.9255370999999</v>
      </c>
      <c r="J2366">
        <v>1325.1098632999999</v>
      </c>
      <c r="K2366">
        <v>2400</v>
      </c>
      <c r="L2366">
        <v>0</v>
      </c>
      <c r="M2366">
        <v>0</v>
      </c>
      <c r="N2366">
        <v>2400</v>
      </c>
    </row>
    <row r="2367" spans="1:14" x14ac:dyDescent="0.25">
      <c r="A2367">
        <v>1479.7102850000001</v>
      </c>
      <c r="B2367" s="1">
        <f>DATE(2014,5,19) + TIME(17,2,48)</f>
        <v>41778.710277777776</v>
      </c>
      <c r="C2367">
        <v>80</v>
      </c>
      <c r="D2367">
        <v>79.978981017999999</v>
      </c>
      <c r="E2367">
        <v>50</v>
      </c>
      <c r="F2367">
        <v>49.168331146</v>
      </c>
      <c r="G2367">
        <v>1339.7023925999999</v>
      </c>
      <c r="H2367">
        <v>1337.2630615</v>
      </c>
      <c r="I2367">
        <v>1326.9215088000001</v>
      </c>
      <c r="J2367">
        <v>1325.1042480000001</v>
      </c>
      <c r="K2367">
        <v>2400</v>
      </c>
      <c r="L2367">
        <v>0</v>
      </c>
      <c r="M2367">
        <v>0</v>
      </c>
      <c r="N2367">
        <v>2400</v>
      </c>
    </row>
    <row r="2368" spans="1:14" x14ac:dyDescent="0.25">
      <c r="A2368">
        <v>1480.1760509999999</v>
      </c>
      <c r="B2368" s="1">
        <f>DATE(2014,5,20) + TIME(4,13,30)</f>
        <v>41779.176041666666</v>
      </c>
      <c r="C2368">
        <v>80</v>
      </c>
      <c r="D2368">
        <v>79.978942871000001</v>
      </c>
      <c r="E2368">
        <v>50</v>
      </c>
      <c r="F2368">
        <v>49.152748107999997</v>
      </c>
      <c r="G2368">
        <v>1339.6961670000001</v>
      </c>
      <c r="H2368">
        <v>1337.2618408000001</v>
      </c>
      <c r="I2368">
        <v>1326.9173584</v>
      </c>
      <c r="J2368">
        <v>1325.0982666</v>
      </c>
      <c r="K2368">
        <v>2400</v>
      </c>
      <c r="L2368">
        <v>0</v>
      </c>
      <c r="M2368">
        <v>0</v>
      </c>
      <c r="N2368">
        <v>2400</v>
      </c>
    </row>
    <row r="2369" spans="1:14" x14ac:dyDescent="0.25">
      <c r="A2369">
        <v>1480.6550339999999</v>
      </c>
      <c r="B2369" s="1">
        <f>DATE(2014,5,20) + TIME(15,43,14)</f>
        <v>41779.655023148145</v>
      </c>
      <c r="C2369">
        <v>80</v>
      </c>
      <c r="D2369">
        <v>79.978904724000003</v>
      </c>
      <c r="E2369">
        <v>50</v>
      </c>
      <c r="F2369">
        <v>49.136898041000002</v>
      </c>
      <c r="G2369">
        <v>1339.6899414</v>
      </c>
      <c r="H2369">
        <v>1337.2604980000001</v>
      </c>
      <c r="I2369">
        <v>1326.9130858999999</v>
      </c>
      <c r="J2369">
        <v>1325.0922852000001</v>
      </c>
      <c r="K2369">
        <v>2400</v>
      </c>
      <c r="L2369">
        <v>0</v>
      </c>
      <c r="M2369">
        <v>0</v>
      </c>
      <c r="N2369">
        <v>2400</v>
      </c>
    </row>
    <row r="2370" spans="1:14" x14ac:dyDescent="0.25">
      <c r="A2370">
        <v>1481.145064</v>
      </c>
      <c r="B2370" s="1">
        <f>DATE(2014,5,21) + TIME(3,28,53)</f>
        <v>41780.145057870373</v>
      </c>
      <c r="C2370">
        <v>80</v>
      </c>
      <c r="D2370">
        <v>79.978866577000005</v>
      </c>
      <c r="E2370">
        <v>50</v>
      </c>
      <c r="F2370">
        <v>49.120815276999998</v>
      </c>
      <c r="G2370">
        <v>1339.6837158000001</v>
      </c>
      <c r="H2370">
        <v>1337.2592772999999</v>
      </c>
      <c r="I2370">
        <v>1326.9086914</v>
      </c>
      <c r="J2370">
        <v>1325.0859375</v>
      </c>
      <c r="K2370">
        <v>2400</v>
      </c>
      <c r="L2370">
        <v>0</v>
      </c>
      <c r="M2370">
        <v>0</v>
      </c>
      <c r="N2370">
        <v>2400</v>
      </c>
    </row>
    <row r="2371" spans="1:14" x14ac:dyDescent="0.25">
      <c r="A2371">
        <v>1481.641108</v>
      </c>
      <c r="B2371" s="1">
        <f>DATE(2014,5,21) + TIME(15,23,11)</f>
        <v>41780.641099537039</v>
      </c>
      <c r="C2371">
        <v>80</v>
      </c>
      <c r="D2371">
        <v>79.978828429999993</v>
      </c>
      <c r="E2371">
        <v>50</v>
      </c>
      <c r="F2371">
        <v>49.104606627999999</v>
      </c>
      <c r="G2371">
        <v>1339.6774902</v>
      </c>
      <c r="H2371">
        <v>1337.2580565999999</v>
      </c>
      <c r="I2371">
        <v>1326.9040527</v>
      </c>
      <c r="J2371">
        <v>1325.0793457</v>
      </c>
      <c r="K2371">
        <v>2400</v>
      </c>
      <c r="L2371">
        <v>0</v>
      </c>
      <c r="M2371">
        <v>0</v>
      </c>
      <c r="N2371">
        <v>2400</v>
      </c>
    </row>
    <row r="2372" spans="1:14" x14ac:dyDescent="0.25">
      <c r="A2372">
        <v>1482.1450520000001</v>
      </c>
      <c r="B2372" s="1">
        <f>DATE(2014,5,22) + TIME(3,28,52)</f>
        <v>41781.145046296297</v>
      </c>
      <c r="C2372">
        <v>80</v>
      </c>
      <c r="D2372">
        <v>79.978790282999995</v>
      </c>
      <c r="E2372">
        <v>50</v>
      </c>
      <c r="F2372">
        <v>49.088264465000002</v>
      </c>
      <c r="G2372">
        <v>1339.6712646000001</v>
      </c>
      <c r="H2372">
        <v>1337.2568358999999</v>
      </c>
      <c r="I2372">
        <v>1326.8994141000001</v>
      </c>
      <c r="J2372">
        <v>1325.0726318</v>
      </c>
      <c r="K2372">
        <v>2400</v>
      </c>
      <c r="L2372">
        <v>0</v>
      </c>
      <c r="M2372">
        <v>0</v>
      </c>
      <c r="N2372">
        <v>2400</v>
      </c>
    </row>
    <row r="2373" spans="1:14" x14ac:dyDescent="0.25">
      <c r="A2373">
        <v>1482.6588489999999</v>
      </c>
      <c r="B2373" s="1">
        <f>DATE(2014,5,22) + TIME(15,48,44)</f>
        <v>41781.658842592595</v>
      </c>
      <c r="C2373">
        <v>80</v>
      </c>
      <c r="D2373">
        <v>79.978752135999997</v>
      </c>
      <c r="E2373">
        <v>50</v>
      </c>
      <c r="F2373">
        <v>49.071754456000001</v>
      </c>
      <c r="G2373">
        <v>1339.6646728999999</v>
      </c>
      <c r="H2373">
        <v>1337.255249</v>
      </c>
      <c r="I2373">
        <v>1326.8945312000001</v>
      </c>
      <c r="J2373">
        <v>1325.0657959</v>
      </c>
      <c r="K2373">
        <v>2400</v>
      </c>
      <c r="L2373">
        <v>0</v>
      </c>
      <c r="M2373">
        <v>0</v>
      </c>
      <c r="N2373">
        <v>2400</v>
      </c>
    </row>
    <row r="2374" spans="1:14" x14ac:dyDescent="0.25">
      <c r="A2374">
        <v>1483.1886099999999</v>
      </c>
      <c r="B2374" s="1">
        <f>DATE(2014,5,23) + TIME(4,31,35)</f>
        <v>41782.188599537039</v>
      </c>
      <c r="C2374">
        <v>80</v>
      </c>
      <c r="D2374">
        <v>79.978713988999999</v>
      </c>
      <c r="E2374">
        <v>50</v>
      </c>
      <c r="F2374">
        <v>49.054958343999999</v>
      </c>
      <c r="G2374">
        <v>1339.6580810999999</v>
      </c>
      <c r="H2374">
        <v>1337.2537841999999</v>
      </c>
      <c r="I2374">
        <v>1326.8896483999999</v>
      </c>
      <c r="J2374">
        <v>1325.0585937999999</v>
      </c>
      <c r="K2374">
        <v>2400</v>
      </c>
      <c r="L2374">
        <v>0</v>
      </c>
      <c r="M2374">
        <v>0</v>
      </c>
      <c r="N2374">
        <v>2400</v>
      </c>
    </row>
    <row r="2375" spans="1:14" x14ac:dyDescent="0.25">
      <c r="A2375">
        <v>1483.7387719999999</v>
      </c>
      <c r="B2375" s="1">
        <f>DATE(2014,5,23) + TIME(17,43,49)</f>
        <v>41782.738761574074</v>
      </c>
      <c r="C2375">
        <v>80</v>
      </c>
      <c r="D2375">
        <v>79.978675842000001</v>
      </c>
      <c r="E2375">
        <v>50</v>
      </c>
      <c r="F2375">
        <v>49.037773131999998</v>
      </c>
      <c r="G2375">
        <v>1339.6514893000001</v>
      </c>
      <c r="H2375">
        <v>1337.2521973</v>
      </c>
      <c r="I2375">
        <v>1326.8843993999999</v>
      </c>
      <c r="J2375">
        <v>1325.0512695</v>
      </c>
      <c r="K2375">
        <v>2400</v>
      </c>
      <c r="L2375">
        <v>0</v>
      </c>
      <c r="M2375">
        <v>0</v>
      </c>
      <c r="N2375">
        <v>2400</v>
      </c>
    </row>
    <row r="2376" spans="1:14" x14ac:dyDescent="0.25">
      <c r="A2376">
        <v>1484.312903</v>
      </c>
      <c r="B2376" s="1">
        <f>DATE(2014,5,24) + TIME(7,30,34)</f>
        <v>41783.312893518516</v>
      </c>
      <c r="C2376">
        <v>80</v>
      </c>
      <c r="D2376">
        <v>79.978637695000003</v>
      </c>
      <c r="E2376">
        <v>50</v>
      </c>
      <c r="F2376">
        <v>49.020099639999998</v>
      </c>
      <c r="G2376">
        <v>1339.6447754000001</v>
      </c>
      <c r="H2376">
        <v>1337.2507324000001</v>
      </c>
      <c r="I2376">
        <v>1326.8790283000001</v>
      </c>
      <c r="J2376">
        <v>1325.043457</v>
      </c>
      <c r="K2376">
        <v>2400</v>
      </c>
      <c r="L2376">
        <v>0</v>
      </c>
      <c r="M2376">
        <v>0</v>
      </c>
      <c r="N2376">
        <v>2400</v>
      </c>
    </row>
    <row r="2377" spans="1:14" x14ac:dyDescent="0.25">
      <c r="A2377">
        <v>1484.9152759999999</v>
      </c>
      <c r="B2377" s="1">
        <f>DATE(2014,5,24) + TIME(21,57,59)</f>
        <v>41783.915266203701</v>
      </c>
      <c r="C2377">
        <v>80</v>
      </c>
      <c r="D2377">
        <v>79.978599548000005</v>
      </c>
      <c r="E2377">
        <v>50</v>
      </c>
      <c r="F2377">
        <v>49.001838683999999</v>
      </c>
      <c r="G2377">
        <v>1339.6379394999999</v>
      </c>
      <c r="H2377">
        <v>1337.2491454999999</v>
      </c>
      <c r="I2377">
        <v>1326.8732910000001</v>
      </c>
      <c r="J2377">
        <v>1325.0352783000001</v>
      </c>
      <c r="K2377">
        <v>2400</v>
      </c>
      <c r="L2377">
        <v>0</v>
      </c>
      <c r="M2377">
        <v>0</v>
      </c>
      <c r="N2377">
        <v>2400</v>
      </c>
    </row>
    <row r="2378" spans="1:14" x14ac:dyDescent="0.25">
      <c r="A2378">
        <v>1485.532543</v>
      </c>
      <c r="B2378" s="1">
        <f>DATE(2014,5,25) + TIME(12,46,51)</f>
        <v>41784.532534722224</v>
      </c>
      <c r="C2378">
        <v>80</v>
      </c>
      <c r="D2378">
        <v>79.978561400999993</v>
      </c>
      <c r="E2378">
        <v>50</v>
      </c>
      <c r="F2378">
        <v>48.983188628999997</v>
      </c>
      <c r="G2378">
        <v>1339.6311035000001</v>
      </c>
      <c r="H2378">
        <v>1337.2475586</v>
      </c>
      <c r="I2378">
        <v>1326.8673096</v>
      </c>
      <c r="J2378">
        <v>1325.0267334</v>
      </c>
      <c r="K2378">
        <v>2400</v>
      </c>
      <c r="L2378">
        <v>0</v>
      </c>
      <c r="M2378">
        <v>0</v>
      </c>
      <c r="N2378">
        <v>2400</v>
      </c>
    </row>
    <row r="2379" spans="1:14" x14ac:dyDescent="0.25">
      <c r="A2379">
        <v>1486.1542959999999</v>
      </c>
      <c r="B2379" s="1">
        <f>DATE(2014,5,26) + TIME(3,42,11)</f>
        <v>41785.154293981483</v>
      </c>
      <c r="C2379">
        <v>80</v>
      </c>
      <c r="D2379">
        <v>79.978515625</v>
      </c>
      <c r="E2379">
        <v>50</v>
      </c>
      <c r="F2379">
        <v>48.964378357000001</v>
      </c>
      <c r="G2379">
        <v>1339.6241454999999</v>
      </c>
      <c r="H2379">
        <v>1337.2460937999999</v>
      </c>
      <c r="I2379">
        <v>1326.8612060999999</v>
      </c>
      <c r="J2379">
        <v>1325.0178223</v>
      </c>
      <c r="K2379">
        <v>2400</v>
      </c>
      <c r="L2379">
        <v>0</v>
      </c>
      <c r="M2379">
        <v>0</v>
      </c>
      <c r="N2379">
        <v>2400</v>
      </c>
    </row>
    <row r="2380" spans="1:14" x14ac:dyDescent="0.25">
      <c r="A2380">
        <v>1486.780178</v>
      </c>
      <c r="B2380" s="1">
        <f>DATE(2014,5,26) + TIME(18,43,27)</f>
        <v>41785.780173611114</v>
      </c>
      <c r="C2380">
        <v>80</v>
      </c>
      <c r="D2380">
        <v>79.978477478000002</v>
      </c>
      <c r="E2380">
        <v>50</v>
      </c>
      <c r="F2380">
        <v>48.945510863999999</v>
      </c>
      <c r="G2380">
        <v>1339.6173096</v>
      </c>
      <c r="H2380">
        <v>1337.2445068</v>
      </c>
      <c r="I2380">
        <v>1326.8548584</v>
      </c>
      <c r="J2380">
        <v>1325.0086670000001</v>
      </c>
      <c r="K2380">
        <v>2400</v>
      </c>
      <c r="L2380">
        <v>0</v>
      </c>
      <c r="M2380">
        <v>0</v>
      </c>
      <c r="N2380">
        <v>2400</v>
      </c>
    </row>
    <row r="2381" spans="1:14" x14ac:dyDescent="0.25">
      <c r="A2381">
        <v>1487.408772</v>
      </c>
      <c r="B2381" s="1">
        <f>DATE(2014,5,27) + TIME(9,48,37)</f>
        <v>41786.408761574072</v>
      </c>
      <c r="C2381">
        <v>80</v>
      </c>
      <c r="D2381">
        <v>79.978439331000004</v>
      </c>
      <c r="E2381">
        <v>50</v>
      </c>
      <c r="F2381">
        <v>48.926658629999999</v>
      </c>
      <c r="G2381">
        <v>1339.6107178</v>
      </c>
      <c r="H2381">
        <v>1337.2430420000001</v>
      </c>
      <c r="I2381">
        <v>1326.8485106999999</v>
      </c>
      <c r="J2381">
        <v>1324.9993896000001</v>
      </c>
      <c r="K2381">
        <v>2400</v>
      </c>
      <c r="L2381">
        <v>0</v>
      </c>
      <c r="M2381">
        <v>0</v>
      </c>
      <c r="N2381">
        <v>2400</v>
      </c>
    </row>
    <row r="2382" spans="1:14" x14ac:dyDescent="0.25">
      <c r="A2382">
        <v>1488.0421739999999</v>
      </c>
      <c r="B2382" s="1">
        <f>DATE(2014,5,28) + TIME(1,0,43)</f>
        <v>41787.042164351849</v>
      </c>
      <c r="C2382">
        <v>80</v>
      </c>
      <c r="D2382">
        <v>79.978401184000006</v>
      </c>
      <c r="E2382">
        <v>50</v>
      </c>
      <c r="F2382">
        <v>48.907825469999999</v>
      </c>
      <c r="G2382">
        <v>1339.6042480000001</v>
      </c>
      <c r="H2382">
        <v>1337.2415771000001</v>
      </c>
      <c r="I2382">
        <v>1326.8419189000001</v>
      </c>
      <c r="J2382">
        <v>1324.9899902</v>
      </c>
      <c r="K2382">
        <v>2400</v>
      </c>
      <c r="L2382">
        <v>0</v>
      </c>
      <c r="M2382">
        <v>0</v>
      </c>
      <c r="N2382">
        <v>2400</v>
      </c>
    </row>
    <row r="2383" spans="1:14" x14ac:dyDescent="0.25">
      <c r="A2383">
        <v>1488.682605</v>
      </c>
      <c r="B2383" s="1">
        <f>DATE(2014,5,28) + TIME(16,22,57)</f>
        <v>41787.682604166665</v>
      </c>
      <c r="C2383">
        <v>80</v>
      </c>
      <c r="D2383">
        <v>79.978363036999994</v>
      </c>
      <c r="E2383">
        <v>50</v>
      </c>
      <c r="F2383">
        <v>48.888988495</v>
      </c>
      <c r="G2383">
        <v>1339.5977783000001</v>
      </c>
      <c r="H2383">
        <v>1337.2402344</v>
      </c>
      <c r="I2383">
        <v>1326.8353271000001</v>
      </c>
      <c r="J2383">
        <v>1324.9804687999999</v>
      </c>
      <c r="K2383">
        <v>2400</v>
      </c>
      <c r="L2383">
        <v>0</v>
      </c>
      <c r="M2383">
        <v>0</v>
      </c>
      <c r="N2383">
        <v>2400</v>
      </c>
    </row>
    <row r="2384" spans="1:14" x14ac:dyDescent="0.25">
      <c r="A2384">
        <v>1489.332498</v>
      </c>
      <c r="B2384" s="1">
        <f>DATE(2014,5,29) + TIME(7,58,47)</f>
        <v>41788.332488425927</v>
      </c>
      <c r="C2384">
        <v>80</v>
      </c>
      <c r="D2384">
        <v>79.978324889999996</v>
      </c>
      <c r="E2384">
        <v>50</v>
      </c>
      <c r="F2384">
        <v>48.870101929</v>
      </c>
      <c r="G2384">
        <v>1339.5915527</v>
      </c>
      <c r="H2384">
        <v>1337.2387695</v>
      </c>
      <c r="I2384">
        <v>1326.8286132999999</v>
      </c>
      <c r="J2384">
        <v>1324.9707031</v>
      </c>
      <c r="K2384">
        <v>2400</v>
      </c>
      <c r="L2384">
        <v>0</v>
      </c>
      <c r="M2384">
        <v>0</v>
      </c>
      <c r="N2384">
        <v>2400</v>
      </c>
    </row>
    <row r="2385" spans="1:14" x14ac:dyDescent="0.25">
      <c r="A2385">
        <v>1489.994406</v>
      </c>
      <c r="B2385" s="1">
        <f>DATE(2014,5,29) + TIME(23,51,56)</f>
        <v>41788.994398148148</v>
      </c>
      <c r="C2385">
        <v>80</v>
      </c>
      <c r="D2385">
        <v>79.978294372999997</v>
      </c>
      <c r="E2385">
        <v>50</v>
      </c>
      <c r="F2385">
        <v>48.851112366000002</v>
      </c>
      <c r="G2385">
        <v>1339.5853271000001</v>
      </c>
      <c r="H2385">
        <v>1337.2374268000001</v>
      </c>
      <c r="I2385">
        <v>1326.8217772999999</v>
      </c>
      <c r="J2385">
        <v>1324.9606934000001</v>
      </c>
      <c r="K2385">
        <v>2400</v>
      </c>
      <c r="L2385">
        <v>0</v>
      </c>
      <c r="M2385">
        <v>0</v>
      </c>
      <c r="N2385">
        <v>2400</v>
      </c>
    </row>
    <row r="2386" spans="1:14" x14ac:dyDescent="0.25">
      <c r="A2386">
        <v>1490.670678</v>
      </c>
      <c r="B2386" s="1">
        <f>DATE(2014,5,30) + TIME(16,5,46)</f>
        <v>41789.670671296299</v>
      </c>
      <c r="C2386">
        <v>80</v>
      </c>
      <c r="D2386">
        <v>79.978256225999999</v>
      </c>
      <c r="E2386">
        <v>50</v>
      </c>
      <c r="F2386">
        <v>48.831966399999999</v>
      </c>
      <c r="G2386">
        <v>1339.5791016000001</v>
      </c>
      <c r="H2386">
        <v>1337.2360839999999</v>
      </c>
      <c r="I2386">
        <v>1326.8146973</v>
      </c>
      <c r="J2386">
        <v>1324.9504394999999</v>
      </c>
      <c r="K2386">
        <v>2400</v>
      </c>
      <c r="L2386">
        <v>0</v>
      </c>
      <c r="M2386">
        <v>0</v>
      </c>
      <c r="N2386">
        <v>2400</v>
      </c>
    </row>
    <row r="2387" spans="1:14" x14ac:dyDescent="0.25">
      <c r="A2387">
        <v>1491.3638559999999</v>
      </c>
      <c r="B2387" s="1">
        <f>DATE(2014,5,31) + TIME(8,43,57)</f>
        <v>41790.363854166666</v>
      </c>
      <c r="C2387">
        <v>80</v>
      </c>
      <c r="D2387">
        <v>79.978218079000001</v>
      </c>
      <c r="E2387">
        <v>50</v>
      </c>
      <c r="F2387">
        <v>48.812606811999999</v>
      </c>
      <c r="G2387">
        <v>1339.5729980000001</v>
      </c>
      <c r="H2387">
        <v>1337.2347411999999</v>
      </c>
      <c r="I2387">
        <v>1326.8074951000001</v>
      </c>
      <c r="J2387">
        <v>1324.9399414</v>
      </c>
      <c r="K2387">
        <v>2400</v>
      </c>
      <c r="L2387">
        <v>0</v>
      </c>
      <c r="M2387">
        <v>0</v>
      </c>
      <c r="N2387">
        <v>2400</v>
      </c>
    </row>
    <row r="2388" spans="1:14" x14ac:dyDescent="0.25">
      <c r="A2388">
        <v>1492</v>
      </c>
      <c r="B2388" s="1">
        <f>DATE(2014,6,1) + TIME(0,0,0)</f>
        <v>41791</v>
      </c>
      <c r="C2388">
        <v>80</v>
      </c>
      <c r="D2388">
        <v>79.978187560999999</v>
      </c>
      <c r="E2388">
        <v>50</v>
      </c>
      <c r="F2388">
        <v>48.794170379999997</v>
      </c>
      <c r="G2388">
        <v>1339.5668945</v>
      </c>
      <c r="H2388">
        <v>1337.2333983999999</v>
      </c>
      <c r="I2388">
        <v>1326.8001709</v>
      </c>
      <c r="J2388">
        <v>1324.9291992000001</v>
      </c>
      <c r="K2388">
        <v>2400</v>
      </c>
      <c r="L2388">
        <v>0</v>
      </c>
      <c r="M2388">
        <v>0</v>
      </c>
      <c r="N2388">
        <v>2400</v>
      </c>
    </row>
    <row r="2389" spans="1:14" x14ac:dyDescent="0.25">
      <c r="A2389">
        <v>1492.7129070000001</v>
      </c>
      <c r="B2389" s="1">
        <f>DATE(2014,6,1) + TIME(17,6,35)</f>
        <v>41791.712905092594</v>
      </c>
      <c r="C2389">
        <v>80</v>
      </c>
      <c r="D2389">
        <v>79.978149414000001</v>
      </c>
      <c r="E2389">
        <v>50</v>
      </c>
      <c r="F2389">
        <v>48.774948119999998</v>
      </c>
      <c r="G2389">
        <v>1339.5612793</v>
      </c>
      <c r="H2389">
        <v>1337.2320557</v>
      </c>
      <c r="I2389">
        <v>1326.7930908000001</v>
      </c>
      <c r="J2389">
        <v>1324.9188231999999</v>
      </c>
      <c r="K2389">
        <v>2400</v>
      </c>
      <c r="L2389">
        <v>0</v>
      </c>
      <c r="M2389">
        <v>0</v>
      </c>
      <c r="N2389">
        <v>2400</v>
      </c>
    </row>
    <row r="2390" spans="1:14" x14ac:dyDescent="0.25">
      <c r="A2390">
        <v>1493.478294</v>
      </c>
      <c r="B2390" s="1">
        <f>DATE(2014,6,2) + TIME(11,28,44)</f>
        <v>41792.47828703704</v>
      </c>
      <c r="C2390">
        <v>80</v>
      </c>
      <c r="D2390">
        <v>79.978118895999998</v>
      </c>
      <c r="E2390">
        <v>50</v>
      </c>
      <c r="F2390">
        <v>48.754867554</v>
      </c>
      <c r="G2390">
        <v>1339.5552978999999</v>
      </c>
      <c r="H2390">
        <v>1337.2307129000001</v>
      </c>
      <c r="I2390">
        <v>1326.7854004000001</v>
      </c>
      <c r="J2390">
        <v>1324.9075928</v>
      </c>
      <c r="K2390">
        <v>2400</v>
      </c>
      <c r="L2390">
        <v>0</v>
      </c>
      <c r="M2390">
        <v>0</v>
      </c>
      <c r="N2390">
        <v>2400</v>
      </c>
    </row>
    <row r="2391" spans="1:14" x14ac:dyDescent="0.25">
      <c r="A2391">
        <v>1494.268736</v>
      </c>
      <c r="B2391" s="1">
        <f>DATE(2014,6,3) + TIME(6,26,58)</f>
        <v>41793.268726851849</v>
      </c>
      <c r="C2391">
        <v>80</v>
      </c>
      <c r="D2391">
        <v>79.978080750000004</v>
      </c>
      <c r="E2391">
        <v>50</v>
      </c>
      <c r="F2391">
        <v>48.734157562</v>
      </c>
      <c r="G2391">
        <v>1339.5489502</v>
      </c>
      <c r="H2391">
        <v>1337.2292480000001</v>
      </c>
      <c r="I2391">
        <v>1326.7770995999999</v>
      </c>
      <c r="J2391">
        <v>1324.8955077999999</v>
      </c>
      <c r="K2391">
        <v>2400</v>
      </c>
      <c r="L2391">
        <v>0</v>
      </c>
      <c r="M2391">
        <v>0</v>
      </c>
      <c r="N2391">
        <v>2400</v>
      </c>
    </row>
    <row r="2392" spans="1:14" x14ac:dyDescent="0.25">
      <c r="A2392">
        <v>1495.0926609999999</v>
      </c>
      <c r="B2392" s="1">
        <f>DATE(2014,6,4) + TIME(2,13,25)</f>
        <v>41794.092650462961</v>
      </c>
      <c r="C2392">
        <v>80</v>
      </c>
      <c r="D2392">
        <v>79.978042603000006</v>
      </c>
      <c r="E2392">
        <v>50</v>
      </c>
      <c r="F2392">
        <v>48.712810515999998</v>
      </c>
      <c r="G2392">
        <v>1339.5426024999999</v>
      </c>
      <c r="H2392">
        <v>1337.2277832</v>
      </c>
      <c r="I2392">
        <v>1326.7685547000001</v>
      </c>
      <c r="J2392">
        <v>1324.8829346</v>
      </c>
      <c r="K2392">
        <v>2400</v>
      </c>
      <c r="L2392">
        <v>0</v>
      </c>
      <c r="M2392">
        <v>0</v>
      </c>
      <c r="N2392">
        <v>2400</v>
      </c>
    </row>
    <row r="2393" spans="1:14" x14ac:dyDescent="0.25">
      <c r="A2393">
        <v>1495.9323810000001</v>
      </c>
      <c r="B2393" s="1">
        <f>DATE(2014,6,4) + TIME(22,22,37)</f>
        <v>41794.932372685187</v>
      </c>
      <c r="C2393">
        <v>80</v>
      </c>
      <c r="D2393">
        <v>79.978012085000003</v>
      </c>
      <c r="E2393">
        <v>50</v>
      </c>
      <c r="F2393">
        <v>48.691059113000001</v>
      </c>
      <c r="G2393">
        <v>1339.5361327999999</v>
      </c>
      <c r="H2393">
        <v>1337.2263184000001</v>
      </c>
      <c r="I2393">
        <v>1326.7595214999999</v>
      </c>
      <c r="J2393">
        <v>1324.869751</v>
      </c>
      <c r="K2393">
        <v>2400</v>
      </c>
      <c r="L2393">
        <v>0</v>
      </c>
      <c r="M2393">
        <v>0</v>
      </c>
      <c r="N2393">
        <v>2400</v>
      </c>
    </row>
    <row r="2394" spans="1:14" x14ac:dyDescent="0.25">
      <c r="A2394">
        <v>1496.7806780000001</v>
      </c>
      <c r="B2394" s="1">
        <f>DATE(2014,6,5) + TIME(18,44,10)</f>
        <v>41795.780671296299</v>
      </c>
      <c r="C2394">
        <v>80</v>
      </c>
      <c r="D2394">
        <v>79.977973938000005</v>
      </c>
      <c r="E2394">
        <v>50</v>
      </c>
      <c r="F2394">
        <v>48.669128418</v>
      </c>
      <c r="G2394">
        <v>1339.5296631000001</v>
      </c>
      <c r="H2394">
        <v>1337.2248535000001</v>
      </c>
      <c r="I2394">
        <v>1326.7503661999999</v>
      </c>
      <c r="J2394">
        <v>1324.8562012</v>
      </c>
      <c r="K2394">
        <v>2400</v>
      </c>
      <c r="L2394">
        <v>0</v>
      </c>
      <c r="M2394">
        <v>0</v>
      </c>
      <c r="N2394">
        <v>2400</v>
      </c>
    </row>
    <row r="2395" spans="1:14" x14ac:dyDescent="0.25">
      <c r="A2395">
        <v>1497.6418490000001</v>
      </c>
      <c r="B2395" s="1">
        <f>DATE(2014,6,6) + TIME(15,24,15)</f>
        <v>41796.641840277778</v>
      </c>
      <c r="C2395">
        <v>80</v>
      </c>
      <c r="D2395">
        <v>79.977943420000003</v>
      </c>
      <c r="E2395">
        <v>50</v>
      </c>
      <c r="F2395">
        <v>48.647075653000002</v>
      </c>
      <c r="G2395">
        <v>1339.5233154</v>
      </c>
      <c r="H2395">
        <v>1337.2233887</v>
      </c>
      <c r="I2395">
        <v>1326.7409668</v>
      </c>
      <c r="J2395">
        <v>1324.8424072</v>
      </c>
      <c r="K2395">
        <v>2400</v>
      </c>
      <c r="L2395">
        <v>0</v>
      </c>
      <c r="M2395">
        <v>0</v>
      </c>
      <c r="N2395">
        <v>2400</v>
      </c>
    </row>
    <row r="2396" spans="1:14" x14ac:dyDescent="0.25">
      <c r="A2396">
        <v>1498.5202810000001</v>
      </c>
      <c r="B2396" s="1">
        <f>DATE(2014,6,7) + TIME(12,29,12)</f>
        <v>41797.520277777781</v>
      </c>
      <c r="C2396">
        <v>80</v>
      </c>
      <c r="D2396">
        <v>79.977905273000005</v>
      </c>
      <c r="E2396">
        <v>50</v>
      </c>
      <c r="F2396">
        <v>48.624889373999999</v>
      </c>
      <c r="G2396">
        <v>1339.5170897999999</v>
      </c>
      <c r="H2396">
        <v>1337.2219238</v>
      </c>
      <c r="I2396">
        <v>1326.7313231999999</v>
      </c>
      <c r="J2396">
        <v>1324.8283690999999</v>
      </c>
      <c r="K2396">
        <v>2400</v>
      </c>
      <c r="L2396">
        <v>0</v>
      </c>
      <c r="M2396">
        <v>0</v>
      </c>
      <c r="N2396">
        <v>2400</v>
      </c>
    </row>
    <row r="2397" spans="1:14" x14ac:dyDescent="0.25">
      <c r="A2397">
        <v>1499.4206039999999</v>
      </c>
      <c r="B2397" s="1">
        <f>DATE(2014,6,8) + TIME(10,5,40)</f>
        <v>41798.420601851853</v>
      </c>
      <c r="C2397">
        <v>80</v>
      </c>
      <c r="D2397">
        <v>79.977874756000006</v>
      </c>
      <c r="E2397">
        <v>50</v>
      </c>
      <c r="F2397">
        <v>48.602497100999997</v>
      </c>
      <c r="G2397">
        <v>1339.5107422000001</v>
      </c>
      <c r="H2397">
        <v>1337.2204589999999</v>
      </c>
      <c r="I2397">
        <v>1326.7215576000001</v>
      </c>
      <c r="J2397">
        <v>1324.8138428</v>
      </c>
      <c r="K2397">
        <v>2400</v>
      </c>
      <c r="L2397">
        <v>0</v>
      </c>
      <c r="M2397">
        <v>0</v>
      </c>
      <c r="N2397">
        <v>2400</v>
      </c>
    </row>
    <row r="2398" spans="1:14" x14ac:dyDescent="0.25">
      <c r="A2398">
        <v>1500.3478230000001</v>
      </c>
      <c r="B2398" s="1">
        <f>DATE(2014,6,9) + TIME(8,20,51)</f>
        <v>41799.347812499997</v>
      </c>
      <c r="C2398">
        <v>80</v>
      </c>
      <c r="D2398">
        <v>79.977836608999993</v>
      </c>
      <c r="E2398">
        <v>50</v>
      </c>
      <c r="F2398">
        <v>48.579826355000002</v>
      </c>
      <c r="G2398">
        <v>1339.5045166</v>
      </c>
      <c r="H2398">
        <v>1337.2189940999999</v>
      </c>
      <c r="I2398">
        <v>1326.7115478999999</v>
      </c>
      <c r="J2398">
        <v>1324.7990723</v>
      </c>
      <c r="K2398">
        <v>2400</v>
      </c>
      <c r="L2398">
        <v>0</v>
      </c>
      <c r="M2398">
        <v>0</v>
      </c>
      <c r="N2398">
        <v>2400</v>
      </c>
    </row>
    <row r="2399" spans="1:14" x14ac:dyDescent="0.25">
      <c r="A2399">
        <v>1501.300483</v>
      </c>
      <c r="B2399" s="1">
        <f>DATE(2014,6,10) + TIME(7,12,41)</f>
        <v>41800.300474537034</v>
      </c>
      <c r="C2399">
        <v>80</v>
      </c>
      <c r="D2399">
        <v>79.977806091000005</v>
      </c>
      <c r="E2399">
        <v>50</v>
      </c>
      <c r="F2399">
        <v>48.556854248</v>
      </c>
      <c r="G2399">
        <v>1339.4982910000001</v>
      </c>
      <c r="H2399">
        <v>1337.2175293</v>
      </c>
      <c r="I2399">
        <v>1326.7011719</v>
      </c>
      <c r="J2399">
        <v>1324.7836914</v>
      </c>
      <c r="K2399">
        <v>2400</v>
      </c>
      <c r="L2399">
        <v>0</v>
      </c>
      <c r="M2399">
        <v>0</v>
      </c>
      <c r="N2399">
        <v>2400</v>
      </c>
    </row>
    <row r="2400" spans="1:14" x14ac:dyDescent="0.25">
      <c r="A2400">
        <v>1502.26259</v>
      </c>
      <c r="B2400" s="1">
        <f>DATE(2014,6,11) + TIME(6,18,7)</f>
        <v>41801.26258101852</v>
      </c>
      <c r="C2400">
        <v>80</v>
      </c>
      <c r="D2400">
        <v>79.977775574000006</v>
      </c>
      <c r="E2400">
        <v>50</v>
      </c>
      <c r="F2400">
        <v>48.533756255999997</v>
      </c>
      <c r="G2400">
        <v>1339.4920654</v>
      </c>
      <c r="H2400">
        <v>1337.2159423999999</v>
      </c>
      <c r="I2400">
        <v>1326.6905518000001</v>
      </c>
      <c r="J2400">
        <v>1324.7679443</v>
      </c>
      <c r="K2400">
        <v>2400</v>
      </c>
      <c r="L2400">
        <v>0</v>
      </c>
      <c r="M2400">
        <v>0</v>
      </c>
      <c r="N2400">
        <v>2400</v>
      </c>
    </row>
    <row r="2401" spans="1:14" x14ac:dyDescent="0.25">
      <c r="A2401">
        <v>1503.2397100000001</v>
      </c>
      <c r="B2401" s="1">
        <f>DATE(2014,6,12) + TIME(5,45,10)</f>
        <v>41802.239699074074</v>
      </c>
      <c r="C2401">
        <v>80</v>
      </c>
      <c r="D2401">
        <v>79.977737426999994</v>
      </c>
      <c r="E2401">
        <v>50</v>
      </c>
      <c r="F2401">
        <v>48.510597228999998</v>
      </c>
      <c r="G2401">
        <v>1339.4858397999999</v>
      </c>
      <c r="H2401">
        <v>1337.2144774999999</v>
      </c>
      <c r="I2401">
        <v>1326.6796875</v>
      </c>
      <c r="J2401">
        <v>1324.7519531</v>
      </c>
      <c r="K2401">
        <v>2400</v>
      </c>
      <c r="L2401">
        <v>0</v>
      </c>
      <c r="M2401">
        <v>0</v>
      </c>
      <c r="N2401">
        <v>2400</v>
      </c>
    </row>
    <row r="2402" spans="1:14" x14ac:dyDescent="0.25">
      <c r="A2402">
        <v>1504.2370820000001</v>
      </c>
      <c r="B2402" s="1">
        <f>DATE(2014,6,13) + TIME(5,41,23)</f>
        <v>41803.237071759257</v>
      </c>
      <c r="C2402">
        <v>80</v>
      </c>
      <c r="D2402">
        <v>79.977706909000005</v>
      </c>
      <c r="E2402">
        <v>50</v>
      </c>
      <c r="F2402">
        <v>48.487335205000001</v>
      </c>
      <c r="G2402">
        <v>1339.4797363</v>
      </c>
      <c r="H2402">
        <v>1337.2128906</v>
      </c>
      <c r="I2402">
        <v>1326.6687012</v>
      </c>
      <c r="J2402">
        <v>1324.7355957</v>
      </c>
      <c r="K2402">
        <v>2400</v>
      </c>
      <c r="L2402">
        <v>0</v>
      </c>
      <c r="M2402">
        <v>0</v>
      </c>
      <c r="N2402">
        <v>2400</v>
      </c>
    </row>
    <row r="2403" spans="1:14" x14ac:dyDescent="0.25">
      <c r="A2403">
        <v>1505.249632</v>
      </c>
      <c r="B2403" s="1">
        <f>DATE(2014,6,14) + TIME(5,59,28)</f>
        <v>41804.24962962963</v>
      </c>
      <c r="C2403">
        <v>80</v>
      </c>
      <c r="D2403">
        <v>79.977676392000006</v>
      </c>
      <c r="E2403">
        <v>50</v>
      </c>
      <c r="F2403">
        <v>48.464008331000002</v>
      </c>
      <c r="G2403">
        <v>1339.4736327999999</v>
      </c>
      <c r="H2403">
        <v>1337.2114257999999</v>
      </c>
      <c r="I2403">
        <v>1326.6574707</v>
      </c>
      <c r="J2403">
        <v>1324.7188721</v>
      </c>
      <c r="K2403">
        <v>2400</v>
      </c>
      <c r="L2403">
        <v>0</v>
      </c>
      <c r="M2403">
        <v>0</v>
      </c>
      <c r="N2403">
        <v>2400</v>
      </c>
    </row>
    <row r="2404" spans="1:14" x14ac:dyDescent="0.25">
      <c r="A2404">
        <v>1506.2771190000001</v>
      </c>
      <c r="B2404" s="1">
        <f>DATE(2014,6,15) + TIME(6,39,3)</f>
        <v>41805.277118055557</v>
      </c>
      <c r="C2404">
        <v>80</v>
      </c>
      <c r="D2404">
        <v>79.977645874000004</v>
      </c>
      <c r="E2404">
        <v>50</v>
      </c>
      <c r="F2404">
        <v>48.440658569</v>
      </c>
      <c r="G2404">
        <v>1339.4675293</v>
      </c>
      <c r="H2404">
        <v>1337.2098389</v>
      </c>
      <c r="I2404">
        <v>1326.6461182</v>
      </c>
      <c r="J2404">
        <v>1324.7020264</v>
      </c>
      <c r="K2404">
        <v>2400</v>
      </c>
      <c r="L2404">
        <v>0</v>
      </c>
      <c r="M2404">
        <v>0</v>
      </c>
      <c r="N2404">
        <v>2400</v>
      </c>
    </row>
    <row r="2405" spans="1:14" x14ac:dyDescent="0.25">
      <c r="A2405">
        <v>1507.3242</v>
      </c>
      <c r="B2405" s="1">
        <f>DATE(2014,6,16) + TIME(7,46,50)</f>
        <v>41806.324189814812</v>
      </c>
      <c r="C2405">
        <v>80</v>
      </c>
      <c r="D2405">
        <v>79.977615356000001</v>
      </c>
      <c r="E2405">
        <v>50</v>
      </c>
      <c r="F2405">
        <v>48.417263030999997</v>
      </c>
      <c r="G2405">
        <v>1339.4615478999999</v>
      </c>
      <c r="H2405">
        <v>1337.2082519999999</v>
      </c>
      <c r="I2405">
        <v>1326.6345214999999</v>
      </c>
      <c r="J2405">
        <v>1324.6846923999999</v>
      </c>
      <c r="K2405">
        <v>2400</v>
      </c>
      <c r="L2405">
        <v>0</v>
      </c>
      <c r="M2405">
        <v>0</v>
      </c>
      <c r="N2405">
        <v>2400</v>
      </c>
    </row>
    <row r="2406" spans="1:14" x14ac:dyDescent="0.25">
      <c r="A2406">
        <v>1508.39498</v>
      </c>
      <c r="B2406" s="1">
        <f>DATE(2014,6,17) + TIME(9,28,46)</f>
        <v>41807.394976851851</v>
      </c>
      <c r="C2406">
        <v>80</v>
      </c>
      <c r="D2406">
        <v>79.977584839000002</v>
      </c>
      <c r="E2406">
        <v>50</v>
      </c>
      <c r="F2406">
        <v>48.393775939999998</v>
      </c>
      <c r="G2406">
        <v>1339.4555664</v>
      </c>
      <c r="H2406">
        <v>1337.2066649999999</v>
      </c>
      <c r="I2406">
        <v>1326.6228027</v>
      </c>
      <c r="J2406">
        <v>1324.6671143000001</v>
      </c>
      <c r="K2406">
        <v>2400</v>
      </c>
      <c r="L2406">
        <v>0</v>
      </c>
      <c r="M2406">
        <v>0</v>
      </c>
      <c r="N2406">
        <v>2400</v>
      </c>
    </row>
    <row r="2407" spans="1:14" x14ac:dyDescent="0.25">
      <c r="A2407">
        <v>1509.494361</v>
      </c>
      <c r="B2407" s="1">
        <f>DATE(2014,6,18) + TIME(11,51,52)</f>
        <v>41808.494351851848</v>
      </c>
      <c r="C2407">
        <v>80</v>
      </c>
      <c r="D2407">
        <v>79.977561950999998</v>
      </c>
      <c r="E2407">
        <v>50</v>
      </c>
      <c r="F2407">
        <v>48.370132446</v>
      </c>
      <c r="G2407">
        <v>1339.4495850000001</v>
      </c>
      <c r="H2407">
        <v>1337.2050781</v>
      </c>
      <c r="I2407">
        <v>1326.6107178</v>
      </c>
      <c r="J2407">
        <v>1324.6491699000001</v>
      </c>
      <c r="K2407">
        <v>2400</v>
      </c>
      <c r="L2407">
        <v>0</v>
      </c>
      <c r="M2407">
        <v>0</v>
      </c>
      <c r="N2407">
        <v>2400</v>
      </c>
    </row>
    <row r="2408" spans="1:14" x14ac:dyDescent="0.25">
      <c r="A2408">
        <v>1510.645822</v>
      </c>
      <c r="B2408" s="1">
        <f>DATE(2014,6,19) + TIME(15,29,59)</f>
        <v>41809.645821759259</v>
      </c>
      <c r="C2408">
        <v>80</v>
      </c>
      <c r="D2408">
        <v>79.977531432999996</v>
      </c>
      <c r="E2408">
        <v>50</v>
      </c>
      <c r="F2408">
        <v>48.346103667999998</v>
      </c>
      <c r="G2408">
        <v>1339.4436035000001</v>
      </c>
      <c r="H2408">
        <v>1337.2034911999999</v>
      </c>
      <c r="I2408">
        <v>1326.5983887</v>
      </c>
      <c r="J2408">
        <v>1324.6306152</v>
      </c>
      <c r="K2408">
        <v>2400</v>
      </c>
      <c r="L2408">
        <v>0</v>
      </c>
      <c r="M2408">
        <v>0</v>
      </c>
      <c r="N2408">
        <v>2400</v>
      </c>
    </row>
    <row r="2409" spans="1:14" x14ac:dyDescent="0.25">
      <c r="A2409">
        <v>1511.8315600000001</v>
      </c>
      <c r="B2409" s="1">
        <f>DATE(2014,6,20) + TIME(19,57,26)</f>
        <v>41810.831550925926</v>
      </c>
      <c r="C2409">
        <v>80</v>
      </c>
      <c r="D2409">
        <v>79.977500915999997</v>
      </c>
      <c r="E2409">
        <v>50</v>
      </c>
      <c r="F2409">
        <v>48.321693420000003</v>
      </c>
      <c r="G2409">
        <v>1339.4375</v>
      </c>
      <c r="H2409">
        <v>1337.2017822</v>
      </c>
      <c r="I2409">
        <v>1326.5855713000001</v>
      </c>
      <c r="J2409">
        <v>1324.6114502</v>
      </c>
      <c r="K2409">
        <v>2400</v>
      </c>
      <c r="L2409">
        <v>0</v>
      </c>
      <c r="M2409">
        <v>0</v>
      </c>
      <c r="N2409">
        <v>2400</v>
      </c>
    </row>
    <row r="2410" spans="1:14" x14ac:dyDescent="0.25">
      <c r="A2410">
        <v>1513.0423370000001</v>
      </c>
      <c r="B2410" s="1">
        <f>DATE(2014,6,22) + TIME(1,0,57)</f>
        <v>41812.042326388888</v>
      </c>
      <c r="C2410">
        <v>80</v>
      </c>
      <c r="D2410">
        <v>79.977478027000004</v>
      </c>
      <c r="E2410">
        <v>50</v>
      </c>
      <c r="F2410">
        <v>48.297077178999999</v>
      </c>
      <c r="G2410">
        <v>1339.4312743999999</v>
      </c>
      <c r="H2410">
        <v>1337.2000731999999</v>
      </c>
      <c r="I2410">
        <v>1326.5725098</v>
      </c>
      <c r="J2410">
        <v>1324.5916748</v>
      </c>
      <c r="K2410">
        <v>2400</v>
      </c>
      <c r="L2410">
        <v>0</v>
      </c>
      <c r="M2410">
        <v>0</v>
      </c>
      <c r="N2410">
        <v>2400</v>
      </c>
    </row>
    <row r="2411" spans="1:14" x14ac:dyDescent="0.25">
      <c r="A2411">
        <v>1514.2859109999999</v>
      </c>
      <c r="B2411" s="1">
        <f>DATE(2014,6,23) + TIME(6,51,42)</f>
        <v>41813.285902777781</v>
      </c>
      <c r="C2411">
        <v>80</v>
      </c>
      <c r="D2411">
        <v>79.977447510000005</v>
      </c>
      <c r="E2411">
        <v>50</v>
      </c>
      <c r="F2411">
        <v>48.272323608000001</v>
      </c>
      <c r="G2411">
        <v>1339.4251709</v>
      </c>
      <c r="H2411">
        <v>1337.1982422000001</v>
      </c>
      <c r="I2411">
        <v>1326.559082</v>
      </c>
      <c r="J2411">
        <v>1324.5715332</v>
      </c>
      <c r="K2411">
        <v>2400</v>
      </c>
      <c r="L2411">
        <v>0</v>
      </c>
      <c r="M2411">
        <v>0</v>
      </c>
      <c r="N2411">
        <v>2400</v>
      </c>
    </row>
    <row r="2412" spans="1:14" x14ac:dyDescent="0.25">
      <c r="A2412">
        <v>1515.570571</v>
      </c>
      <c r="B2412" s="1">
        <f>DATE(2014,6,24) + TIME(13,41,37)</f>
        <v>41814.570567129631</v>
      </c>
      <c r="C2412">
        <v>80</v>
      </c>
      <c r="D2412">
        <v>79.977424622000001</v>
      </c>
      <c r="E2412">
        <v>50</v>
      </c>
      <c r="F2412">
        <v>48.247413635000001</v>
      </c>
      <c r="G2412">
        <v>1339.4189452999999</v>
      </c>
      <c r="H2412">
        <v>1337.1965332</v>
      </c>
      <c r="I2412">
        <v>1326.5452881000001</v>
      </c>
      <c r="J2412">
        <v>1324.5507812000001</v>
      </c>
      <c r="K2412">
        <v>2400</v>
      </c>
      <c r="L2412">
        <v>0</v>
      </c>
      <c r="M2412">
        <v>0</v>
      </c>
      <c r="N2412">
        <v>2400</v>
      </c>
    </row>
    <row r="2413" spans="1:14" x14ac:dyDescent="0.25">
      <c r="A2413">
        <v>1516.8845550000001</v>
      </c>
      <c r="B2413" s="1">
        <f>DATE(2014,6,25) + TIME(21,13,45)</f>
        <v>41815.884548611109</v>
      </c>
      <c r="C2413">
        <v>80</v>
      </c>
      <c r="D2413">
        <v>79.977394103999998</v>
      </c>
      <c r="E2413">
        <v>50</v>
      </c>
      <c r="F2413">
        <v>48.222423552999999</v>
      </c>
      <c r="G2413">
        <v>1339.4127197</v>
      </c>
      <c r="H2413">
        <v>1337.1947021000001</v>
      </c>
      <c r="I2413">
        <v>1326.53125</v>
      </c>
      <c r="J2413">
        <v>1324.5294189000001</v>
      </c>
      <c r="K2413">
        <v>2400</v>
      </c>
      <c r="L2413">
        <v>0</v>
      </c>
      <c r="M2413">
        <v>0</v>
      </c>
      <c r="N2413">
        <v>2400</v>
      </c>
    </row>
    <row r="2414" spans="1:14" x14ac:dyDescent="0.25">
      <c r="A2414">
        <v>1518.2548650000001</v>
      </c>
      <c r="B2414" s="1">
        <f>DATE(2014,6,27) + TIME(6,7,0)</f>
        <v>41817.254861111112</v>
      </c>
      <c r="C2414">
        <v>80</v>
      </c>
      <c r="D2414">
        <v>79.977371215999995</v>
      </c>
      <c r="E2414">
        <v>50</v>
      </c>
      <c r="F2414">
        <v>48.197307586999997</v>
      </c>
      <c r="G2414">
        <v>1339.4064940999999</v>
      </c>
      <c r="H2414">
        <v>1337.192749</v>
      </c>
      <c r="I2414">
        <v>1326.5168457</v>
      </c>
      <c r="J2414">
        <v>1324.5075684000001</v>
      </c>
      <c r="K2414">
        <v>2400</v>
      </c>
      <c r="L2414">
        <v>0</v>
      </c>
      <c r="M2414">
        <v>0</v>
      </c>
      <c r="N2414">
        <v>2400</v>
      </c>
    </row>
    <row r="2415" spans="1:14" x14ac:dyDescent="0.25">
      <c r="A2415">
        <v>1519.6794789999999</v>
      </c>
      <c r="B2415" s="1">
        <f>DATE(2014,6,28) + TIME(16,18,27)</f>
        <v>41818.679479166669</v>
      </c>
      <c r="C2415">
        <v>80</v>
      </c>
      <c r="D2415">
        <v>79.977348328000005</v>
      </c>
      <c r="E2415">
        <v>50</v>
      </c>
      <c r="F2415">
        <v>48.172008513999998</v>
      </c>
      <c r="G2415">
        <v>1339.4001464999999</v>
      </c>
      <c r="H2415">
        <v>1337.190918</v>
      </c>
      <c r="I2415">
        <v>1326.5020752</v>
      </c>
      <c r="J2415">
        <v>1324.4851074000001</v>
      </c>
      <c r="K2415">
        <v>2400</v>
      </c>
      <c r="L2415">
        <v>0</v>
      </c>
      <c r="M2415">
        <v>0</v>
      </c>
      <c r="N2415">
        <v>2400</v>
      </c>
    </row>
    <row r="2416" spans="1:14" x14ac:dyDescent="0.25">
      <c r="A2416">
        <v>1521.125131</v>
      </c>
      <c r="B2416" s="1">
        <f>DATE(2014,6,30) + TIME(3,0,11)</f>
        <v>41820.125127314815</v>
      </c>
      <c r="C2416">
        <v>80</v>
      </c>
      <c r="D2416">
        <v>79.977317810000002</v>
      </c>
      <c r="E2416">
        <v>50</v>
      </c>
      <c r="F2416">
        <v>48.146804809999999</v>
      </c>
      <c r="G2416">
        <v>1339.3937988</v>
      </c>
      <c r="H2416">
        <v>1337.1889647999999</v>
      </c>
      <c r="I2416">
        <v>1326.4868164</v>
      </c>
      <c r="J2416">
        <v>1324.4617920000001</v>
      </c>
      <c r="K2416">
        <v>2400</v>
      </c>
      <c r="L2416">
        <v>0</v>
      </c>
      <c r="M2416">
        <v>0</v>
      </c>
      <c r="N2416">
        <v>2400</v>
      </c>
    </row>
    <row r="2417" spans="1:14" x14ac:dyDescent="0.25">
      <c r="A2417">
        <v>1522</v>
      </c>
      <c r="B2417" s="1">
        <f>DATE(2014,7,1) + TIME(0,0,0)</f>
        <v>41821</v>
      </c>
      <c r="C2417">
        <v>80</v>
      </c>
      <c r="D2417">
        <v>79.977294921999999</v>
      </c>
      <c r="E2417">
        <v>50</v>
      </c>
      <c r="F2417">
        <v>48.126754761000001</v>
      </c>
      <c r="G2417">
        <v>1339.3878173999999</v>
      </c>
      <c r="H2417">
        <v>1337.1872559000001</v>
      </c>
      <c r="I2417">
        <v>1326.472168</v>
      </c>
      <c r="J2417">
        <v>1324.4395752</v>
      </c>
      <c r="K2417">
        <v>2400</v>
      </c>
      <c r="L2417">
        <v>0</v>
      </c>
      <c r="M2417">
        <v>0</v>
      </c>
      <c r="N2417">
        <v>2400</v>
      </c>
    </row>
    <row r="2418" spans="1:14" x14ac:dyDescent="0.25">
      <c r="A2418">
        <v>1523.486318</v>
      </c>
      <c r="B2418" s="1">
        <f>DATE(2014,7,2) + TIME(11,40,17)</f>
        <v>41822.486307870371</v>
      </c>
      <c r="C2418">
        <v>80</v>
      </c>
      <c r="D2418">
        <v>79.977279663000004</v>
      </c>
      <c r="E2418">
        <v>50</v>
      </c>
      <c r="F2418">
        <v>48.10578537</v>
      </c>
      <c r="G2418">
        <v>1339.3835449000001</v>
      </c>
      <c r="H2418">
        <v>1337.1855469</v>
      </c>
      <c r="I2418">
        <v>1326.4606934000001</v>
      </c>
      <c r="J2418">
        <v>1324.4217529</v>
      </c>
      <c r="K2418">
        <v>2400</v>
      </c>
      <c r="L2418">
        <v>0</v>
      </c>
      <c r="M2418">
        <v>0</v>
      </c>
      <c r="N2418">
        <v>2400</v>
      </c>
    </row>
    <row r="2419" spans="1:14" x14ac:dyDescent="0.25">
      <c r="A2419">
        <v>1525.0037279999999</v>
      </c>
      <c r="B2419" s="1">
        <f>DATE(2014,7,4) + TIME(0,5,22)</f>
        <v>41824.00372685185</v>
      </c>
      <c r="C2419">
        <v>80</v>
      </c>
      <c r="D2419">
        <v>79.977256775000001</v>
      </c>
      <c r="E2419">
        <v>50</v>
      </c>
      <c r="F2419">
        <v>48.083217621000003</v>
      </c>
      <c r="G2419">
        <v>1339.3773193</v>
      </c>
      <c r="H2419">
        <v>1337.1837158000001</v>
      </c>
      <c r="I2419">
        <v>1326.4459228999999</v>
      </c>
      <c r="J2419">
        <v>1324.3990478999999</v>
      </c>
      <c r="K2419">
        <v>2400</v>
      </c>
      <c r="L2419">
        <v>0</v>
      </c>
      <c r="M2419">
        <v>0</v>
      </c>
      <c r="N2419">
        <v>2400</v>
      </c>
    </row>
    <row r="2420" spans="1:14" x14ac:dyDescent="0.25">
      <c r="A2420">
        <v>1526.5339289999999</v>
      </c>
      <c r="B2420" s="1">
        <f>DATE(2014,7,5) + TIME(12,48,51)</f>
        <v>41825.53392361111</v>
      </c>
      <c r="C2420">
        <v>80</v>
      </c>
      <c r="D2420">
        <v>79.977233886999997</v>
      </c>
      <c r="E2420">
        <v>50</v>
      </c>
      <c r="F2420">
        <v>48.060756683000001</v>
      </c>
      <c r="G2420">
        <v>1339.3710937999999</v>
      </c>
      <c r="H2420">
        <v>1337.1816406</v>
      </c>
      <c r="I2420">
        <v>1326.4304199000001</v>
      </c>
      <c r="J2420">
        <v>1324.3751221</v>
      </c>
      <c r="K2420">
        <v>2400</v>
      </c>
      <c r="L2420">
        <v>0</v>
      </c>
      <c r="M2420">
        <v>0</v>
      </c>
      <c r="N2420">
        <v>2400</v>
      </c>
    </row>
    <row r="2421" spans="1:14" x14ac:dyDescent="0.25">
      <c r="A2421">
        <v>1528.0840920000001</v>
      </c>
      <c r="B2421" s="1">
        <f>DATE(2014,7,7) + TIME(2,1,5)</f>
        <v>41827.084085648145</v>
      </c>
      <c r="C2421">
        <v>80</v>
      </c>
      <c r="D2421">
        <v>79.977210998999993</v>
      </c>
      <c r="E2421">
        <v>50</v>
      </c>
      <c r="F2421">
        <v>48.039180756</v>
      </c>
      <c r="G2421">
        <v>1339.3649902</v>
      </c>
      <c r="H2421">
        <v>1337.1795654</v>
      </c>
      <c r="I2421">
        <v>1326.4146728999999</v>
      </c>
      <c r="J2421">
        <v>1324.3507079999999</v>
      </c>
      <c r="K2421">
        <v>2400</v>
      </c>
      <c r="L2421">
        <v>0</v>
      </c>
      <c r="M2421">
        <v>0</v>
      </c>
      <c r="N2421">
        <v>2400</v>
      </c>
    </row>
    <row r="2422" spans="1:14" x14ac:dyDescent="0.25">
      <c r="A2422">
        <v>1529.6616079999999</v>
      </c>
      <c r="B2422" s="1">
        <f>DATE(2014,7,8) + TIME(15,52,42)</f>
        <v>41828.661597222221</v>
      </c>
      <c r="C2422">
        <v>80</v>
      </c>
      <c r="D2422">
        <v>79.977195739999999</v>
      </c>
      <c r="E2422">
        <v>50</v>
      </c>
      <c r="F2422">
        <v>48.018829345999997</v>
      </c>
      <c r="G2422">
        <v>1339.3588867000001</v>
      </c>
      <c r="H2422">
        <v>1337.1774902</v>
      </c>
      <c r="I2422">
        <v>1326.3989257999999</v>
      </c>
      <c r="J2422">
        <v>1324.3261719</v>
      </c>
      <c r="K2422">
        <v>2400</v>
      </c>
      <c r="L2422">
        <v>0</v>
      </c>
      <c r="M2422">
        <v>0</v>
      </c>
      <c r="N2422">
        <v>2400</v>
      </c>
    </row>
    <row r="2423" spans="1:14" x14ac:dyDescent="0.25">
      <c r="A2423">
        <v>1531.274208</v>
      </c>
      <c r="B2423" s="1">
        <f>DATE(2014,7,10) + TIME(6,34,51)</f>
        <v>41830.274201388886</v>
      </c>
      <c r="C2423">
        <v>80</v>
      </c>
      <c r="D2423">
        <v>79.977172851999995</v>
      </c>
      <c r="E2423">
        <v>50</v>
      </c>
      <c r="F2423">
        <v>47.999931334999999</v>
      </c>
      <c r="G2423">
        <v>1339.3527832</v>
      </c>
      <c r="H2423">
        <v>1337.1754149999999</v>
      </c>
      <c r="I2423">
        <v>1326.3830565999999</v>
      </c>
      <c r="J2423">
        <v>1324.3013916</v>
      </c>
      <c r="K2423">
        <v>2400</v>
      </c>
      <c r="L2423">
        <v>0</v>
      </c>
      <c r="M2423">
        <v>0</v>
      </c>
      <c r="N2423">
        <v>2400</v>
      </c>
    </row>
    <row r="2424" spans="1:14" x14ac:dyDescent="0.25">
      <c r="A2424">
        <v>1532.9605710000001</v>
      </c>
      <c r="B2424" s="1">
        <f>DATE(2014,7,11) + TIME(23,3,13)</f>
        <v>41831.96056712963</v>
      </c>
      <c r="C2424">
        <v>80</v>
      </c>
      <c r="D2424">
        <v>79.977157593000001</v>
      </c>
      <c r="E2424">
        <v>50</v>
      </c>
      <c r="F2424">
        <v>47.982643127000003</v>
      </c>
      <c r="G2424">
        <v>1339.3466797000001</v>
      </c>
      <c r="H2424">
        <v>1337.1733397999999</v>
      </c>
      <c r="I2424">
        <v>1326.3670654</v>
      </c>
      <c r="J2424">
        <v>1324.2762451000001</v>
      </c>
      <c r="K2424">
        <v>2400</v>
      </c>
      <c r="L2424">
        <v>0</v>
      </c>
      <c r="M2424">
        <v>0</v>
      </c>
      <c r="N2424">
        <v>2400</v>
      </c>
    </row>
    <row r="2425" spans="1:14" x14ac:dyDescent="0.25">
      <c r="A2425">
        <v>1534.7159469999999</v>
      </c>
      <c r="B2425" s="1">
        <f>DATE(2014,7,13) + TIME(17,10,57)</f>
        <v>41833.715937499997</v>
      </c>
      <c r="C2425">
        <v>80</v>
      </c>
      <c r="D2425">
        <v>79.977142334000007</v>
      </c>
      <c r="E2425">
        <v>50</v>
      </c>
      <c r="F2425">
        <v>47.967269897000001</v>
      </c>
      <c r="G2425">
        <v>1339.3404541</v>
      </c>
      <c r="H2425">
        <v>1337.1711425999999</v>
      </c>
      <c r="I2425">
        <v>1326.3507079999999</v>
      </c>
      <c r="J2425">
        <v>1324.2504882999999</v>
      </c>
      <c r="K2425">
        <v>2400</v>
      </c>
      <c r="L2425">
        <v>0</v>
      </c>
      <c r="M2425">
        <v>0</v>
      </c>
      <c r="N2425">
        <v>2400</v>
      </c>
    </row>
    <row r="2426" spans="1:14" x14ac:dyDescent="0.25">
      <c r="A2426">
        <v>1536.52883</v>
      </c>
      <c r="B2426" s="1">
        <f>DATE(2014,7,15) + TIME(12,41,30)</f>
        <v>41835.528819444444</v>
      </c>
      <c r="C2426">
        <v>80</v>
      </c>
      <c r="D2426">
        <v>79.977119446000003</v>
      </c>
      <c r="E2426">
        <v>50</v>
      </c>
      <c r="F2426">
        <v>47.954429626</v>
      </c>
      <c r="G2426">
        <v>1339.3341064000001</v>
      </c>
      <c r="H2426">
        <v>1337.1688231999999</v>
      </c>
      <c r="I2426">
        <v>1326.3341064000001</v>
      </c>
      <c r="J2426">
        <v>1324.223999</v>
      </c>
      <c r="K2426">
        <v>2400</v>
      </c>
      <c r="L2426">
        <v>0</v>
      </c>
      <c r="M2426">
        <v>0</v>
      </c>
      <c r="N2426">
        <v>2400</v>
      </c>
    </row>
    <row r="2427" spans="1:14" x14ac:dyDescent="0.25">
      <c r="A2427">
        <v>1538.43028</v>
      </c>
      <c r="B2427" s="1">
        <f>DATE(2014,7,17) + TIME(10,19,36)</f>
        <v>41837.430277777778</v>
      </c>
      <c r="C2427">
        <v>80</v>
      </c>
      <c r="D2427">
        <v>79.977104186999995</v>
      </c>
      <c r="E2427">
        <v>50</v>
      </c>
      <c r="F2427">
        <v>47.944850922000001</v>
      </c>
      <c r="G2427">
        <v>1339.3277588000001</v>
      </c>
      <c r="H2427">
        <v>1337.1663818</v>
      </c>
      <c r="I2427">
        <v>1326.3171387</v>
      </c>
      <c r="J2427">
        <v>1324.1970214999999</v>
      </c>
      <c r="K2427">
        <v>2400</v>
      </c>
      <c r="L2427">
        <v>0</v>
      </c>
      <c r="M2427">
        <v>0</v>
      </c>
      <c r="N2427">
        <v>2400</v>
      </c>
    </row>
    <row r="2428" spans="1:14" x14ac:dyDescent="0.25">
      <c r="A2428">
        <v>1540.337493</v>
      </c>
      <c r="B2428" s="1">
        <f>DATE(2014,7,19) + TIME(8,5,59)</f>
        <v>41839.337488425925</v>
      </c>
      <c r="C2428">
        <v>80</v>
      </c>
      <c r="D2428">
        <v>79.977088928000001</v>
      </c>
      <c r="E2428">
        <v>50</v>
      </c>
      <c r="F2428">
        <v>47.939529419000003</v>
      </c>
      <c r="G2428">
        <v>1339.3212891000001</v>
      </c>
      <c r="H2428">
        <v>1337.1640625</v>
      </c>
      <c r="I2428">
        <v>1326.3000488</v>
      </c>
      <c r="J2428">
        <v>1324.1694336</v>
      </c>
      <c r="K2428">
        <v>2400</v>
      </c>
      <c r="L2428">
        <v>0</v>
      </c>
      <c r="M2428">
        <v>0</v>
      </c>
      <c r="N2428">
        <v>2400</v>
      </c>
    </row>
    <row r="2429" spans="1:14" x14ac:dyDescent="0.25">
      <c r="A2429">
        <v>1542.2736649999999</v>
      </c>
      <c r="B2429" s="1">
        <f>DATE(2014,7,21) + TIME(6,34,4)</f>
        <v>41841.273657407408</v>
      </c>
      <c r="C2429">
        <v>80</v>
      </c>
      <c r="D2429">
        <v>79.977073669000006</v>
      </c>
      <c r="E2429">
        <v>50</v>
      </c>
      <c r="F2429">
        <v>47.939559936999999</v>
      </c>
      <c r="G2429">
        <v>1339.3148193</v>
      </c>
      <c r="H2429">
        <v>1337.1616211</v>
      </c>
      <c r="I2429">
        <v>1326.2830810999999</v>
      </c>
      <c r="J2429">
        <v>1324.1418457</v>
      </c>
      <c r="K2429">
        <v>2400</v>
      </c>
      <c r="L2429">
        <v>0</v>
      </c>
      <c r="M2429">
        <v>0</v>
      </c>
      <c r="N2429">
        <v>2400</v>
      </c>
    </row>
    <row r="2430" spans="1:14" x14ac:dyDescent="0.25">
      <c r="A2430">
        <v>1543.244371</v>
      </c>
      <c r="B2430" s="1">
        <f>DATE(2014,7,22) + TIME(5,51,53)</f>
        <v>41842.244363425925</v>
      </c>
      <c r="C2430">
        <v>80</v>
      </c>
      <c r="D2430">
        <v>79.977050781000003</v>
      </c>
      <c r="E2430">
        <v>50</v>
      </c>
      <c r="F2430">
        <v>47.94468689</v>
      </c>
      <c r="G2430">
        <v>1339.309082</v>
      </c>
      <c r="H2430">
        <v>1337.1595459</v>
      </c>
      <c r="I2430">
        <v>1326.2677002</v>
      </c>
      <c r="J2430">
        <v>1324.1164550999999</v>
      </c>
      <c r="K2430">
        <v>2400</v>
      </c>
      <c r="L2430">
        <v>0</v>
      </c>
      <c r="M2430">
        <v>0</v>
      </c>
      <c r="N2430">
        <v>2400</v>
      </c>
    </row>
    <row r="2431" spans="1:14" x14ac:dyDescent="0.25">
      <c r="A2431">
        <v>1545.093961</v>
      </c>
      <c r="B2431" s="1">
        <f>DATE(2014,7,24) + TIME(2,15,18)</f>
        <v>41844.093958333331</v>
      </c>
      <c r="C2431">
        <v>80</v>
      </c>
      <c r="D2431">
        <v>79.977050781000003</v>
      </c>
      <c r="E2431">
        <v>50</v>
      </c>
      <c r="F2431">
        <v>47.953563690000003</v>
      </c>
      <c r="G2431">
        <v>1339.3052978999999</v>
      </c>
      <c r="H2431">
        <v>1337.1577147999999</v>
      </c>
      <c r="I2431">
        <v>1326.2563477000001</v>
      </c>
      <c r="J2431">
        <v>1324.0979004000001</v>
      </c>
      <c r="K2431">
        <v>2400</v>
      </c>
      <c r="L2431">
        <v>0</v>
      </c>
      <c r="M2431">
        <v>0</v>
      </c>
      <c r="N2431">
        <v>2400</v>
      </c>
    </row>
    <row r="2432" spans="1:14" x14ac:dyDescent="0.25">
      <c r="A2432">
        <v>1546.9965500000001</v>
      </c>
      <c r="B2432" s="1">
        <f>DATE(2014,7,25) + TIME(23,55,1)</f>
        <v>41845.996539351851</v>
      </c>
      <c r="C2432">
        <v>80</v>
      </c>
      <c r="D2432">
        <v>79.977035521999994</v>
      </c>
      <c r="E2432">
        <v>50</v>
      </c>
      <c r="F2432">
        <v>47.971054076999998</v>
      </c>
      <c r="G2432">
        <v>1339.2995605000001</v>
      </c>
      <c r="H2432">
        <v>1337.1555175999999</v>
      </c>
      <c r="I2432">
        <v>1326.2421875</v>
      </c>
      <c r="J2432">
        <v>1324.0742187999999</v>
      </c>
      <c r="K2432">
        <v>2400</v>
      </c>
      <c r="L2432">
        <v>0</v>
      </c>
      <c r="M2432">
        <v>0</v>
      </c>
      <c r="N2432">
        <v>2400</v>
      </c>
    </row>
    <row r="2433" spans="1:14" x14ac:dyDescent="0.25">
      <c r="A2433">
        <v>1548.9404669999999</v>
      </c>
      <c r="B2433" s="1">
        <f>DATE(2014,7,27) + TIME(22,34,16)</f>
        <v>41847.940462962964</v>
      </c>
      <c r="C2433">
        <v>80</v>
      </c>
      <c r="D2433">
        <v>79.977027892999999</v>
      </c>
      <c r="E2433">
        <v>50</v>
      </c>
      <c r="F2433">
        <v>47.998279572000001</v>
      </c>
      <c r="G2433">
        <v>1339.2937012</v>
      </c>
      <c r="H2433">
        <v>1337.1531981999999</v>
      </c>
      <c r="I2433">
        <v>1326.2275391000001</v>
      </c>
      <c r="J2433">
        <v>1324.0494385</v>
      </c>
      <c r="K2433">
        <v>2400</v>
      </c>
      <c r="L2433">
        <v>0</v>
      </c>
      <c r="M2433">
        <v>0</v>
      </c>
      <c r="N2433">
        <v>2400</v>
      </c>
    </row>
    <row r="2434" spans="1:14" x14ac:dyDescent="0.25">
      <c r="A2434">
        <v>1549.9354149999999</v>
      </c>
      <c r="B2434" s="1">
        <f>DATE(2014,7,28) + TIME(22,26,59)</f>
        <v>41848.93540509259</v>
      </c>
      <c r="C2434">
        <v>80</v>
      </c>
      <c r="D2434">
        <v>79.977005004999995</v>
      </c>
      <c r="E2434">
        <v>50</v>
      </c>
      <c r="F2434">
        <v>48.028945923000002</v>
      </c>
      <c r="G2434">
        <v>1339.2883300999999</v>
      </c>
      <c r="H2434">
        <v>1337.1512451000001</v>
      </c>
      <c r="I2434">
        <v>1326.2142334</v>
      </c>
      <c r="J2434">
        <v>1324.0263672000001</v>
      </c>
      <c r="K2434">
        <v>2400</v>
      </c>
      <c r="L2434">
        <v>0</v>
      </c>
      <c r="M2434">
        <v>0</v>
      </c>
      <c r="N2434">
        <v>2400</v>
      </c>
    </row>
    <row r="2435" spans="1:14" x14ac:dyDescent="0.25">
      <c r="A2435">
        <v>1551.7867429999999</v>
      </c>
      <c r="B2435" s="1">
        <f>DATE(2014,7,30) + TIME(18,52,54)</f>
        <v>41850.786736111113</v>
      </c>
      <c r="C2435">
        <v>80</v>
      </c>
      <c r="D2435">
        <v>79.977005004999995</v>
      </c>
      <c r="E2435">
        <v>50</v>
      </c>
      <c r="F2435">
        <v>48.065734863000003</v>
      </c>
      <c r="G2435">
        <v>1339.284668</v>
      </c>
      <c r="H2435">
        <v>1337.1494141000001</v>
      </c>
      <c r="I2435">
        <v>1326.2039795000001</v>
      </c>
      <c r="J2435">
        <v>1324.0092772999999</v>
      </c>
      <c r="K2435">
        <v>2400</v>
      </c>
      <c r="L2435">
        <v>0</v>
      </c>
      <c r="M2435">
        <v>0</v>
      </c>
      <c r="N2435">
        <v>2400</v>
      </c>
    </row>
    <row r="2436" spans="1:14" x14ac:dyDescent="0.25">
      <c r="A2436">
        <v>1553</v>
      </c>
      <c r="B2436" s="1">
        <f>DATE(2014,8,1) + TIME(0,0,0)</f>
        <v>41852</v>
      </c>
      <c r="C2436">
        <v>80</v>
      </c>
      <c r="D2436">
        <v>79.976997374999996</v>
      </c>
      <c r="E2436">
        <v>50</v>
      </c>
      <c r="F2436">
        <v>48.113117217999999</v>
      </c>
      <c r="G2436">
        <v>1339.2796631000001</v>
      </c>
      <c r="H2436">
        <v>1337.1475829999999</v>
      </c>
      <c r="I2436">
        <v>1326.1926269999999</v>
      </c>
      <c r="J2436">
        <v>1323.9891356999999</v>
      </c>
      <c r="K2436">
        <v>2400</v>
      </c>
      <c r="L2436">
        <v>0</v>
      </c>
      <c r="M2436">
        <v>0</v>
      </c>
      <c r="N2436">
        <v>2400</v>
      </c>
    </row>
    <row r="2437" spans="1:14" x14ac:dyDescent="0.25">
      <c r="A2437">
        <v>1554.9358480000001</v>
      </c>
      <c r="B2437" s="1">
        <f>DATE(2014,8,2) + TIME(22,27,37)</f>
        <v>41853.935844907406</v>
      </c>
      <c r="C2437">
        <v>80</v>
      </c>
      <c r="D2437">
        <v>79.976997374999996</v>
      </c>
      <c r="E2437">
        <v>50</v>
      </c>
      <c r="F2437">
        <v>48.170127868999998</v>
      </c>
      <c r="G2437">
        <v>1339.2757568</v>
      </c>
      <c r="H2437">
        <v>1337.1456298999999</v>
      </c>
      <c r="I2437">
        <v>1326.1824951000001</v>
      </c>
      <c r="J2437">
        <v>1323.9719238</v>
      </c>
      <c r="K2437">
        <v>2400</v>
      </c>
      <c r="L2437">
        <v>0</v>
      </c>
      <c r="M2437">
        <v>0</v>
      </c>
      <c r="N2437">
        <v>2400</v>
      </c>
    </row>
    <row r="2438" spans="1:14" x14ac:dyDescent="0.25">
      <c r="A2438">
        <v>1555.9474700000001</v>
      </c>
      <c r="B2438" s="1">
        <f>DATE(2014,8,3) + TIME(22,44,21)</f>
        <v>41854.947465277779</v>
      </c>
      <c r="C2438">
        <v>80</v>
      </c>
      <c r="D2438">
        <v>79.976982117000006</v>
      </c>
      <c r="E2438">
        <v>50</v>
      </c>
      <c r="F2438">
        <v>48.236236572000003</v>
      </c>
      <c r="G2438">
        <v>1339.270874</v>
      </c>
      <c r="H2438">
        <v>1337.1437988</v>
      </c>
      <c r="I2438">
        <v>1326.1726074000001</v>
      </c>
      <c r="J2438">
        <v>1323.9530029</v>
      </c>
      <c r="K2438">
        <v>2400</v>
      </c>
      <c r="L2438">
        <v>0</v>
      </c>
      <c r="M2438">
        <v>0</v>
      </c>
      <c r="N2438">
        <v>2400</v>
      </c>
    </row>
    <row r="2439" spans="1:14" x14ac:dyDescent="0.25">
      <c r="A2439">
        <v>1557.8075650000001</v>
      </c>
      <c r="B2439" s="1">
        <f>DATE(2014,8,5) + TIME(19,22,53)</f>
        <v>41856.807557870372</v>
      </c>
      <c r="C2439">
        <v>80</v>
      </c>
      <c r="D2439">
        <v>79.976982117000006</v>
      </c>
      <c r="E2439">
        <v>50</v>
      </c>
      <c r="F2439">
        <v>48.312328338999997</v>
      </c>
      <c r="G2439">
        <v>1339.2673339999999</v>
      </c>
      <c r="H2439">
        <v>1337.1420897999999</v>
      </c>
      <c r="I2439">
        <v>1326.1636963000001</v>
      </c>
      <c r="J2439">
        <v>1323.9381103999999</v>
      </c>
      <c r="K2439">
        <v>2400</v>
      </c>
      <c r="L2439">
        <v>0</v>
      </c>
      <c r="M2439">
        <v>0</v>
      </c>
      <c r="N2439">
        <v>2400</v>
      </c>
    </row>
    <row r="2440" spans="1:14" x14ac:dyDescent="0.25">
      <c r="A2440">
        <v>1559.770712</v>
      </c>
      <c r="B2440" s="1">
        <f>DATE(2014,8,7) + TIME(18,29,49)</f>
        <v>41858.77070601852</v>
      </c>
      <c r="C2440">
        <v>80</v>
      </c>
      <c r="D2440">
        <v>79.976974487000007</v>
      </c>
      <c r="E2440">
        <v>50</v>
      </c>
      <c r="F2440">
        <v>48.421421051000003</v>
      </c>
      <c r="G2440">
        <v>1339.2623291</v>
      </c>
      <c r="H2440">
        <v>1337.1398925999999</v>
      </c>
      <c r="I2440">
        <v>1326.1538086</v>
      </c>
      <c r="J2440">
        <v>1323.9196777</v>
      </c>
      <c r="K2440">
        <v>2400</v>
      </c>
      <c r="L2440">
        <v>0</v>
      </c>
      <c r="M2440">
        <v>0</v>
      </c>
      <c r="N2440">
        <v>2400</v>
      </c>
    </row>
    <row r="2441" spans="1:14" x14ac:dyDescent="0.25">
      <c r="A2441">
        <v>1561.7742920000001</v>
      </c>
      <c r="B2441" s="1">
        <f>DATE(2014,8,9) + TIME(18,34,58)</f>
        <v>41860.774282407408</v>
      </c>
      <c r="C2441">
        <v>80</v>
      </c>
      <c r="D2441">
        <v>79.976974487000007</v>
      </c>
      <c r="E2441">
        <v>50</v>
      </c>
      <c r="F2441">
        <v>48.561477660999998</v>
      </c>
      <c r="G2441">
        <v>1339.2569579999999</v>
      </c>
      <c r="H2441">
        <v>1337.1375731999999</v>
      </c>
      <c r="I2441">
        <v>1326.1435547000001</v>
      </c>
      <c r="J2441">
        <v>1323.9005127</v>
      </c>
      <c r="K2441">
        <v>2400</v>
      </c>
      <c r="L2441">
        <v>0</v>
      </c>
      <c r="M2441">
        <v>0</v>
      </c>
      <c r="N2441">
        <v>2400</v>
      </c>
    </row>
    <row r="2442" spans="1:14" x14ac:dyDescent="0.25">
      <c r="A2442">
        <v>1562.799297</v>
      </c>
      <c r="B2442" s="1">
        <f>DATE(2014,8,10) + TIME(19,10,59)</f>
        <v>41861.799293981479</v>
      </c>
      <c r="C2442">
        <v>80</v>
      </c>
      <c r="D2442">
        <v>79.976959229000002</v>
      </c>
      <c r="E2442">
        <v>50</v>
      </c>
      <c r="F2442">
        <v>48.698665619000003</v>
      </c>
      <c r="G2442">
        <v>1339.2520752</v>
      </c>
      <c r="H2442">
        <v>1337.1356201000001</v>
      </c>
      <c r="I2442">
        <v>1326.135376</v>
      </c>
      <c r="J2442">
        <v>1323.8833007999999</v>
      </c>
      <c r="K2442">
        <v>2400</v>
      </c>
      <c r="L2442">
        <v>0</v>
      </c>
      <c r="M2442">
        <v>0</v>
      </c>
      <c r="N2442">
        <v>2400</v>
      </c>
    </row>
    <row r="2443" spans="1:14" x14ac:dyDescent="0.25">
      <c r="A2443">
        <v>1564.6161970000001</v>
      </c>
      <c r="B2443" s="1">
        <f>DATE(2014,8,12) + TIME(14,47,19)</f>
        <v>41863.61619212963</v>
      </c>
      <c r="C2443">
        <v>80</v>
      </c>
      <c r="D2443">
        <v>79.976959229000002</v>
      </c>
      <c r="E2443">
        <v>50</v>
      </c>
      <c r="F2443">
        <v>48.845249176000003</v>
      </c>
      <c r="G2443">
        <v>1339.2487793</v>
      </c>
      <c r="H2443">
        <v>1337.1337891000001</v>
      </c>
      <c r="I2443">
        <v>1326.1276855000001</v>
      </c>
      <c r="J2443">
        <v>1323.8707274999999</v>
      </c>
      <c r="K2443">
        <v>2400</v>
      </c>
      <c r="L2443">
        <v>0</v>
      </c>
      <c r="M2443">
        <v>0</v>
      </c>
      <c r="N2443">
        <v>2400</v>
      </c>
    </row>
    <row r="2444" spans="1:14" x14ac:dyDescent="0.25">
      <c r="A2444">
        <v>1566.596689</v>
      </c>
      <c r="B2444" s="1">
        <f>DATE(2014,8,14) + TIME(14,19,13)</f>
        <v>41865.596678240741</v>
      </c>
      <c r="C2444">
        <v>80</v>
      </c>
      <c r="D2444">
        <v>79.976959229000002</v>
      </c>
      <c r="E2444">
        <v>50</v>
      </c>
      <c r="F2444">
        <v>49.041915893999999</v>
      </c>
      <c r="G2444">
        <v>1339.2441406</v>
      </c>
      <c r="H2444">
        <v>1337.1317139</v>
      </c>
      <c r="I2444">
        <v>1326.1202393000001</v>
      </c>
      <c r="J2444">
        <v>1323.8560791</v>
      </c>
      <c r="K2444">
        <v>2400</v>
      </c>
      <c r="L2444">
        <v>0</v>
      </c>
      <c r="M2444">
        <v>0</v>
      </c>
      <c r="N2444">
        <v>2400</v>
      </c>
    </row>
    <row r="2445" spans="1:14" x14ac:dyDescent="0.25">
      <c r="A2445">
        <v>1568.638717</v>
      </c>
      <c r="B2445" s="1">
        <f>DATE(2014,8,16) + TIME(15,19,45)</f>
        <v>41867.638715277775</v>
      </c>
      <c r="C2445">
        <v>80</v>
      </c>
      <c r="D2445">
        <v>79.976959229000002</v>
      </c>
      <c r="E2445">
        <v>50</v>
      </c>
      <c r="F2445">
        <v>49.286518096999998</v>
      </c>
      <c r="G2445">
        <v>1339.2390137</v>
      </c>
      <c r="H2445">
        <v>1337.1293945</v>
      </c>
      <c r="I2445">
        <v>1326.1129149999999</v>
      </c>
      <c r="J2445">
        <v>1323.8411865</v>
      </c>
      <c r="K2445">
        <v>2400</v>
      </c>
      <c r="L2445">
        <v>0</v>
      </c>
      <c r="M2445">
        <v>0</v>
      </c>
      <c r="N2445">
        <v>2400</v>
      </c>
    </row>
    <row r="2446" spans="1:14" x14ac:dyDescent="0.25">
      <c r="A2446">
        <v>1570.707647</v>
      </c>
      <c r="B2446" s="1">
        <f>DATE(2014,8,18) + TIME(16,59,0)</f>
        <v>41869.707638888889</v>
      </c>
      <c r="C2446">
        <v>80</v>
      </c>
      <c r="D2446">
        <v>79.976959229000002</v>
      </c>
      <c r="E2446">
        <v>50</v>
      </c>
      <c r="F2446">
        <v>49.577667236000003</v>
      </c>
      <c r="G2446">
        <v>1339.2338867000001</v>
      </c>
      <c r="H2446">
        <v>1337.1269531</v>
      </c>
      <c r="I2446">
        <v>1326.105957</v>
      </c>
      <c r="J2446">
        <v>1323.8270264</v>
      </c>
      <c r="K2446">
        <v>2400</v>
      </c>
      <c r="L2446">
        <v>0</v>
      </c>
      <c r="M2446">
        <v>0</v>
      </c>
      <c r="N2446">
        <v>2400</v>
      </c>
    </row>
    <row r="2447" spans="1:14" x14ac:dyDescent="0.25">
      <c r="A2447">
        <v>1572.780141</v>
      </c>
      <c r="B2447" s="1">
        <f>DATE(2014,8,20) + TIME(18,43,24)</f>
        <v>41871.780138888891</v>
      </c>
      <c r="C2447">
        <v>80</v>
      </c>
      <c r="D2447">
        <v>79.976951599000003</v>
      </c>
      <c r="E2447">
        <v>50</v>
      </c>
      <c r="F2447">
        <v>49.907093048</v>
      </c>
      <c r="G2447">
        <v>1339.2287598</v>
      </c>
      <c r="H2447">
        <v>1337.1245117000001</v>
      </c>
      <c r="I2447">
        <v>1326.0996094</v>
      </c>
      <c r="J2447">
        <v>1323.8140868999999</v>
      </c>
      <c r="K2447">
        <v>2400</v>
      </c>
      <c r="L2447">
        <v>0</v>
      </c>
      <c r="M2447">
        <v>0</v>
      </c>
      <c r="N2447">
        <v>2400</v>
      </c>
    </row>
    <row r="2448" spans="1:14" x14ac:dyDescent="0.25">
      <c r="A2448">
        <v>1574.8688669999999</v>
      </c>
      <c r="B2448" s="1">
        <f>DATE(2014,8,22) + TIME(20,51,10)</f>
        <v>41873.86886574074</v>
      </c>
      <c r="C2448">
        <v>80</v>
      </c>
      <c r="D2448">
        <v>79.976951599000003</v>
      </c>
      <c r="E2448">
        <v>50</v>
      </c>
      <c r="F2448">
        <v>50.272205352999997</v>
      </c>
      <c r="G2448">
        <v>1339.2237548999999</v>
      </c>
      <c r="H2448">
        <v>1337.1220702999999</v>
      </c>
      <c r="I2448">
        <v>1326.0941161999999</v>
      </c>
      <c r="J2448">
        <v>1323.8026123</v>
      </c>
      <c r="K2448">
        <v>2400</v>
      </c>
      <c r="L2448">
        <v>0</v>
      </c>
      <c r="M2448">
        <v>0</v>
      </c>
      <c r="N2448">
        <v>2400</v>
      </c>
    </row>
    <row r="2449" spans="1:14" x14ac:dyDescent="0.25">
      <c r="A2449">
        <v>1576.9619439999999</v>
      </c>
      <c r="B2449" s="1">
        <f>DATE(2014,8,24) + TIME(23,5,12)</f>
        <v>41875.961944444447</v>
      </c>
      <c r="C2449">
        <v>80</v>
      </c>
      <c r="D2449">
        <v>79.976951599000003</v>
      </c>
      <c r="E2449">
        <v>50</v>
      </c>
      <c r="F2449">
        <v>50.674064635999997</v>
      </c>
      <c r="G2449">
        <v>1339.21875</v>
      </c>
      <c r="H2449">
        <v>1337.1196289</v>
      </c>
      <c r="I2449">
        <v>1326.0894774999999</v>
      </c>
      <c r="J2449">
        <v>1323.7927245999999</v>
      </c>
      <c r="K2449">
        <v>2400</v>
      </c>
      <c r="L2449">
        <v>0</v>
      </c>
      <c r="M2449">
        <v>0</v>
      </c>
      <c r="N2449">
        <v>2400</v>
      </c>
    </row>
    <row r="2450" spans="1:14" x14ac:dyDescent="0.25">
      <c r="A2450">
        <v>1579.1242440000001</v>
      </c>
      <c r="B2450" s="1">
        <f>DATE(2014,8,27) + TIME(2,58,54)</f>
        <v>41878.124236111114</v>
      </c>
      <c r="C2450">
        <v>80</v>
      </c>
      <c r="D2450">
        <v>79.976951599000003</v>
      </c>
      <c r="E2450">
        <v>50</v>
      </c>
      <c r="F2450">
        <v>51.112541198999999</v>
      </c>
      <c r="G2450">
        <v>1339.2137451000001</v>
      </c>
      <c r="H2450">
        <v>1337.1171875</v>
      </c>
      <c r="I2450">
        <v>1326.0854492000001</v>
      </c>
      <c r="J2450">
        <v>1323.7843018000001</v>
      </c>
      <c r="K2450">
        <v>2400</v>
      </c>
      <c r="L2450">
        <v>0</v>
      </c>
      <c r="M2450">
        <v>0</v>
      </c>
      <c r="N2450">
        <v>2400</v>
      </c>
    </row>
    <row r="2451" spans="1:14" x14ac:dyDescent="0.25">
      <c r="A2451">
        <v>1581.3344930000001</v>
      </c>
      <c r="B2451" s="1">
        <f>DATE(2014,8,29) + TIME(8,1,40)</f>
        <v>41880.334490740737</v>
      </c>
      <c r="C2451">
        <v>80</v>
      </c>
      <c r="D2451">
        <v>79.976951599000003</v>
      </c>
      <c r="E2451">
        <v>50</v>
      </c>
      <c r="F2451">
        <v>51.590007782000001</v>
      </c>
      <c r="G2451">
        <v>1339.2087402</v>
      </c>
      <c r="H2451">
        <v>1337.1147461</v>
      </c>
      <c r="I2451">
        <v>1326.0821533000001</v>
      </c>
      <c r="J2451">
        <v>1323.7770995999999</v>
      </c>
      <c r="K2451">
        <v>2400</v>
      </c>
      <c r="L2451">
        <v>0</v>
      </c>
      <c r="M2451">
        <v>0</v>
      </c>
      <c r="N2451">
        <v>2400</v>
      </c>
    </row>
    <row r="2452" spans="1:14" x14ac:dyDescent="0.25">
      <c r="A2452">
        <v>1583.6328510000001</v>
      </c>
      <c r="B2452" s="1">
        <f>DATE(2014,8,31) + TIME(15,11,18)</f>
        <v>41882.632847222223</v>
      </c>
      <c r="C2452">
        <v>80</v>
      </c>
      <c r="D2452">
        <v>79.976951599000003</v>
      </c>
      <c r="E2452">
        <v>50</v>
      </c>
      <c r="F2452">
        <v>52.101234435999999</v>
      </c>
      <c r="G2452">
        <v>1339.2037353999999</v>
      </c>
      <c r="H2452">
        <v>1337.1123047000001</v>
      </c>
      <c r="I2452">
        <v>1326.0794678</v>
      </c>
      <c r="J2452">
        <v>1323.7713623</v>
      </c>
      <c r="K2452">
        <v>2400</v>
      </c>
      <c r="L2452">
        <v>0</v>
      </c>
      <c r="M2452">
        <v>0</v>
      </c>
      <c r="N2452">
        <v>2400</v>
      </c>
    </row>
    <row r="2453" spans="1:14" x14ac:dyDescent="0.25">
      <c r="A2453">
        <v>1584</v>
      </c>
      <c r="B2453" s="1">
        <f>DATE(2014,9,1) + TIME(0,0,0)</f>
        <v>41883</v>
      </c>
      <c r="C2453">
        <v>80</v>
      </c>
      <c r="D2453">
        <v>79.976943969999994</v>
      </c>
      <c r="E2453">
        <v>50</v>
      </c>
      <c r="F2453">
        <v>52.353191375999998</v>
      </c>
      <c r="G2453">
        <v>1339.2003173999999</v>
      </c>
      <c r="H2453">
        <v>1337.1113281</v>
      </c>
      <c r="I2453">
        <v>1326.0843506000001</v>
      </c>
      <c r="J2453">
        <v>1323.769043</v>
      </c>
      <c r="K2453">
        <v>2400</v>
      </c>
      <c r="L2453">
        <v>0</v>
      </c>
      <c r="M2453">
        <v>0</v>
      </c>
      <c r="N2453">
        <v>2400</v>
      </c>
    </row>
    <row r="2454" spans="1:14" x14ac:dyDescent="0.25">
      <c r="A2454">
        <v>1586.439543</v>
      </c>
      <c r="B2454" s="1">
        <f>DATE(2014,9,3) + TIME(10,32,56)</f>
        <v>41885.43953703704</v>
      </c>
      <c r="C2454">
        <v>80</v>
      </c>
      <c r="D2454">
        <v>79.976951599000003</v>
      </c>
      <c r="E2454">
        <v>50</v>
      </c>
      <c r="F2454">
        <v>52.767608643000003</v>
      </c>
      <c r="G2454">
        <v>1339.1976318</v>
      </c>
      <c r="H2454">
        <v>1337.1091309000001</v>
      </c>
      <c r="I2454">
        <v>1326.0766602000001</v>
      </c>
      <c r="J2454">
        <v>1323.7669678</v>
      </c>
      <c r="K2454">
        <v>2400</v>
      </c>
      <c r="L2454">
        <v>0</v>
      </c>
      <c r="M2454">
        <v>0</v>
      </c>
      <c r="N2454">
        <v>2400</v>
      </c>
    </row>
    <row r="2455" spans="1:14" x14ac:dyDescent="0.25">
      <c r="A2455">
        <v>1588.978711</v>
      </c>
      <c r="B2455" s="1">
        <f>DATE(2014,9,5) + TIME(23,29,20)</f>
        <v>41887.978703703702</v>
      </c>
      <c r="C2455">
        <v>80</v>
      </c>
      <c r="D2455">
        <v>79.976959229000002</v>
      </c>
      <c r="E2455">
        <v>50</v>
      </c>
      <c r="F2455">
        <v>53.317787170000003</v>
      </c>
      <c r="G2455">
        <v>1339.1925048999999</v>
      </c>
      <c r="H2455">
        <v>1337.1066894999999</v>
      </c>
      <c r="I2455">
        <v>1326.0756836</v>
      </c>
      <c r="J2455">
        <v>1323.7628173999999</v>
      </c>
      <c r="K2455">
        <v>2400</v>
      </c>
      <c r="L2455">
        <v>0</v>
      </c>
      <c r="M2455">
        <v>0</v>
      </c>
      <c r="N2455">
        <v>2400</v>
      </c>
    </row>
    <row r="2456" spans="1:14" x14ac:dyDescent="0.25">
      <c r="A2456">
        <v>1591.668778</v>
      </c>
      <c r="B2456" s="1">
        <f>DATE(2014,9,8) + TIME(16,3,2)</f>
        <v>41890.668773148151</v>
      </c>
      <c r="C2456">
        <v>80</v>
      </c>
      <c r="D2456">
        <v>79.976966857999997</v>
      </c>
      <c r="E2456">
        <v>50</v>
      </c>
      <c r="F2456">
        <v>53.911720275999997</v>
      </c>
      <c r="G2456">
        <v>1339.1871338000001</v>
      </c>
      <c r="H2456">
        <v>1337.1038818</v>
      </c>
      <c r="I2456">
        <v>1326.0750731999999</v>
      </c>
      <c r="J2456">
        <v>1323.7604980000001</v>
      </c>
      <c r="K2456">
        <v>2400</v>
      </c>
      <c r="L2456">
        <v>0</v>
      </c>
      <c r="M2456">
        <v>0</v>
      </c>
      <c r="N2456">
        <v>2400</v>
      </c>
    </row>
    <row r="2457" spans="1:14" x14ac:dyDescent="0.25">
      <c r="A2457">
        <v>1594.426649</v>
      </c>
      <c r="B2457" s="1">
        <f>DATE(2014,9,11) + TIME(10,14,22)</f>
        <v>41893.42664351852</v>
      </c>
      <c r="C2457">
        <v>80</v>
      </c>
      <c r="D2457">
        <v>79.976966857999997</v>
      </c>
      <c r="E2457">
        <v>50</v>
      </c>
      <c r="F2457">
        <v>54.525691985999998</v>
      </c>
      <c r="G2457">
        <v>1339.1816406</v>
      </c>
      <c r="H2457">
        <v>1337.1010742000001</v>
      </c>
      <c r="I2457">
        <v>1326.0751952999999</v>
      </c>
      <c r="J2457">
        <v>1323.7593993999999</v>
      </c>
      <c r="K2457">
        <v>2400</v>
      </c>
      <c r="L2457">
        <v>0</v>
      </c>
      <c r="M2457">
        <v>0</v>
      </c>
      <c r="N2457">
        <v>2400</v>
      </c>
    </row>
    <row r="2458" spans="1:14" x14ac:dyDescent="0.25">
      <c r="A2458">
        <v>1597.2720469999999</v>
      </c>
      <c r="B2458" s="1">
        <f>DATE(2014,9,14) + TIME(6,31,44)</f>
        <v>41896.272037037037</v>
      </c>
      <c r="C2458">
        <v>80</v>
      </c>
      <c r="D2458">
        <v>79.976974487000007</v>
      </c>
      <c r="E2458">
        <v>50</v>
      </c>
      <c r="F2458">
        <v>55.132781981999997</v>
      </c>
      <c r="G2458">
        <v>1339.1760254000001</v>
      </c>
      <c r="H2458">
        <v>1337.0982666</v>
      </c>
      <c r="I2458">
        <v>1326.0760498</v>
      </c>
      <c r="J2458">
        <v>1323.7592772999999</v>
      </c>
      <c r="K2458">
        <v>2400</v>
      </c>
      <c r="L2458">
        <v>0</v>
      </c>
      <c r="M2458">
        <v>0</v>
      </c>
      <c r="N2458">
        <v>2400</v>
      </c>
    </row>
    <row r="2459" spans="1:14" x14ac:dyDescent="0.25">
      <c r="A2459">
        <v>1600.2723109999999</v>
      </c>
      <c r="B2459" s="1">
        <f>DATE(2014,9,17) + TIME(6,32,7)</f>
        <v>41899.272303240738</v>
      </c>
      <c r="C2459">
        <v>80</v>
      </c>
      <c r="D2459">
        <v>79.976982117000006</v>
      </c>
      <c r="E2459">
        <v>50</v>
      </c>
      <c r="F2459">
        <v>55.740188599</v>
      </c>
      <c r="G2459">
        <v>1339.1704102000001</v>
      </c>
      <c r="H2459">
        <v>1337.0954589999999</v>
      </c>
      <c r="I2459">
        <v>1326.0775146000001</v>
      </c>
      <c r="J2459">
        <v>1323.760376</v>
      </c>
      <c r="K2459">
        <v>2400</v>
      </c>
      <c r="L2459">
        <v>0</v>
      </c>
      <c r="M2459">
        <v>0</v>
      </c>
      <c r="N2459">
        <v>2400</v>
      </c>
    </row>
    <row r="2460" spans="1:14" x14ac:dyDescent="0.25">
      <c r="A2460">
        <v>1603.326431</v>
      </c>
      <c r="B2460" s="1">
        <f>DATE(2014,9,20) + TIME(7,50,3)</f>
        <v>41902.326423611114</v>
      </c>
      <c r="C2460">
        <v>80</v>
      </c>
      <c r="D2460">
        <v>79.976989746000001</v>
      </c>
      <c r="E2460">
        <v>50</v>
      </c>
      <c r="F2460">
        <v>56.346569060999997</v>
      </c>
      <c r="G2460">
        <v>1339.1646728999999</v>
      </c>
      <c r="H2460">
        <v>1337.0925293</v>
      </c>
      <c r="I2460">
        <v>1326.0797118999999</v>
      </c>
      <c r="J2460">
        <v>1323.7623291</v>
      </c>
      <c r="K2460">
        <v>2400</v>
      </c>
      <c r="L2460">
        <v>0</v>
      </c>
      <c r="M2460">
        <v>0</v>
      </c>
      <c r="N2460">
        <v>2400</v>
      </c>
    </row>
    <row r="2461" spans="1:14" x14ac:dyDescent="0.25">
      <c r="A2461">
        <v>1606.4863029999999</v>
      </c>
      <c r="B2461" s="1">
        <f>DATE(2014,9,23) + TIME(11,40,16)</f>
        <v>41905.486296296294</v>
      </c>
      <c r="C2461">
        <v>80</v>
      </c>
      <c r="D2461">
        <v>79.976997374999996</v>
      </c>
      <c r="E2461">
        <v>50</v>
      </c>
      <c r="F2461">
        <v>56.943187713999997</v>
      </c>
      <c r="G2461">
        <v>1339.1590576000001</v>
      </c>
      <c r="H2461">
        <v>1337.0895995999999</v>
      </c>
      <c r="I2461">
        <v>1326.0825195</v>
      </c>
      <c r="J2461">
        <v>1323.7651367000001</v>
      </c>
      <c r="K2461">
        <v>2400</v>
      </c>
      <c r="L2461">
        <v>0</v>
      </c>
      <c r="M2461">
        <v>0</v>
      </c>
      <c r="N2461">
        <v>2400</v>
      </c>
    </row>
    <row r="2462" spans="1:14" x14ac:dyDescent="0.25">
      <c r="A2462">
        <v>1609.7811899999999</v>
      </c>
      <c r="B2462" s="1">
        <f>DATE(2014,9,26) + TIME(18,44,54)</f>
        <v>41908.781180555554</v>
      </c>
      <c r="C2462">
        <v>80</v>
      </c>
      <c r="D2462">
        <v>79.977005004999995</v>
      </c>
      <c r="E2462">
        <v>50</v>
      </c>
      <c r="F2462">
        <v>57.524852752999998</v>
      </c>
      <c r="G2462">
        <v>1339.1533202999999</v>
      </c>
      <c r="H2462">
        <v>1337.0866699000001</v>
      </c>
      <c r="I2462">
        <v>1326.0858154</v>
      </c>
      <c r="J2462">
        <v>1323.7687988</v>
      </c>
      <c r="K2462">
        <v>2400</v>
      </c>
      <c r="L2462">
        <v>0</v>
      </c>
      <c r="M2462">
        <v>0</v>
      </c>
      <c r="N2462">
        <v>2400</v>
      </c>
    </row>
    <row r="2463" spans="1:14" x14ac:dyDescent="0.25">
      <c r="A2463">
        <v>1613.1434569999999</v>
      </c>
      <c r="B2463" s="1">
        <f>DATE(2014,9,30) + TIME(3,26,34)</f>
        <v>41912.143449074072</v>
      </c>
      <c r="C2463">
        <v>80</v>
      </c>
      <c r="D2463">
        <v>79.977020264000004</v>
      </c>
      <c r="E2463">
        <v>50</v>
      </c>
      <c r="F2463">
        <v>58.099517822000003</v>
      </c>
      <c r="G2463">
        <v>1339.1475829999999</v>
      </c>
      <c r="H2463">
        <v>1337.0837402</v>
      </c>
      <c r="I2463">
        <v>1326.0895995999999</v>
      </c>
      <c r="J2463">
        <v>1323.7729492000001</v>
      </c>
      <c r="K2463">
        <v>2400</v>
      </c>
      <c r="L2463">
        <v>0</v>
      </c>
      <c r="M2463">
        <v>0</v>
      </c>
      <c r="N2463">
        <v>2400</v>
      </c>
    </row>
    <row r="2464" spans="1:14" x14ac:dyDescent="0.25">
      <c r="A2464">
        <v>1614</v>
      </c>
      <c r="B2464" s="1">
        <f>DATE(2014,10,1) + TIME(0,0,0)</f>
        <v>41913</v>
      </c>
      <c r="C2464">
        <v>80</v>
      </c>
      <c r="D2464">
        <v>79.977005004999995</v>
      </c>
      <c r="E2464">
        <v>50</v>
      </c>
      <c r="F2464">
        <v>58.483283997000001</v>
      </c>
      <c r="G2464">
        <v>1339.1430664</v>
      </c>
      <c r="H2464">
        <v>1337.0817870999999</v>
      </c>
      <c r="I2464">
        <v>1326.0979004000001</v>
      </c>
      <c r="J2464">
        <v>1323.7790527</v>
      </c>
      <c r="K2464">
        <v>2400</v>
      </c>
      <c r="L2464">
        <v>0</v>
      </c>
      <c r="M2464">
        <v>0</v>
      </c>
      <c r="N2464">
        <v>2400</v>
      </c>
    </row>
    <row r="2465" spans="1:14" x14ac:dyDescent="0.25">
      <c r="A2465">
        <v>1617.497263</v>
      </c>
      <c r="B2465" s="1">
        <f>DATE(2014,10,4) + TIME(11,56,3)</f>
        <v>41916.497256944444</v>
      </c>
      <c r="C2465">
        <v>80</v>
      </c>
      <c r="D2465">
        <v>79.977027892999999</v>
      </c>
      <c r="E2465">
        <v>50</v>
      </c>
      <c r="F2465">
        <v>58.819229126000003</v>
      </c>
      <c r="G2465">
        <v>1339.1402588000001</v>
      </c>
      <c r="H2465">
        <v>1337.0798339999999</v>
      </c>
      <c r="I2465">
        <v>1326.0958252</v>
      </c>
      <c r="J2465">
        <v>1323.7827147999999</v>
      </c>
      <c r="K2465">
        <v>2400</v>
      </c>
      <c r="L2465">
        <v>0</v>
      </c>
      <c r="M2465">
        <v>0</v>
      </c>
      <c r="N2465">
        <v>2400</v>
      </c>
    </row>
    <row r="2466" spans="1:14" x14ac:dyDescent="0.25">
      <c r="A2466">
        <v>1621.1259869999999</v>
      </c>
      <c r="B2466" s="1">
        <f>DATE(2014,10,8) + TIME(3,1,25)</f>
        <v>41920.125983796293</v>
      </c>
      <c r="C2466">
        <v>80</v>
      </c>
      <c r="D2466">
        <v>79.977043151999993</v>
      </c>
      <c r="E2466">
        <v>50</v>
      </c>
      <c r="F2466">
        <v>59.323890685999999</v>
      </c>
      <c r="G2466">
        <v>1339.1347656</v>
      </c>
      <c r="H2466">
        <v>1337.0770264</v>
      </c>
      <c r="I2466">
        <v>1326.0993652</v>
      </c>
      <c r="J2466">
        <v>1323.7843018000001</v>
      </c>
      <c r="K2466">
        <v>2400</v>
      </c>
      <c r="L2466">
        <v>0</v>
      </c>
      <c r="M2466">
        <v>0</v>
      </c>
      <c r="N2466">
        <v>2400</v>
      </c>
    </row>
    <row r="2467" spans="1:14" x14ac:dyDescent="0.25">
      <c r="A2467">
        <v>1624.872337</v>
      </c>
      <c r="B2467" s="1">
        <f>DATE(2014,10,11) + TIME(20,56,9)</f>
        <v>41923.87232638889</v>
      </c>
      <c r="C2467">
        <v>80</v>
      </c>
      <c r="D2467">
        <v>79.977058411000002</v>
      </c>
      <c r="E2467">
        <v>50</v>
      </c>
      <c r="F2467">
        <v>59.829959869</v>
      </c>
      <c r="G2467">
        <v>1339.1290283000001</v>
      </c>
      <c r="H2467">
        <v>1337.0740966999999</v>
      </c>
      <c r="I2467">
        <v>1326.104126</v>
      </c>
      <c r="J2467">
        <v>1323.7891846</v>
      </c>
      <c r="K2467">
        <v>2400</v>
      </c>
      <c r="L2467">
        <v>0</v>
      </c>
      <c r="M2467">
        <v>0</v>
      </c>
      <c r="N2467">
        <v>2400</v>
      </c>
    </row>
    <row r="2468" spans="1:14" x14ac:dyDescent="0.25">
      <c r="A2468">
        <v>1628.778376</v>
      </c>
      <c r="B2468" s="1">
        <f>DATE(2014,10,15) + TIME(18,40,51)</f>
        <v>41927.778368055559</v>
      </c>
      <c r="C2468">
        <v>80</v>
      </c>
      <c r="D2468">
        <v>79.977073669000006</v>
      </c>
      <c r="E2468">
        <v>50</v>
      </c>
      <c r="F2468">
        <v>60.338260650999999</v>
      </c>
      <c r="G2468">
        <v>1339.1232910000001</v>
      </c>
      <c r="H2468">
        <v>1337.0711670000001</v>
      </c>
      <c r="I2468">
        <v>1326.1091309000001</v>
      </c>
      <c r="J2468">
        <v>1323.7947998</v>
      </c>
      <c r="K2468">
        <v>2400</v>
      </c>
      <c r="L2468">
        <v>0</v>
      </c>
      <c r="M2468">
        <v>0</v>
      </c>
      <c r="N2468">
        <v>2400</v>
      </c>
    </row>
    <row r="2469" spans="1:14" x14ac:dyDescent="0.25">
      <c r="A2469">
        <v>1632.7689109999999</v>
      </c>
      <c r="B2469" s="1">
        <f>DATE(2014,10,19) + TIME(18,27,13)</f>
        <v>41931.768900462965</v>
      </c>
      <c r="C2469">
        <v>80</v>
      </c>
      <c r="D2469">
        <v>79.977088928000001</v>
      </c>
      <c r="E2469">
        <v>50</v>
      </c>
      <c r="F2469">
        <v>60.801883697999997</v>
      </c>
      <c r="G2469">
        <v>1339.1175536999999</v>
      </c>
      <c r="H2469">
        <v>1337.0681152</v>
      </c>
      <c r="I2469">
        <v>1326.1145019999999</v>
      </c>
      <c r="J2469">
        <v>1323.8004149999999</v>
      </c>
      <c r="K2469">
        <v>2400</v>
      </c>
      <c r="L2469">
        <v>0</v>
      </c>
      <c r="M2469">
        <v>0</v>
      </c>
      <c r="N2469">
        <v>2400</v>
      </c>
    </row>
    <row r="2470" spans="1:14" x14ac:dyDescent="0.25">
      <c r="A2470">
        <v>1636.906843</v>
      </c>
      <c r="B2470" s="1">
        <f>DATE(2014,10,23) + TIME(21,45,51)</f>
        <v>41935.906840277778</v>
      </c>
      <c r="C2470">
        <v>80</v>
      </c>
      <c r="D2470">
        <v>79.977104186999995</v>
      </c>
      <c r="E2470">
        <v>50</v>
      </c>
      <c r="F2470">
        <v>61.300102234000001</v>
      </c>
      <c r="G2470">
        <v>1339.1118164</v>
      </c>
      <c r="H2470">
        <v>1337.0651855000001</v>
      </c>
      <c r="I2470">
        <v>1326.119751</v>
      </c>
      <c r="J2470">
        <v>1323.8063964999999</v>
      </c>
      <c r="K2470">
        <v>2400</v>
      </c>
      <c r="L2470">
        <v>0</v>
      </c>
      <c r="M2470">
        <v>0</v>
      </c>
      <c r="N2470">
        <v>2400</v>
      </c>
    </row>
    <row r="2471" spans="1:14" x14ac:dyDescent="0.25">
      <c r="A2471">
        <v>1641.1756290000001</v>
      </c>
      <c r="B2471" s="1">
        <f>DATE(2014,10,28) + TIME(4,12,54)</f>
        <v>41940.175625000003</v>
      </c>
      <c r="C2471">
        <v>80</v>
      </c>
      <c r="D2471">
        <v>79.977134704999997</v>
      </c>
      <c r="E2471">
        <v>50</v>
      </c>
      <c r="F2471">
        <v>61.66476059</v>
      </c>
      <c r="G2471">
        <v>1339.1060791</v>
      </c>
      <c r="H2471">
        <v>1337.0621338000001</v>
      </c>
      <c r="I2471">
        <v>1326.1256103999999</v>
      </c>
      <c r="J2471">
        <v>1323.8121338000001</v>
      </c>
      <c r="K2471">
        <v>2400</v>
      </c>
      <c r="L2471">
        <v>0</v>
      </c>
      <c r="M2471">
        <v>0</v>
      </c>
      <c r="N2471">
        <v>2400</v>
      </c>
    </row>
    <row r="2472" spans="1:14" x14ac:dyDescent="0.25">
      <c r="A2472">
        <v>1645</v>
      </c>
      <c r="B2472" s="1">
        <f>DATE(2014,11,1) + TIME(0,0,0)</f>
        <v>41944</v>
      </c>
      <c r="C2472">
        <v>80</v>
      </c>
      <c r="D2472">
        <v>79.977134704999997</v>
      </c>
      <c r="E2472">
        <v>50</v>
      </c>
      <c r="F2472">
        <v>62.243793488000001</v>
      </c>
      <c r="G2472">
        <v>1339.1004639</v>
      </c>
      <c r="H2472">
        <v>1337.0592041</v>
      </c>
      <c r="I2472">
        <v>1326.1308594</v>
      </c>
      <c r="J2472">
        <v>1323.8187256000001</v>
      </c>
      <c r="K2472">
        <v>2400</v>
      </c>
      <c r="L2472">
        <v>0</v>
      </c>
      <c r="M2472">
        <v>0</v>
      </c>
      <c r="N2472">
        <v>2400</v>
      </c>
    </row>
    <row r="2473" spans="1:14" x14ac:dyDescent="0.25">
      <c r="A2473">
        <v>1645.0000010000001</v>
      </c>
      <c r="B2473" s="1">
        <f>DATE(2014,11,1) + TIME(0,0,0)</f>
        <v>41944</v>
      </c>
      <c r="C2473">
        <v>80</v>
      </c>
      <c r="D2473">
        <v>79.977096558</v>
      </c>
      <c r="E2473">
        <v>50</v>
      </c>
      <c r="F2473">
        <v>62.243801116999997</v>
      </c>
      <c r="G2473">
        <v>1337.0484618999999</v>
      </c>
      <c r="H2473">
        <v>1336.3530272999999</v>
      </c>
      <c r="I2473">
        <v>1328.5657959</v>
      </c>
      <c r="J2473">
        <v>1326.1455077999999</v>
      </c>
      <c r="K2473">
        <v>0</v>
      </c>
      <c r="L2473">
        <v>2400</v>
      </c>
      <c r="M2473">
        <v>2400</v>
      </c>
      <c r="N2473">
        <v>0</v>
      </c>
    </row>
    <row r="2474" spans="1:14" x14ac:dyDescent="0.25">
      <c r="A2474">
        <v>1645.000004</v>
      </c>
      <c r="B2474" s="1">
        <f>DATE(2014,11,1) + TIME(0,0,0)</f>
        <v>41944</v>
      </c>
      <c r="C2474">
        <v>80</v>
      </c>
      <c r="D2474">
        <v>79.976997374999996</v>
      </c>
      <c r="E2474">
        <v>50</v>
      </c>
      <c r="F2474">
        <v>62.24382782</v>
      </c>
      <c r="G2474">
        <v>1337.0169678</v>
      </c>
      <c r="H2474">
        <v>1336.3226318</v>
      </c>
      <c r="I2474">
        <v>1328.5970459</v>
      </c>
      <c r="J2474">
        <v>1326.1884766000001</v>
      </c>
      <c r="K2474">
        <v>0</v>
      </c>
      <c r="L2474">
        <v>2400</v>
      </c>
      <c r="M2474">
        <v>2400</v>
      </c>
      <c r="N2474">
        <v>0</v>
      </c>
    </row>
    <row r="2475" spans="1:14" x14ac:dyDescent="0.25">
      <c r="A2475">
        <v>1645.0000130000001</v>
      </c>
      <c r="B2475" s="1">
        <f>DATE(2014,11,1) + TIME(0,0,1)</f>
        <v>41944.000011574077</v>
      </c>
      <c r="C2475">
        <v>80</v>
      </c>
      <c r="D2475">
        <v>79.976707458000007</v>
      </c>
      <c r="E2475">
        <v>50</v>
      </c>
      <c r="F2475">
        <v>62.243892670000001</v>
      </c>
      <c r="G2475">
        <v>1336.9279785000001</v>
      </c>
      <c r="H2475">
        <v>1336.2365723</v>
      </c>
      <c r="I2475">
        <v>1328.6873779</v>
      </c>
      <c r="J2475">
        <v>1326.3106689000001</v>
      </c>
      <c r="K2475">
        <v>0</v>
      </c>
      <c r="L2475">
        <v>2400</v>
      </c>
      <c r="M2475">
        <v>2400</v>
      </c>
      <c r="N2475">
        <v>0</v>
      </c>
    </row>
    <row r="2476" spans="1:14" x14ac:dyDescent="0.25">
      <c r="A2476">
        <v>1645.0000399999999</v>
      </c>
      <c r="B2476" s="1">
        <f>DATE(2014,11,1) + TIME(0,0,3)</f>
        <v>41944.000034722223</v>
      </c>
      <c r="C2476">
        <v>80</v>
      </c>
      <c r="D2476">
        <v>79.975982665999993</v>
      </c>
      <c r="E2476">
        <v>50</v>
      </c>
      <c r="F2476">
        <v>62.244010924999998</v>
      </c>
      <c r="G2476">
        <v>1336.7025146000001</v>
      </c>
      <c r="H2476">
        <v>1336.0167236</v>
      </c>
      <c r="I2476">
        <v>1328.9305420000001</v>
      </c>
      <c r="J2476">
        <v>1326.6264647999999</v>
      </c>
      <c r="K2476">
        <v>0</v>
      </c>
      <c r="L2476">
        <v>2400</v>
      </c>
      <c r="M2476">
        <v>2400</v>
      </c>
      <c r="N2476">
        <v>0</v>
      </c>
    </row>
    <row r="2477" spans="1:14" x14ac:dyDescent="0.25">
      <c r="A2477">
        <v>1645.000121</v>
      </c>
      <c r="B2477" s="1">
        <f>DATE(2014,11,1) + TIME(0,0,10)</f>
        <v>41944.000115740739</v>
      </c>
      <c r="C2477">
        <v>80</v>
      </c>
      <c r="D2477">
        <v>79.974502563000001</v>
      </c>
      <c r="E2477">
        <v>50</v>
      </c>
      <c r="F2477">
        <v>62.243896483999997</v>
      </c>
      <c r="G2477">
        <v>1336.2426757999999</v>
      </c>
      <c r="H2477">
        <v>1335.5596923999999</v>
      </c>
      <c r="I2477">
        <v>1329.4901123</v>
      </c>
      <c r="J2477">
        <v>1327.2956543</v>
      </c>
      <c r="K2477">
        <v>0</v>
      </c>
      <c r="L2477">
        <v>2400</v>
      </c>
      <c r="M2477">
        <v>2400</v>
      </c>
      <c r="N2477">
        <v>0</v>
      </c>
    </row>
    <row r="2478" spans="1:14" x14ac:dyDescent="0.25">
      <c r="A2478">
        <v>1645.000364</v>
      </c>
      <c r="B2478" s="1">
        <f>DATE(2014,11,1) + TIME(0,0,31)</f>
        <v>41944.000358796293</v>
      </c>
      <c r="C2478">
        <v>80</v>
      </c>
      <c r="D2478">
        <v>79.972274780000006</v>
      </c>
      <c r="E2478">
        <v>50</v>
      </c>
      <c r="F2478">
        <v>62.241138458000002</v>
      </c>
      <c r="G2478">
        <v>1335.5554199000001</v>
      </c>
      <c r="H2478">
        <v>1334.8598632999999</v>
      </c>
      <c r="I2478">
        <v>1330.4715576000001</v>
      </c>
      <c r="J2478">
        <v>1328.3345947</v>
      </c>
      <c r="K2478">
        <v>0</v>
      </c>
      <c r="L2478">
        <v>2400</v>
      </c>
      <c r="M2478">
        <v>2400</v>
      </c>
      <c r="N2478">
        <v>0</v>
      </c>
    </row>
    <row r="2479" spans="1:14" x14ac:dyDescent="0.25">
      <c r="A2479">
        <v>1645.0010930000001</v>
      </c>
      <c r="B2479" s="1">
        <f>DATE(2014,11,1) + TIME(0,1,34)</f>
        <v>41944.001087962963</v>
      </c>
      <c r="C2479">
        <v>80</v>
      </c>
      <c r="D2479">
        <v>79.969665527000004</v>
      </c>
      <c r="E2479">
        <v>50</v>
      </c>
      <c r="F2479">
        <v>62.228591919000003</v>
      </c>
      <c r="G2479">
        <v>1334.7626952999999</v>
      </c>
      <c r="H2479">
        <v>1334.0389404</v>
      </c>
      <c r="I2479">
        <v>1331.7457274999999</v>
      </c>
      <c r="J2479">
        <v>1329.5874022999999</v>
      </c>
      <c r="K2479">
        <v>0</v>
      </c>
      <c r="L2479">
        <v>2400</v>
      </c>
      <c r="M2479">
        <v>2400</v>
      </c>
      <c r="N2479">
        <v>0</v>
      </c>
    </row>
    <row r="2480" spans="1:14" x14ac:dyDescent="0.25">
      <c r="A2480">
        <v>1645.0032799999999</v>
      </c>
      <c r="B2480" s="1">
        <f>DATE(2014,11,1) + TIME(0,4,43)</f>
        <v>41944.003275462965</v>
      </c>
      <c r="C2480">
        <v>80</v>
      </c>
      <c r="D2480">
        <v>79.966796875</v>
      </c>
      <c r="E2480">
        <v>50</v>
      </c>
      <c r="F2480">
        <v>62.184940337999997</v>
      </c>
      <c r="G2480">
        <v>1333.9324951000001</v>
      </c>
      <c r="H2480">
        <v>1333.1697998</v>
      </c>
      <c r="I2480">
        <v>1333.1032714999999</v>
      </c>
      <c r="J2480">
        <v>1330.9064940999999</v>
      </c>
      <c r="K2480">
        <v>0</v>
      </c>
      <c r="L2480">
        <v>2400</v>
      </c>
      <c r="M2480">
        <v>2400</v>
      </c>
      <c r="N2480">
        <v>0</v>
      </c>
    </row>
    <row r="2481" spans="1:14" x14ac:dyDescent="0.25">
      <c r="A2481">
        <v>1645.0098410000001</v>
      </c>
      <c r="B2481" s="1">
        <f>DATE(2014,11,1) + TIME(0,14,10)</f>
        <v>41944.009837962964</v>
      </c>
      <c r="C2481">
        <v>80</v>
      </c>
      <c r="D2481">
        <v>79.963325499999996</v>
      </c>
      <c r="E2481">
        <v>50</v>
      </c>
      <c r="F2481">
        <v>62.047695160000004</v>
      </c>
      <c r="G2481">
        <v>1333.0574951000001</v>
      </c>
      <c r="H2481">
        <v>1332.2429199000001</v>
      </c>
      <c r="I2481">
        <v>1334.4678954999999</v>
      </c>
      <c r="J2481">
        <v>1332.2337646000001</v>
      </c>
      <c r="K2481">
        <v>0</v>
      </c>
      <c r="L2481">
        <v>2400</v>
      </c>
      <c r="M2481">
        <v>2400</v>
      </c>
      <c r="N2481">
        <v>0</v>
      </c>
    </row>
    <row r="2482" spans="1:14" x14ac:dyDescent="0.25">
      <c r="A2482">
        <v>1645.029524</v>
      </c>
      <c r="B2482" s="1">
        <f>DATE(2014,11,1) + TIME(0,42,30)</f>
        <v>41944.029513888891</v>
      </c>
      <c r="C2482">
        <v>80</v>
      </c>
      <c r="D2482">
        <v>79.958305358999993</v>
      </c>
      <c r="E2482">
        <v>50</v>
      </c>
      <c r="F2482">
        <v>61.638278960999997</v>
      </c>
      <c r="G2482">
        <v>1332.1273193</v>
      </c>
      <c r="H2482">
        <v>1331.2514647999999</v>
      </c>
      <c r="I2482">
        <v>1335.8145752</v>
      </c>
      <c r="J2482">
        <v>1333.5327147999999</v>
      </c>
      <c r="K2482">
        <v>0</v>
      </c>
      <c r="L2482">
        <v>2400</v>
      </c>
      <c r="M2482">
        <v>2400</v>
      </c>
      <c r="N2482">
        <v>0</v>
      </c>
    </row>
    <row r="2483" spans="1:14" x14ac:dyDescent="0.25">
      <c r="A2483">
        <v>1645.0537200000001</v>
      </c>
      <c r="B2483" s="1">
        <f>DATE(2014,11,1) + TIME(1,17,21)</f>
        <v>41944.053715277776</v>
      </c>
      <c r="C2483">
        <v>80</v>
      </c>
      <c r="D2483">
        <v>79.953933715999995</v>
      </c>
      <c r="E2483">
        <v>50</v>
      </c>
      <c r="F2483">
        <v>61.150878906000003</v>
      </c>
      <c r="G2483">
        <v>1331.5654297000001</v>
      </c>
      <c r="H2483">
        <v>1330.6517334</v>
      </c>
      <c r="I2483">
        <v>1336.5814209</v>
      </c>
      <c r="J2483">
        <v>1334.2658690999999</v>
      </c>
      <c r="K2483">
        <v>0</v>
      </c>
      <c r="L2483">
        <v>2400</v>
      </c>
      <c r="M2483">
        <v>2400</v>
      </c>
      <c r="N2483">
        <v>0</v>
      </c>
    </row>
    <row r="2484" spans="1:14" x14ac:dyDescent="0.25">
      <c r="A2484">
        <v>1645.0795109999999</v>
      </c>
      <c r="B2484" s="1">
        <f>DATE(2014,11,1) + TIME(1,54,29)</f>
        <v>41944.079502314817</v>
      </c>
      <c r="C2484">
        <v>80</v>
      </c>
      <c r="D2484">
        <v>79.950035095000004</v>
      </c>
      <c r="E2484">
        <v>50</v>
      </c>
      <c r="F2484">
        <v>60.652862548999998</v>
      </c>
      <c r="G2484">
        <v>1331.2109375</v>
      </c>
      <c r="H2484">
        <v>1330.2735596</v>
      </c>
      <c r="I2484">
        <v>1337.0467529</v>
      </c>
      <c r="J2484">
        <v>1334.7081298999999</v>
      </c>
      <c r="K2484">
        <v>0</v>
      </c>
      <c r="L2484">
        <v>2400</v>
      </c>
      <c r="M2484">
        <v>2400</v>
      </c>
      <c r="N2484">
        <v>0</v>
      </c>
    </row>
    <row r="2485" spans="1:14" x14ac:dyDescent="0.25">
      <c r="A2485">
        <v>1645.1067740000001</v>
      </c>
      <c r="B2485" s="1">
        <f>DATE(2014,11,1) + TIME(2,33,45)</f>
        <v>41944.106770833336</v>
      </c>
      <c r="C2485">
        <v>80</v>
      </c>
      <c r="D2485">
        <v>79.946311950999998</v>
      </c>
      <c r="E2485">
        <v>50</v>
      </c>
      <c r="F2485">
        <v>60.151348114000001</v>
      </c>
      <c r="G2485">
        <v>1330.9660644999999</v>
      </c>
      <c r="H2485">
        <v>1330.0128173999999</v>
      </c>
      <c r="I2485">
        <v>1337.3585204999999</v>
      </c>
      <c r="J2485">
        <v>1335.0037841999999</v>
      </c>
      <c r="K2485">
        <v>0</v>
      </c>
      <c r="L2485">
        <v>2400</v>
      </c>
      <c r="M2485">
        <v>2400</v>
      </c>
      <c r="N2485">
        <v>0</v>
      </c>
    </row>
    <row r="2486" spans="1:14" x14ac:dyDescent="0.25">
      <c r="A2486">
        <v>1645.135481</v>
      </c>
      <c r="B2486" s="1">
        <f>DATE(2014,11,1) + TIME(3,15,5)</f>
        <v>41944.135474537034</v>
      </c>
      <c r="C2486">
        <v>80</v>
      </c>
      <c r="D2486">
        <v>79.942657471000004</v>
      </c>
      <c r="E2486">
        <v>50</v>
      </c>
      <c r="F2486">
        <v>59.650432586999997</v>
      </c>
      <c r="G2486">
        <v>1330.7866211</v>
      </c>
      <c r="H2486">
        <v>1329.8222656</v>
      </c>
      <c r="I2486">
        <v>1337.5804443</v>
      </c>
      <c r="J2486">
        <v>1335.2143555</v>
      </c>
      <c r="K2486">
        <v>0</v>
      </c>
      <c r="L2486">
        <v>2400</v>
      </c>
      <c r="M2486">
        <v>2400</v>
      </c>
      <c r="N2486">
        <v>0</v>
      </c>
    </row>
    <row r="2487" spans="1:14" x14ac:dyDescent="0.25">
      <c r="A2487">
        <v>1645.1656410000001</v>
      </c>
      <c r="B2487" s="1">
        <f>DATE(2014,11,1) + TIME(3,58,31)</f>
        <v>41944.165636574071</v>
      </c>
      <c r="C2487">
        <v>80</v>
      </c>
      <c r="D2487">
        <v>79.938995360999996</v>
      </c>
      <c r="E2487">
        <v>50</v>
      </c>
      <c r="F2487">
        <v>59.153182983000001</v>
      </c>
      <c r="G2487">
        <v>1330.6494141000001</v>
      </c>
      <c r="H2487">
        <v>1329.6768798999999</v>
      </c>
      <c r="I2487">
        <v>1337.7448730000001</v>
      </c>
      <c r="J2487">
        <v>1335.3706055</v>
      </c>
      <c r="K2487">
        <v>0</v>
      </c>
      <c r="L2487">
        <v>2400</v>
      </c>
      <c r="M2487">
        <v>2400</v>
      </c>
      <c r="N2487">
        <v>0</v>
      </c>
    </row>
    <row r="2488" spans="1:14" x14ac:dyDescent="0.25">
      <c r="A2488">
        <v>1645.1973009999999</v>
      </c>
      <c r="B2488" s="1">
        <f>DATE(2014,11,1) + TIME(4,44,6)</f>
        <v>41944.197291666664</v>
      </c>
      <c r="C2488">
        <v>80</v>
      </c>
      <c r="D2488">
        <v>79.935287475999999</v>
      </c>
      <c r="E2488">
        <v>50</v>
      </c>
      <c r="F2488">
        <v>58.661685943999998</v>
      </c>
      <c r="G2488">
        <v>1330.5408935999999</v>
      </c>
      <c r="H2488">
        <v>1329.5621338000001</v>
      </c>
      <c r="I2488">
        <v>1337.8702393000001</v>
      </c>
      <c r="J2488">
        <v>1335.4901123</v>
      </c>
      <c r="K2488">
        <v>0</v>
      </c>
      <c r="L2488">
        <v>2400</v>
      </c>
      <c r="M2488">
        <v>2400</v>
      </c>
      <c r="N2488">
        <v>0</v>
      </c>
    </row>
    <row r="2489" spans="1:14" x14ac:dyDescent="0.25">
      <c r="A2489">
        <v>1645.230517</v>
      </c>
      <c r="B2489" s="1">
        <f>DATE(2014,11,1) + TIME(5,31,56)</f>
        <v>41944.230509259258</v>
      </c>
      <c r="C2489">
        <v>80</v>
      </c>
      <c r="D2489">
        <v>79.931503296000002</v>
      </c>
      <c r="E2489">
        <v>50</v>
      </c>
      <c r="F2489">
        <v>58.177597046000002</v>
      </c>
      <c r="G2489">
        <v>1330.4528809000001</v>
      </c>
      <c r="H2489">
        <v>1329.4691161999999</v>
      </c>
      <c r="I2489">
        <v>1337.9678954999999</v>
      </c>
      <c r="J2489">
        <v>1335.5832519999999</v>
      </c>
      <c r="K2489">
        <v>0</v>
      </c>
      <c r="L2489">
        <v>2400</v>
      </c>
      <c r="M2489">
        <v>2400</v>
      </c>
      <c r="N2489">
        <v>0</v>
      </c>
    </row>
    <row r="2490" spans="1:14" x14ac:dyDescent="0.25">
      <c r="A2490">
        <v>1645.265365</v>
      </c>
      <c r="B2490" s="1">
        <f>DATE(2014,11,1) + TIME(6,22,7)</f>
        <v>41944.2653587963</v>
      </c>
      <c r="C2490">
        <v>80</v>
      </c>
      <c r="D2490">
        <v>79.927635193</v>
      </c>
      <c r="E2490">
        <v>50</v>
      </c>
      <c r="F2490">
        <v>57.702098845999998</v>
      </c>
      <c r="G2490">
        <v>1330.3798827999999</v>
      </c>
      <c r="H2490">
        <v>1329.3917236</v>
      </c>
      <c r="I2490">
        <v>1338.0450439000001</v>
      </c>
      <c r="J2490">
        <v>1335.6569824000001</v>
      </c>
      <c r="K2490">
        <v>0</v>
      </c>
      <c r="L2490">
        <v>2400</v>
      </c>
      <c r="M2490">
        <v>2400</v>
      </c>
      <c r="N2490">
        <v>0</v>
      </c>
    </row>
    <row r="2491" spans="1:14" x14ac:dyDescent="0.25">
      <c r="A2491">
        <v>1645.3019400000001</v>
      </c>
      <c r="B2491" s="1">
        <f>DATE(2014,11,1) + TIME(7,14,47)</f>
        <v>41944.301932870374</v>
      </c>
      <c r="C2491">
        <v>80</v>
      </c>
      <c r="D2491">
        <v>79.923652649000005</v>
      </c>
      <c r="E2491">
        <v>50</v>
      </c>
      <c r="F2491">
        <v>57.236129761000001</v>
      </c>
      <c r="G2491">
        <v>1330.3182373</v>
      </c>
      <c r="H2491">
        <v>1329.3262939000001</v>
      </c>
      <c r="I2491">
        <v>1338.1063231999999</v>
      </c>
      <c r="J2491">
        <v>1335.7155762</v>
      </c>
      <c r="K2491">
        <v>0</v>
      </c>
      <c r="L2491">
        <v>2400</v>
      </c>
      <c r="M2491">
        <v>2400</v>
      </c>
      <c r="N2491">
        <v>0</v>
      </c>
    </row>
    <row r="2492" spans="1:14" x14ac:dyDescent="0.25">
      <c r="A2492">
        <v>1645.3403519999999</v>
      </c>
      <c r="B2492" s="1">
        <f>DATE(2014,11,1) + TIME(8,10,6)</f>
        <v>41944.34034722222</v>
      </c>
      <c r="C2492">
        <v>80</v>
      </c>
      <c r="D2492">
        <v>79.919555664000001</v>
      </c>
      <c r="E2492">
        <v>50</v>
      </c>
      <c r="F2492">
        <v>56.780464172000002</v>
      </c>
      <c r="G2492">
        <v>1330.2655029</v>
      </c>
      <c r="H2492">
        <v>1329.2701416</v>
      </c>
      <c r="I2492">
        <v>1338.1550293</v>
      </c>
      <c r="J2492">
        <v>1335.762207</v>
      </c>
      <c r="K2492">
        <v>0</v>
      </c>
      <c r="L2492">
        <v>2400</v>
      </c>
      <c r="M2492">
        <v>2400</v>
      </c>
      <c r="N2492">
        <v>0</v>
      </c>
    </row>
    <row r="2493" spans="1:14" x14ac:dyDescent="0.25">
      <c r="A2493">
        <v>1645.380701</v>
      </c>
      <c r="B2493" s="1">
        <f>DATE(2014,11,1) + TIME(9,8,12)</f>
        <v>41944.380694444444</v>
      </c>
      <c r="C2493">
        <v>80</v>
      </c>
      <c r="D2493">
        <v>79.915321349999999</v>
      </c>
      <c r="E2493">
        <v>50</v>
      </c>
      <c r="F2493">
        <v>56.336021422999998</v>
      </c>
      <c r="G2493">
        <v>1330.2198486</v>
      </c>
      <c r="H2493">
        <v>1329.2210693</v>
      </c>
      <c r="I2493">
        <v>1338.1937256000001</v>
      </c>
      <c r="J2493">
        <v>1335.7991943</v>
      </c>
      <c r="K2493">
        <v>0</v>
      </c>
      <c r="L2493">
        <v>2400</v>
      </c>
      <c r="M2493">
        <v>2400</v>
      </c>
      <c r="N2493">
        <v>0</v>
      </c>
    </row>
    <row r="2494" spans="1:14" x14ac:dyDescent="0.25">
      <c r="A2494">
        <v>1645.4231400000001</v>
      </c>
      <c r="B2494" s="1">
        <f>DATE(2014,11,1) + TIME(10,9,19)</f>
        <v>41944.423136574071</v>
      </c>
      <c r="C2494">
        <v>80</v>
      </c>
      <c r="D2494">
        <v>79.910942078000005</v>
      </c>
      <c r="E2494">
        <v>50</v>
      </c>
      <c r="F2494">
        <v>55.903240203999999</v>
      </c>
      <c r="G2494">
        <v>1330.1798096</v>
      </c>
      <c r="H2494">
        <v>1329.1779785000001</v>
      </c>
      <c r="I2494">
        <v>1338.2241211</v>
      </c>
      <c r="J2494">
        <v>1335.8282471</v>
      </c>
      <c r="K2494">
        <v>0</v>
      </c>
      <c r="L2494">
        <v>2400</v>
      </c>
      <c r="M2494">
        <v>2400</v>
      </c>
      <c r="N2494">
        <v>0</v>
      </c>
    </row>
    <row r="2495" spans="1:14" x14ac:dyDescent="0.25">
      <c r="A2495">
        <v>1645.46783</v>
      </c>
      <c r="B2495" s="1">
        <f>DATE(2014,11,1) + TIME(11,13,40)</f>
        <v>41944.467824074076</v>
      </c>
      <c r="C2495">
        <v>80</v>
      </c>
      <c r="D2495">
        <v>79.906410217000001</v>
      </c>
      <c r="E2495">
        <v>50</v>
      </c>
      <c r="F2495">
        <v>55.482624053999999</v>
      </c>
      <c r="G2495">
        <v>1330.1444091999999</v>
      </c>
      <c r="H2495">
        <v>1329.1395264</v>
      </c>
      <c r="I2495">
        <v>1338.2475586</v>
      </c>
      <c r="J2495">
        <v>1335.8505858999999</v>
      </c>
      <c r="K2495">
        <v>0</v>
      </c>
      <c r="L2495">
        <v>2400</v>
      </c>
      <c r="M2495">
        <v>2400</v>
      </c>
      <c r="N2495">
        <v>0</v>
      </c>
    </row>
    <row r="2496" spans="1:14" x14ac:dyDescent="0.25">
      <c r="A2496">
        <v>1645.5149429999999</v>
      </c>
      <c r="B2496" s="1">
        <f>DATE(2014,11,1) + TIME(12,21,31)</f>
        <v>41944.51494212963</v>
      </c>
      <c r="C2496">
        <v>80</v>
      </c>
      <c r="D2496">
        <v>79.901695251000007</v>
      </c>
      <c r="E2496">
        <v>50</v>
      </c>
      <c r="F2496">
        <v>55.074707031000003</v>
      </c>
      <c r="G2496">
        <v>1330.1129149999999</v>
      </c>
      <c r="H2496">
        <v>1329.1051024999999</v>
      </c>
      <c r="I2496">
        <v>1338.2652588000001</v>
      </c>
      <c r="J2496">
        <v>1335.8673096</v>
      </c>
      <c r="K2496">
        <v>0</v>
      </c>
      <c r="L2496">
        <v>2400</v>
      </c>
      <c r="M2496">
        <v>2400</v>
      </c>
      <c r="N2496">
        <v>0</v>
      </c>
    </row>
    <row r="2497" spans="1:14" x14ac:dyDescent="0.25">
      <c r="A2497">
        <v>1645.564672</v>
      </c>
      <c r="B2497" s="1">
        <f>DATE(2014,11,1) + TIME(13,33,7)</f>
        <v>41944.564664351848</v>
      </c>
      <c r="C2497">
        <v>80</v>
      </c>
      <c r="D2497">
        <v>79.896804810000006</v>
      </c>
      <c r="E2497">
        <v>50</v>
      </c>
      <c r="F2497">
        <v>54.680023192999997</v>
      </c>
      <c r="G2497">
        <v>1330.0848389</v>
      </c>
      <c r="H2497">
        <v>1329.0739745999999</v>
      </c>
      <c r="I2497">
        <v>1338.2779541</v>
      </c>
      <c r="J2497">
        <v>1335.8791504000001</v>
      </c>
      <c r="K2497">
        <v>0</v>
      </c>
      <c r="L2497">
        <v>2400</v>
      </c>
      <c r="M2497">
        <v>2400</v>
      </c>
      <c r="N2497">
        <v>0</v>
      </c>
    </row>
    <row r="2498" spans="1:14" x14ac:dyDescent="0.25">
      <c r="A2498">
        <v>1645.617229</v>
      </c>
      <c r="B2498" s="1">
        <f>DATE(2014,11,1) + TIME(14,48,48)</f>
        <v>41944.617222222223</v>
      </c>
      <c r="C2498">
        <v>80</v>
      </c>
      <c r="D2498">
        <v>79.891716002999999</v>
      </c>
      <c r="E2498">
        <v>50</v>
      </c>
      <c r="F2498">
        <v>54.299087524000001</v>
      </c>
      <c r="G2498">
        <v>1330.0594481999999</v>
      </c>
      <c r="H2498">
        <v>1329.0455322</v>
      </c>
      <c r="I2498">
        <v>1338.2866211</v>
      </c>
      <c r="J2498">
        <v>1335.8870850000001</v>
      </c>
      <c r="K2498">
        <v>0</v>
      </c>
      <c r="L2498">
        <v>2400</v>
      </c>
      <c r="M2498">
        <v>2400</v>
      </c>
      <c r="N2498">
        <v>0</v>
      </c>
    </row>
    <row r="2499" spans="1:14" x14ac:dyDescent="0.25">
      <c r="A2499">
        <v>1645.6728519999999</v>
      </c>
      <c r="B2499" s="1">
        <f>DATE(2014,11,1) + TIME(16,8,54)</f>
        <v>41944.672847222224</v>
      </c>
      <c r="C2499">
        <v>80</v>
      </c>
      <c r="D2499">
        <v>79.886405945000007</v>
      </c>
      <c r="E2499">
        <v>50</v>
      </c>
      <c r="F2499">
        <v>53.932418822999999</v>
      </c>
      <c r="G2499">
        <v>1330.036499</v>
      </c>
      <c r="H2499">
        <v>1329.0195312000001</v>
      </c>
      <c r="I2499">
        <v>1338.2917480000001</v>
      </c>
      <c r="J2499">
        <v>1335.8916016000001</v>
      </c>
      <c r="K2499">
        <v>0</v>
      </c>
      <c r="L2499">
        <v>2400</v>
      </c>
      <c r="M2499">
        <v>2400</v>
      </c>
      <c r="N2499">
        <v>0</v>
      </c>
    </row>
    <row r="2500" spans="1:14" x14ac:dyDescent="0.25">
      <c r="A2500">
        <v>1645.7318029999999</v>
      </c>
      <c r="B2500" s="1">
        <f>DATE(2014,11,1) + TIME(17,33,47)</f>
        <v>41944.731793981482</v>
      </c>
      <c r="C2500">
        <v>80</v>
      </c>
      <c r="D2500">
        <v>79.880867003999995</v>
      </c>
      <c r="E2500">
        <v>50</v>
      </c>
      <c r="F2500">
        <v>53.580520630000002</v>
      </c>
      <c r="G2500">
        <v>1330.0155029</v>
      </c>
      <c r="H2500">
        <v>1328.9954834</v>
      </c>
      <c r="I2500">
        <v>1338.2940673999999</v>
      </c>
      <c r="J2500">
        <v>1335.8933105000001</v>
      </c>
      <c r="K2500">
        <v>0</v>
      </c>
      <c r="L2500">
        <v>2400</v>
      </c>
      <c r="M2500">
        <v>2400</v>
      </c>
      <c r="N2500">
        <v>0</v>
      </c>
    </row>
    <row r="2501" spans="1:14" x14ac:dyDescent="0.25">
      <c r="A2501">
        <v>1645.7943760000001</v>
      </c>
      <c r="B2501" s="1">
        <f>DATE(2014,11,1) + TIME(19,3,54)</f>
        <v>41944.794374999998</v>
      </c>
      <c r="C2501">
        <v>80</v>
      </c>
      <c r="D2501">
        <v>79.875076293999996</v>
      </c>
      <c r="E2501">
        <v>50</v>
      </c>
      <c r="F2501">
        <v>53.243896483999997</v>
      </c>
      <c r="G2501">
        <v>1329.9963379000001</v>
      </c>
      <c r="H2501">
        <v>1328.9731445</v>
      </c>
      <c r="I2501">
        <v>1338.2940673999999</v>
      </c>
      <c r="J2501">
        <v>1335.8928223</v>
      </c>
      <c r="K2501">
        <v>0</v>
      </c>
      <c r="L2501">
        <v>2400</v>
      </c>
      <c r="M2501">
        <v>2400</v>
      </c>
      <c r="N2501">
        <v>0</v>
      </c>
    </row>
    <row r="2502" spans="1:14" x14ac:dyDescent="0.25">
      <c r="A2502">
        <v>1645.860901</v>
      </c>
      <c r="B2502" s="1">
        <f>DATE(2014,11,1) + TIME(20,39,41)</f>
        <v>41944.860891203702</v>
      </c>
      <c r="C2502">
        <v>80</v>
      </c>
      <c r="D2502">
        <v>79.869010924999998</v>
      </c>
      <c r="E2502">
        <v>50</v>
      </c>
      <c r="F2502">
        <v>52.923030853</v>
      </c>
      <c r="G2502">
        <v>1329.9786377</v>
      </c>
      <c r="H2502">
        <v>1328.9521483999999</v>
      </c>
      <c r="I2502">
        <v>1338.2922363</v>
      </c>
      <c r="J2502">
        <v>1335.890625</v>
      </c>
      <c r="K2502">
        <v>0</v>
      </c>
      <c r="L2502">
        <v>2400</v>
      </c>
      <c r="M2502">
        <v>2400</v>
      </c>
      <c r="N2502">
        <v>0</v>
      </c>
    </row>
    <row r="2503" spans="1:14" x14ac:dyDescent="0.25">
      <c r="A2503">
        <v>1645.9317370000001</v>
      </c>
      <c r="B2503" s="1">
        <f>DATE(2014,11,1) + TIME(22,21,42)</f>
        <v>41944.93173611111</v>
      </c>
      <c r="C2503">
        <v>80</v>
      </c>
      <c r="D2503">
        <v>79.86265564</v>
      </c>
      <c r="E2503">
        <v>50</v>
      </c>
      <c r="F2503">
        <v>52.618431090999998</v>
      </c>
      <c r="G2503">
        <v>1329.9621582</v>
      </c>
      <c r="H2503">
        <v>1328.9323730000001</v>
      </c>
      <c r="I2503">
        <v>1338.2890625</v>
      </c>
      <c r="J2503">
        <v>1335.8869629000001</v>
      </c>
      <c r="K2503">
        <v>0</v>
      </c>
      <c r="L2503">
        <v>2400</v>
      </c>
      <c r="M2503">
        <v>2400</v>
      </c>
      <c r="N2503">
        <v>0</v>
      </c>
    </row>
    <row r="2504" spans="1:14" x14ac:dyDescent="0.25">
      <c r="A2504">
        <v>1646.0072709999999</v>
      </c>
      <c r="B2504" s="1">
        <f>DATE(2014,11,2) + TIME(0,10,28)</f>
        <v>41945.007268518515</v>
      </c>
      <c r="C2504">
        <v>80</v>
      </c>
      <c r="D2504">
        <v>79.855987549000005</v>
      </c>
      <c r="E2504">
        <v>50</v>
      </c>
      <c r="F2504">
        <v>52.330619812000002</v>
      </c>
      <c r="G2504">
        <v>1329.9467772999999</v>
      </c>
      <c r="H2504">
        <v>1328.9135742000001</v>
      </c>
      <c r="I2504">
        <v>1338.2847899999999</v>
      </c>
      <c r="J2504">
        <v>1335.8824463000001</v>
      </c>
      <c r="K2504">
        <v>0</v>
      </c>
      <c r="L2504">
        <v>2400</v>
      </c>
      <c r="M2504">
        <v>2400</v>
      </c>
      <c r="N2504">
        <v>0</v>
      </c>
    </row>
    <row r="2505" spans="1:14" x14ac:dyDescent="0.25">
      <c r="A2505">
        <v>1646.08799</v>
      </c>
      <c r="B2505" s="1">
        <f>DATE(2014,11,2) + TIME(2,6,42)</f>
        <v>41945.08798611111</v>
      </c>
      <c r="C2505">
        <v>80</v>
      </c>
      <c r="D2505">
        <v>79.848968506000006</v>
      </c>
      <c r="E2505">
        <v>50</v>
      </c>
      <c r="F2505">
        <v>52.059906005999999</v>
      </c>
      <c r="G2505">
        <v>1329.932251</v>
      </c>
      <c r="H2505">
        <v>1328.8956298999999</v>
      </c>
      <c r="I2505">
        <v>1338.2799072</v>
      </c>
      <c r="J2505">
        <v>1335.8771973</v>
      </c>
      <c r="K2505">
        <v>0</v>
      </c>
      <c r="L2505">
        <v>2400</v>
      </c>
      <c r="M2505">
        <v>2400</v>
      </c>
      <c r="N2505">
        <v>0</v>
      </c>
    </row>
    <row r="2506" spans="1:14" x14ac:dyDescent="0.25">
      <c r="A2506">
        <v>1646.174415</v>
      </c>
      <c r="B2506" s="1">
        <f>DATE(2014,11,2) + TIME(4,11,9)</f>
        <v>41945.174409722225</v>
      </c>
      <c r="C2506">
        <v>80</v>
      </c>
      <c r="D2506">
        <v>79.841575622999997</v>
      </c>
      <c r="E2506">
        <v>50</v>
      </c>
      <c r="F2506">
        <v>51.806659697999997</v>
      </c>
      <c r="G2506">
        <v>1329.9185791</v>
      </c>
      <c r="H2506">
        <v>1328.8781738</v>
      </c>
      <c r="I2506">
        <v>1338.2745361</v>
      </c>
      <c r="J2506">
        <v>1335.871582</v>
      </c>
      <c r="K2506">
        <v>0</v>
      </c>
      <c r="L2506">
        <v>2400</v>
      </c>
      <c r="M2506">
        <v>2400</v>
      </c>
      <c r="N2506">
        <v>0</v>
      </c>
    </row>
    <row r="2507" spans="1:14" x14ac:dyDescent="0.25">
      <c r="A2507">
        <v>1646.2671310000001</v>
      </c>
      <c r="B2507" s="1">
        <f>DATE(2014,11,2) + TIME(6,24,40)</f>
        <v>41945.267129629632</v>
      </c>
      <c r="C2507">
        <v>80</v>
      </c>
      <c r="D2507">
        <v>79.833770752000007</v>
      </c>
      <c r="E2507">
        <v>50</v>
      </c>
      <c r="F2507">
        <v>51.571197509999998</v>
      </c>
      <c r="G2507">
        <v>1329.9052733999999</v>
      </c>
      <c r="H2507">
        <v>1328.8612060999999</v>
      </c>
      <c r="I2507">
        <v>1338.2691649999999</v>
      </c>
      <c r="J2507">
        <v>1335.8658447</v>
      </c>
      <c r="K2507">
        <v>0</v>
      </c>
      <c r="L2507">
        <v>2400</v>
      </c>
      <c r="M2507">
        <v>2400</v>
      </c>
      <c r="N2507">
        <v>0</v>
      </c>
    </row>
    <row r="2508" spans="1:14" x14ac:dyDescent="0.25">
      <c r="A2508">
        <v>1646.366804</v>
      </c>
      <c r="B2508" s="1">
        <f>DATE(2014,11,2) + TIME(8,48,11)</f>
        <v>41945.366793981484</v>
      </c>
      <c r="C2508">
        <v>80</v>
      </c>
      <c r="D2508">
        <v>79.825508118000002</v>
      </c>
      <c r="E2508">
        <v>50</v>
      </c>
      <c r="F2508">
        <v>51.353755950999997</v>
      </c>
      <c r="G2508">
        <v>1329.8925781</v>
      </c>
      <c r="H2508">
        <v>1328.8444824000001</v>
      </c>
      <c r="I2508">
        <v>1338.2636719</v>
      </c>
      <c r="J2508">
        <v>1335.8603516000001</v>
      </c>
      <c r="K2508">
        <v>0</v>
      </c>
      <c r="L2508">
        <v>2400</v>
      </c>
      <c r="M2508">
        <v>2400</v>
      </c>
      <c r="N2508">
        <v>0</v>
      </c>
    </row>
    <row r="2509" spans="1:14" x14ac:dyDescent="0.25">
      <c r="A2509">
        <v>1646.474183</v>
      </c>
      <c r="B2509" s="1">
        <f>DATE(2014,11,2) + TIME(11,22,49)</f>
        <v>41945.474178240744</v>
      </c>
      <c r="C2509">
        <v>80</v>
      </c>
      <c r="D2509">
        <v>79.816749572999996</v>
      </c>
      <c r="E2509">
        <v>50</v>
      </c>
      <c r="F2509">
        <v>51.154495238999999</v>
      </c>
      <c r="G2509">
        <v>1329.8801269999999</v>
      </c>
      <c r="H2509">
        <v>1328.8280029</v>
      </c>
      <c r="I2509">
        <v>1338.2584228999999</v>
      </c>
      <c r="J2509">
        <v>1335.8549805</v>
      </c>
      <c r="K2509">
        <v>0</v>
      </c>
      <c r="L2509">
        <v>2400</v>
      </c>
      <c r="M2509">
        <v>2400</v>
      </c>
      <c r="N2509">
        <v>0</v>
      </c>
    </row>
    <row r="2510" spans="1:14" x14ac:dyDescent="0.25">
      <c r="A2510">
        <v>1646.590121</v>
      </c>
      <c r="B2510" s="1">
        <f>DATE(2014,11,2) + TIME(14,9,46)</f>
        <v>41945.590115740742</v>
      </c>
      <c r="C2510">
        <v>80</v>
      </c>
      <c r="D2510">
        <v>79.807449340999995</v>
      </c>
      <c r="E2510">
        <v>50</v>
      </c>
      <c r="F2510">
        <v>50.973449707</v>
      </c>
      <c r="G2510">
        <v>1329.8679199000001</v>
      </c>
      <c r="H2510">
        <v>1328.8115233999999</v>
      </c>
      <c r="I2510">
        <v>1338.253418</v>
      </c>
      <c r="J2510">
        <v>1335.8499756000001</v>
      </c>
      <c r="K2510">
        <v>0</v>
      </c>
      <c r="L2510">
        <v>2400</v>
      </c>
      <c r="M2510">
        <v>2400</v>
      </c>
      <c r="N2510">
        <v>0</v>
      </c>
    </row>
    <row r="2511" spans="1:14" x14ac:dyDescent="0.25">
      <c r="A2511">
        <v>1646.7155869999999</v>
      </c>
      <c r="B2511" s="1">
        <f>DATE(2014,11,2) + TIME(17,10,26)</f>
        <v>41945.715578703705</v>
      </c>
      <c r="C2511">
        <v>80</v>
      </c>
      <c r="D2511">
        <v>79.797538756999998</v>
      </c>
      <c r="E2511">
        <v>50</v>
      </c>
      <c r="F2511">
        <v>50.810539245999998</v>
      </c>
      <c r="G2511">
        <v>1329.8558350000001</v>
      </c>
      <c r="H2511">
        <v>1328.7949219</v>
      </c>
      <c r="I2511">
        <v>1338.2486572</v>
      </c>
      <c r="J2511">
        <v>1335.8453368999999</v>
      </c>
      <c r="K2511">
        <v>0</v>
      </c>
      <c r="L2511">
        <v>2400</v>
      </c>
      <c r="M2511">
        <v>2400</v>
      </c>
      <c r="N2511">
        <v>0</v>
      </c>
    </row>
    <row r="2512" spans="1:14" x14ac:dyDescent="0.25">
      <c r="A2512">
        <v>1646.851682</v>
      </c>
      <c r="B2512" s="1">
        <f>DATE(2014,11,2) + TIME(20,26,25)</f>
        <v>41945.851678240739</v>
      </c>
      <c r="C2512">
        <v>80</v>
      </c>
      <c r="D2512">
        <v>79.786949157999999</v>
      </c>
      <c r="E2512">
        <v>50</v>
      </c>
      <c r="F2512">
        <v>50.665515900000003</v>
      </c>
      <c r="G2512">
        <v>1329.8436279</v>
      </c>
      <c r="H2512">
        <v>1328.7780762</v>
      </c>
      <c r="I2512">
        <v>1338.2442627</v>
      </c>
      <c r="J2512">
        <v>1335.8413086</v>
      </c>
      <c r="K2512">
        <v>0</v>
      </c>
      <c r="L2512">
        <v>2400</v>
      </c>
      <c r="M2512">
        <v>2400</v>
      </c>
      <c r="N2512">
        <v>0</v>
      </c>
    </row>
    <row r="2513" spans="1:14" x14ac:dyDescent="0.25">
      <c r="A2513">
        <v>1646.999665</v>
      </c>
      <c r="B2513" s="1">
        <f>DATE(2014,11,2) + TIME(23,59,31)</f>
        <v>41945.999664351853</v>
      </c>
      <c r="C2513">
        <v>80</v>
      </c>
      <c r="D2513">
        <v>79.775619507000002</v>
      </c>
      <c r="E2513">
        <v>50</v>
      </c>
      <c r="F2513">
        <v>50.537975310999997</v>
      </c>
      <c r="G2513">
        <v>1329.8314209</v>
      </c>
      <c r="H2513">
        <v>1328.7607422000001</v>
      </c>
      <c r="I2513">
        <v>1338.2402344</v>
      </c>
      <c r="J2513">
        <v>1335.8376464999999</v>
      </c>
      <c r="K2513">
        <v>0</v>
      </c>
      <c r="L2513">
        <v>2400</v>
      </c>
      <c r="M2513">
        <v>2400</v>
      </c>
      <c r="N2513">
        <v>0</v>
      </c>
    </row>
    <row r="2514" spans="1:14" x14ac:dyDescent="0.25">
      <c r="A2514">
        <v>1647.159478</v>
      </c>
      <c r="B2514" s="1">
        <f>DATE(2014,11,3) + TIME(3,49,38)</f>
        <v>41946.159467592595</v>
      </c>
      <c r="C2514">
        <v>80</v>
      </c>
      <c r="D2514">
        <v>79.763549804999997</v>
      </c>
      <c r="E2514">
        <v>50</v>
      </c>
      <c r="F2514">
        <v>50.428138732999997</v>
      </c>
      <c r="G2514">
        <v>1329.8188477000001</v>
      </c>
      <c r="H2514">
        <v>1328.7430420000001</v>
      </c>
      <c r="I2514">
        <v>1338.2365723</v>
      </c>
      <c r="J2514">
        <v>1335.8344727000001</v>
      </c>
      <c r="K2514">
        <v>0</v>
      </c>
      <c r="L2514">
        <v>2400</v>
      </c>
      <c r="M2514">
        <v>2400</v>
      </c>
      <c r="N2514">
        <v>0</v>
      </c>
    </row>
    <row r="2515" spans="1:14" x14ac:dyDescent="0.25">
      <c r="A2515">
        <v>1647.32303</v>
      </c>
      <c r="B2515" s="1">
        <f>DATE(2014,11,3) + TIME(7,45,9)</f>
        <v>41946.323020833333</v>
      </c>
      <c r="C2515">
        <v>80</v>
      </c>
      <c r="D2515">
        <v>79.751258849999999</v>
      </c>
      <c r="E2515">
        <v>50</v>
      </c>
      <c r="F2515">
        <v>50.338844299000002</v>
      </c>
      <c r="G2515">
        <v>1329.8062743999999</v>
      </c>
      <c r="H2515">
        <v>1328.7249756000001</v>
      </c>
      <c r="I2515">
        <v>1338.2336425999999</v>
      </c>
      <c r="J2515">
        <v>1335.8321533000001</v>
      </c>
      <c r="K2515">
        <v>0</v>
      </c>
      <c r="L2515">
        <v>2400</v>
      </c>
      <c r="M2515">
        <v>2400</v>
      </c>
      <c r="N2515">
        <v>0</v>
      </c>
    </row>
    <row r="2516" spans="1:14" x14ac:dyDescent="0.25">
      <c r="A2516">
        <v>1647.4909560000001</v>
      </c>
      <c r="B2516" s="1">
        <f>DATE(2014,11,3) + TIME(11,46,58)</f>
        <v>41946.490949074076</v>
      </c>
      <c r="C2516">
        <v>80</v>
      </c>
      <c r="D2516">
        <v>79.738700867000006</v>
      </c>
      <c r="E2516">
        <v>50</v>
      </c>
      <c r="F2516">
        <v>50.266349792</v>
      </c>
      <c r="G2516">
        <v>1329.7938231999999</v>
      </c>
      <c r="H2516">
        <v>1328.7071533000001</v>
      </c>
      <c r="I2516">
        <v>1338.2308350000001</v>
      </c>
      <c r="J2516">
        <v>1335.8300781</v>
      </c>
      <c r="K2516">
        <v>0</v>
      </c>
      <c r="L2516">
        <v>2400</v>
      </c>
      <c r="M2516">
        <v>2400</v>
      </c>
      <c r="N2516">
        <v>0</v>
      </c>
    </row>
    <row r="2517" spans="1:14" x14ac:dyDescent="0.25">
      <c r="A2517">
        <v>1647.6636249999999</v>
      </c>
      <c r="B2517" s="1">
        <f>DATE(2014,11,3) + TIME(15,55,37)</f>
        <v>41946.663622685184</v>
      </c>
      <c r="C2517">
        <v>80</v>
      </c>
      <c r="D2517">
        <v>79.725845336999996</v>
      </c>
      <c r="E2517">
        <v>50</v>
      </c>
      <c r="F2517">
        <v>50.207702636999997</v>
      </c>
      <c r="G2517">
        <v>1329.7814940999999</v>
      </c>
      <c r="H2517">
        <v>1328.6894531</v>
      </c>
      <c r="I2517">
        <v>1338.2280272999999</v>
      </c>
      <c r="J2517">
        <v>1335.8282471</v>
      </c>
      <c r="K2517">
        <v>0</v>
      </c>
      <c r="L2517">
        <v>2400</v>
      </c>
      <c r="M2517">
        <v>2400</v>
      </c>
      <c r="N2517">
        <v>0</v>
      </c>
    </row>
    <row r="2518" spans="1:14" x14ac:dyDescent="0.25">
      <c r="A2518">
        <v>1647.8414290000001</v>
      </c>
      <c r="B2518" s="1">
        <f>DATE(2014,11,3) + TIME(20,11,39)</f>
        <v>41946.841423611113</v>
      </c>
      <c r="C2518">
        <v>80</v>
      </c>
      <c r="D2518">
        <v>79.712677002000007</v>
      </c>
      <c r="E2518">
        <v>50</v>
      </c>
      <c r="F2518">
        <v>50.160457610999998</v>
      </c>
      <c r="G2518">
        <v>1329.7691649999999</v>
      </c>
      <c r="H2518">
        <v>1328.6716309000001</v>
      </c>
      <c r="I2518">
        <v>1338.2253418</v>
      </c>
      <c r="J2518">
        <v>1335.8265381000001</v>
      </c>
      <c r="K2518">
        <v>0</v>
      </c>
      <c r="L2518">
        <v>2400</v>
      </c>
      <c r="M2518">
        <v>2400</v>
      </c>
      <c r="N2518">
        <v>0</v>
      </c>
    </row>
    <row r="2519" spans="1:14" x14ac:dyDescent="0.25">
      <c r="A2519">
        <v>1648.02478</v>
      </c>
      <c r="B2519" s="1">
        <f>DATE(2014,11,4) + TIME(0,35,40)</f>
        <v>41947.024768518517</v>
      </c>
      <c r="C2519">
        <v>80</v>
      </c>
      <c r="D2519">
        <v>79.699165343999994</v>
      </c>
      <c r="E2519">
        <v>50</v>
      </c>
      <c r="F2519">
        <v>50.122562408</v>
      </c>
      <c r="G2519">
        <v>1329.7568358999999</v>
      </c>
      <c r="H2519">
        <v>1328.6538086</v>
      </c>
      <c r="I2519">
        <v>1338.2225341999999</v>
      </c>
      <c r="J2519">
        <v>1335.8249512</v>
      </c>
      <c r="K2519">
        <v>0</v>
      </c>
      <c r="L2519">
        <v>2400</v>
      </c>
      <c r="M2519">
        <v>2400</v>
      </c>
      <c r="N2519">
        <v>0</v>
      </c>
    </row>
    <row r="2520" spans="1:14" x14ac:dyDescent="0.25">
      <c r="A2520">
        <v>1648.214115</v>
      </c>
      <c r="B2520" s="1">
        <f>DATE(2014,11,4) + TIME(5,8,19)</f>
        <v>41947.214108796295</v>
      </c>
      <c r="C2520">
        <v>80</v>
      </c>
      <c r="D2520">
        <v>79.685279846</v>
      </c>
      <c r="E2520">
        <v>50</v>
      </c>
      <c r="F2520">
        <v>50.092319488999998</v>
      </c>
      <c r="G2520">
        <v>1329.7445068</v>
      </c>
      <c r="H2520">
        <v>1328.6357422000001</v>
      </c>
      <c r="I2520">
        <v>1338.2197266000001</v>
      </c>
      <c r="J2520">
        <v>1335.8234863</v>
      </c>
      <c r="K2520">
        <v>0</v>
      </c>
      <c r="L2520">
        <v>2400</v>
      </c>
      <c r="M2520">
        <v>2400</v>
      </c>
      <c r="N2520">
        <v>0</v>
      </c>
    </row>
    <row r="2521" spans="1:14" x14ac:dyDescent="0.25">
      <c r="A2521">
        <v>1648.409905</v>
      </c>
      <c r="B2521" s="1">
        <f>DATE(2014,11,4) + TIME(9,50,15)</f>
        <v>41947.409895833334</v>
      </c>
      <c r="C2521">
        <v>80</v>
      </c>
      <c r="D2521">
        <v>79.670997619999994</v>
      </c>
      <c r="E2521">
        <v>50</v>
      </c>
      <c r="F2521">
        <v>50.068309784</v>
      </c>
      <c r="G2521">
        <v>1329.7319336</v>
      </c>
      <c r="H2521">
        <v>1328.6175536999999</v>
      </c>
      <c r="I2521">
        <v>1338.2166748</v>
      </c>
      <c r="J2521">
        <v>1335.8218993999999</v>
      </c>
      <c r="K2521">
        <v>0</v>
      </c>
      <c r="L2521">
        <v>2400</v>
      </c>
      <c r="M2521">
        <v>2400</v>
      </c>
      <c r="N2521">
        <v>0</v>
      </c>
    </row>
    <row r="2522" spans="1:14" x14ac:dyDescent="0.25">
      <c r="A2522">
        <v>1648.612654</v>
      </c>
      <c r="B2522" s="1">
        <f>DATE(2014,11,4) + TIME(14,42,13)</f>
        <v>41947.612650462965</v>
      </c>
      <c r="C2522">
        <v>80</v>
      </c>
      <c r="D2522">
        <v>79.656288146999998</v>
      </c>
      <c r="E2522">
        <v>50</v>
      </c>
      <c r="F2522">
        <v>50.049362183</v>
      </c>
      <c r="G2522">
        <v>1329.7192382999999</v>
      </c>
      <c r="H2522">
        <v>1328.5991211</v>
      </c>
      <c r="I2522">
        <v>1338.2136230000001</v>
      </c>
      <c r="J2522">
        <v>1335.8204346</v>
      </c>
      <c r="K2522">
        <v>0</v>
      </c>
      <c r="L2522">
        <v>2400</v>
      </c>
      <c r="M2522">
        <v>2400</v>
      </c>
      <c r="N2522">
        <v>0</v>
      </c>
    </row>
    <row r="2523" spans="1:14" x14ac:dyDescent="0.25">
      <c r="A2523">
        <v>1648.822911</v>
      </c>
      <c r="B2523" s="1">
        <f>DATE(2014,11,4) + TIME(19,44,59)</f>
        <v>41947.822905092595</v>
      </c>
      <c r="C2523">
        <v>80</v>
      </c>
      <c r="D2523">
        <v>79.641113281000003</v>
      </c>
      <c r="E2523">
        <v>50</v>
      </c>
      <c r="F2523">
        <v>50.034492493000002</v>
      </c>
      <c r="G2523">
        <v>1329.7064209</v>
      </c>
      <c r="H2523">
        <v>1328.5804443</v>
      </c>
      <c r="I2523">
        <v>1338.2104492000001</v>
      </c>
      <c r="J2523">
        <v>1335.8188477000001</v>
      </c>
      <c r="K2523">
        <v>0</v>
      </c>
      <c r="L2523">
        <v>2400</v>
      </c>
      <c r="M2523">
        <v>2400</v>
      </c>
      <c r="N2523">
        <v>0</v>
      </c>
    </row>
    <row r="2524" spans="1:14" x14ac:dyDescent="0.25">
      <c r="A2524">
        <v>1649.0412670000001</v>
      </c>
      <c r="B2524" s="1">
        <f>DATE(2014,11,5) + TIME(0,59,25)</f>
        <v>41948.041261574072</v>
      </c>
      <c r="C2524">
        <v>80</v>
      </c>
      <c r="D2524">
        <v>79.625442504999995</v>
      </c>
      <c r="E2524">
        <v>50</v>
      </c>
      <c r="F2524">
        <v>50.022895812999998</v>
      </c>
      <c r="G2524">
        <v>1329.6932373</v>
      </c>
      <c r="H2524">
        <v>1328.5612793</v>
      </c>
      <c r="I2524">
        <v>1338.2071533000001</v>
      </c>
      <c r="J2524">
        <v>1335.8171387</v>
      </c>
      <c r="K2524">
        <v>0</v>
      </c>
      <c r="L2524">
        <v>2400</v>
      </c>
      <c r="M2524">
        <v>2400</v>
      </c>
      <c r="N2524">
        <v>0</v>
      </c>
    </row>
    <row r="2525" spans="1:14" x14ac:dyDescent="0.25">
      <c r="A2525">
        <v>1649.268307</v>
      </c>
      <c r="B2525" s="1">
        <f>DATE(2014,11,5) + TIME(6,26,21)</f>
        <v>41948.26829861111</v>
      </c>
      <c r="C2525">
        <v>80</v>
      </c>
      <c r="D2525">
        <v>79.609252929999997</v>
      </c>
      <c r="E2525">
        <v>50</v>
      </c>
      <c r="F2525">
        <v>50.013919829999999</v>
      </c>
      <c r="G2525">
        <v>1329.6798096</v>
      </c>
      <c r="H2525">
        <v>1328.5418701000001</v>
      </c>
      <c r="I2525">
        <v>1338.2036132999999</v>
      </c>
      <c r="J2525">
        <v>1335.8154297000001</v>
      </c>
      <c r="K2525">
        <v>0</v>
      </c>
      <c r="L2525">
        <v>2400</v>
      </c>
      <c r="M2525">
        <v>2400</v>
      </c>
      <c r="N2525">
        <v>0</v>
      </c>
    </row>
    <row r="2526" spans="1:14" x14ac:dyDescent="0.25">
      <c r="A2526">
        <v>1649.504758</v>
      </c>
      <c r="B2526" s="1">
        <f>DATE(2014,11,5) + TIME(12,6,51)</f>
        <v>41948.504756944443</v>
      </c>
      <c r="C2526">
        <v>80</v>
      </c>
      <c r="D2526">
        <v>79.592498778999996</v>
      </c>
      <c r="E2526">
        <v>50</v>
      </c>
      <c r="F2526">
        <v>50.007011413999997</v>
      </c>
      <c r="G2526">
        <v>1329.6661377</v>
      </c>
      <c r="H2526">
        <v>1328.5219727000001</v>
      </c>
      <c r="I2526">
        <v>1338.2000731999999</v>
      </c>
      <c r="J2526">
        <v>1335.8135986</v>
      </c>
      <c r="K2526">
        <v>0</v>
      </c>
      <c r="L2526">
        <v>2400</v>
      </c>
      <c r="M2526">
        <v>2400</v>
      </c>
      <c r="N2526">
        <v>0</v>
      </c>
    </row>
    <row r="2527" spans="1:14" x14ac:dyDescent="0.25">
      <c r="A2527">
        <v>1649.7514389999999</v>
      </c>
      <c r="B2527" s="1">
        <f>DATE(2014,11,5) + TIME(18,2,4)</f>
        <v>41948.751435185186</v>
      </c>
      <c r="C2527">
        <v>80</v>
      </c>
      <c r="D2527">
        <v>79.575126647999994</v>
      </c>
      <c r="E2527">
        <v>50</v>
      </c>
      <c r="F2527">
        <v>50.001731872999997</v>
      </c>
      <c r="G2527">
        <v>1329.6520995999999</v>
      </c>
      <c r="H2527">
        <v>1328.5015868999999</v>
      </c>
      <c r="I2527">
        <v>1338.1962891000001</v>
      </c>
      <c r="J2527">
        <v>1335.8117675999999</v>
      </c>
      <c r="K2527">
        <v>0</v>
      </c>
      <c r="L2527">
        <v>2400</v>
      </c>
      <c r="M2527">
        <v>2400</v>
      </c>
      <c r="N2527">
        <v>0</v>
      </c>
    </row>
    <row r="2528" spans="1:14" x14ac:dyDescent="0.25">
      <c r="A2528">
        <v>1650.0092159999999</v>
      </c>
      <c r="B2528" s="1">
        <f>DATE(2014,11,6) + TIME(0,13,16)</f>
        <v>41949.009212962963</v>
      </c>
      <c r="C2528">
        <v>80</v>
      </c>
      <c r="D2528">
        <v>79.557113646999994</v>
      </c>
      <c r="E2528">
        <v>50</v>
      </c>
      <c r="F2528">
        <v>49.997726440000001</v>
      </c>
      <c r="G2528">
        <v>1329.6376952999999</v>
      </c>
      <c r="H2528">
        <v>1328.4807129000001</v>
      </c>
      <c r="I2528">
        <v>1338.1925048999999</v>
      </c>
      <c r="J2528">
        <v>1335.8098144999999</v>
      </c>
      <c r="K2528">
        <v>0</v>
      </c>
      <c r="L2528">
        <v>2400</v>
      </c>
      <c r="M2528">
        <v>2400</v>
      </c>
      <c r="N2528">
        <v>0</v>
      </c>
    </row>
    <row r="2529" spans="1:14" x14ac:dyDescent="0.25">
      <c r="A2529">
        <v>1650.2790500000001</v>
      </c>
      <c r="B2529" s="1">
        <f>DATE(2014,11,6) + TIME(6,41,49)</f>
        <v>41949.279039351852</v>
      </c>
      <c r="C2529">
        <v>80</v>
      </c>
      <c r="D2529">
        <v>79.538391113000003</v>
      </c>
      <c r="E2529">
        <v>50</v>
      </c>
      <c r="F2529">
        <v>49.994701384999999</v>
      </c>
      <c r="G2529">
        <v>1329.6228027</v>
      </c>
      <c r="H2529">
        <v>1328.4593506000001</v>
      </c>
      <c r="I2529">
        <v>1338.1884766000001</v>
      </c>
      <c r="J2529">
        <v>1335.8077393000001</v>
      </c>
      <c r="K2529">
        <v>0</v>
      </c>
      <c r="L2529">
        <v>2400</v>
      </c>
      <c r="M2529">
        <v>2400</v>
      </c>
      <c r="N2529">
        <v>0</v>
      </c>
    </row>
    <row r="2530" spans="1:14" x14ac:dyDescent="0.25">
      <c r="A2530">
        <v>1650.562015</v>
      </c>
      <c r="B2530" s="1">
        <f>DATE(2014,11,6) + TIME(13,29,18)</f>
        <v>41949.562013888892</v>
      </c>
      <c r="C2530">
        <v>80</v>
      </c>
      <c r="D2530">
        <v>79.518920898000005</v>
      </c>
      <c r="E2530">
        <v>50</v>
      </c>
      <c r="F2530">
        <v>49.992435454999999</v>
      </c>
      <c r="G2530">
        <v>1329.6074219</v>
      </c>
      <c r="H2530">
        <v>1328.4372559000001</v>
      </c>
      <c r="I2530">
        <v>1338.1844481999999</v>
      </c>
      <c r="J2530">
        <v>1335.8056641000001</v>
      </c>
      <c r="K2530">
        <v>0</v>
      </c>
      <c r="L2530">
        <v>2400</v>
      </c>
      <c r="M2530">
        <v>2400</v>
      </c>
      <c r="N2530">
        <v>0</v>
      </c>
    </row>
    <row r="2531" spans="1:14" x14ac:dyDescent="0.25">
      <c r="A2531">
        <v>1650.8593129999999</v>
      </c>
      <c r="B2531" s="1">
        <f>DATE(2014,11,6) + TIME(20,37,24)</f>
        <v>41949.859305555554</v>
      </c>
      <c r="C2531">
        <v>80</v>
      </c>
      <c r="D2531">
        <v>79.498634338000002</v>
      </c>
      <c r="E2531">
        <v>50</v>
      </c>
      <c r="F2531">
        <v>49.990745543999999</v>
      </c>
      <c r="G2531">
        <v>1329.5916748</v>
      </c>
      <c r="H2531">
        <v>1328.4144286999999</v>
      </c>
      <c r="I2531">
        <v>1338.1801757999999</v>
      </c>
      <c r="J2531">
        <v>1335.8034668</v>
      </c>
      <c r="K2531">
        <v>0</v>
      </c>
      <c r="L2531">
        <v>2400</v>
      </c>
      <c r="M2531">
        <v>2400</v>
      </c>
      <c r="N2531">
        <v>0</v>
      </c>
    </row>
    <row r="2532" spans="1:14" x14ac:dyDescent="0.25">
      <c r="A2532">
        <v>1651.172298</v>
      </c>
      <c r="B2532" s="1">
        <f>DATE(2014,11,7) + TIME(4,8,6)</f>
        <v>41950.172291666669</v>
      </c>
      <c r="C2532">
        <v>80</v>
      </c>
      <c r="D2532">
        <v>79.477470397999994</v>
      </c>
      <c r="E2532">
        <v>50</v>
      </c>
      <c r="F2532">
        <v>49.989490508999999</v>
      </c>
      <c r="G2532">
        <v>1329.5753173999999</v>
      </c>
      <c r="H2532">
        <v>1328.3908690999999</v>
      </c>
      <c r="I2532">
        <v>1338.1759033000001</v>
      </c>
      <c r="J2532">
        <v>1335.8012695</v>
      </c>
      <c r="K2532">
        <v>0</v>
      </c>
      <c r="L2532">
        <v>2400</v>
      </c>
      <c r="M2532">
        <v>2400</v>
      </c>
      <c r="N2532">
        <v>0</v>
      </c>
    </row>
    <row r="2533" spans="1:14" x14ac:dyDescent="0.25">
      <c r="A2533">
        <v>1651.5025029999999</v>
      </c>
      <c r="B2533" s="1">
        <f>DATE(2014,11,7) + TIME(12,3,36)</f>
        <v>41950.502500000002</v>
      </c>
      <c r="C2533">
        <v>80</v>
      </c>
      <c r="D2533">
        <v>79.455352782999995</v>
      </c>
      <c r="E2533">
        <v>50</v>
      </c>
      <c r="F2533">
        <v>49.988563538000001</v>
      </c>
      <c r="G2533">
        <v>1329.5583495999999</v>
      </c>
      <c r="H2533">
        <v>1328.3664550999999</v>
      </c>
      <c r="I2533">
        <v>1338.1715088000001</v>
      </c>
      <c r="J2533">
        <v>1335.7988281</v>
      </c>
      <c r="K2533">
        <v>0</v>
      </c>
      <c r="L2533">
        <v>2400</v>
      </c>
      <c r="M2533">
        <v>2400</v>
      </c>
      <c r="N2533">
        <v>0</v>
      </c>
    </row>
    <row r="2534" spans="1:14" x14ac:dyDescent="0.25">
      <c r="A2534">
        <v>1651.8516689999999</v>
      </c>
      <c r="B2534" s="1">
        <f>DATE(2014,11,7) + TIME(20,26,24)</f>
        <v>41950.851666666669</v>
      </c>
      <c r="C2534">
        <v>80</v>
      </c>
      <c r="D2534">
        <v>79.432197571000003</v>
      </c>
      <c r="E2534">
        <v>50</v>
      </c>
      <c r="F2534">
        <v>49.987876892000003</v>
      </c>
      <c r="G2534">
        <v>1329.5406493999999</v>
      </c>
      <c r="H2534">
        <v>1328.3411865</v>
      </c>
      <c r="I2534">
        <v>1338.1669922000001</v>
      </c>
      <c r="J2534">
        <v>1335.7965088000001</v>
      </c>
      <c r="K2534">
        <v>0</v>
      </c>
      <c r="L2534">
        <v>2400</v>
      </c>
      <c r="M2534">
        <v>2400</v>
      </c>
      <c r="N2534">
        <v>0</v>
      </c>
    </row>
    <row r="2535" spans="1:14" x14ac:dyDescent="0.25">
      <c r="A2535">
        <v>1652.2217989999999</v>
      </c>
      <c r="B2535" s="1">
        <f>DATE(2014,11,8) + TIME(5,19,23)</f>
        <v>41951.22179398148</v>
      </c>
      <c r="C2535">
        <v>80</v>
      </c>
      <c r="D2535">
        <v>79.407920837000006</v>
      </c>
      <c r="E2535">
        <v>50</v>
      </c>
      <c r="F2535">
        <v>49.987369536999999</v>
      </c>
      <c r="G2535">
        <v>1329.5223389</v>
      </c>
      <c r="H2535">
        <v>1328.3149414</v>
      </c>
      <c r="I2535">
        <v>1338.1623535000001</v>
      </c>
      <c r="J2535">
        <v>1335.7939452999999</v>
      </c>
      <c r="K2535">
        <v>0</v>
      </c>
      <c r="L2535">
        <v>2400</v>
      </c>
      <c r="M2535">
        <v>2400</v>
      </c>
      <c r="N2535">
        <v>0</v>
      </c>
    </row>
    <row r="2536" spans="1:14" x14ac:dyDescent="0.25">
      <c r="A2536">
        <v>1652.6122270000001</v>
      </c>
      <c r="B2536" s="1">
        <f>DATE(2014,11,8) + TIME(14,41,36)</f>
        <v>41951.612222222226</v>
      </c>
      <c r="C2536">
        <v>80</v>
      </c>
      <c r="D2536">
        <v>79.382545471</v>
      </c>
      <c r="E2536">
        <v>50</v>
      </c>
      <c r="F2536">
        <v>49.986995696999998</v>
      </c>
      <c r="G2536">
        <v>1329.5031738</v>
      </c>
      <c r="H2536">
        <v>1328.2874756000001</v>
      </c>
      <c r="I2536">
        <v>1338.1575928</v>
      </c>
      <c r="J2536">
        <v>1335.7913818</v>
      </c>
      <c r="K2536">
        <v>0</v>
      </c>
      <c r="L2536">
        <v>2400</v>
      </c>
      <c r="M2536">
        <v>2400</v>
      </c>
      <c r="N2536">
        <v>0</v>
      </c>
    </row>
    <row r="2537" spans="1:14" x14ac:dyDescent="0.25">
      <c r="A2537">
        <v>1653.022136</v>
      </c>
      <c r="B2537" s="1">
        <f>DATE(2014,11,9) + TIME(0,31,52)</f>
        <v>41952.022129629629</v>
      </c>
      <c r="C2537">
        <v>80</v>
      </c>
      <c r="D2537">
        <v>79.356117248999993</v>
      </c>
      <c r="E2537">
        <v>50</v>
      </c>
      <c r="F2537">
        <v>49.986717224000003</v>
      </c>
      <c r="G2537">
        <v>1329.4832764</v>
      </c>
      <c r="H2537">
        <v>1328.2591553</v>
      </c>
      <c r="I2537">
        <v>1338.1527100000001</v>
      </c>
      <c r="J2537">
        <v>1335.7888184000001</v>
      </c>
      <c r="K2537">
        <v>0</v>
      </c>
      <c r="L2537">
        <v>2400</v>
      </c>
      <c r="M2537">
        <v>2400</v>
      </c>
      <c r="N2537">
        <v>0</v>
      </c>
    </row>
    <row r="2538" spans="1:14" x14ac:dyDescent="0.25">
      <c r="A2538">
        <v>1653.4526530000001</v>
      </c>
      <c r="B2538" s="1">
        <f>DATE(2014,11,9) + TIME(10,51,49)</f>
        <v>41952.452650462961</v>
      </c>
      <c r="C2538">
        <v>80</v>
      </c>
      <c r="D2538">
        <v>79.328598021999994</v>
      </c>
      <c r="E2538">
        <v>50</v>
      </c>
      <c r="F2538">
        <v>49.986511229999998</v>
      </c>
      <c r="G2538">
        <v>1329.4627685999999</v>
      </c>
      <c r="H2538">
        <v>1328.2298584</v>
      </c>
      <c r="I2538">
        <v>1338.1478271000001</v>
      </c>
      <c r="J2538">
        <v>1335.7861327999999</v>
      </c>
      <c r="K2538">
        <v>0</v>
      </c>
      <c r="L2538">
        <v>2400</v>
      </c>
      <c r="M2538">
        <v>2400</v>
      </c>
      <c r="N2538">
        <v>0</v>
      </c>
    </row>
    <row r="2539" spans="1:14" x14ac:dyDescent="0.25">
      <c r="A2539">
        <v>1653.8955840000001</v>
      </c>
      <c r="B2539" s="1">
        <f>DATE(2014,11,9) + TIME(21,29,38)</f>
        <v>41952.895578703705</v>
      </c>
      <c r="C2539">
        <v>80</v>
      </c>
      <c r="D2539">
        <v>79.300346375000004</v>
      </c>
      <c r="E2539">
        <v>50</v>
      </c>
      <c r="F2539">
        <v>49.986358643000003</v>
      </c>
      <c r="G2539">
        <v>1329.4415283000001</v>
      </c>
      <c r="H2539">
        <v>1328.1995850000001</v>
      </c>
      <c r="I2539">
        <v>1338.1429443</v>
      </c>
      <c r="J2539">
        <v>1335.7834473</v>
      </c>
      <c r="K2539">
        <v>0</v>
      </c>
      <c r="L2539">
        <v>2400</v>
      </c>
      <c r="M2539">
        <v>2400</v>
      </c>
      <c r="N2539">
        <v>0</v>
      </c>
    </row>
    <row r="2540" spans="1:14" x14ac:dyDescent="0.25">
      <c r="A2540">
        <v>1654.3518939999999</v>
      </c>
      <c r="B2540" s="1">
        <f>DATE(2014,11,10) + TIME(8,26,43)</f>
        <v>41953.351886574077</v>
      </c>
      <c r="C2540">
        <v>80</v>
      </c>
      <c r="D2540">
        <v>79.271400451999995</v>
      </c>
      <c r="E2540">
        <v>50</v>
      </c>
      <c r="F2540">
        <v>49.986240387000002</v>
      </c>
      <c r="G2540">
        <v>1329.4199219</v>
      </c>
      <c r="H2540">
        <v>1328.1688231999999</v>
      </c>
      <c r="I2540">
        <v>1338.1380615</v>
      </c>
      <c r="J2540">
        <v>1335.7807617000001</v>
      </c>
      <c r="K2540">
        <v>0</v>
      </c>
      <c r="L2540">
        <v>2400</v>
      </c>
      <c r="M2540">
        <v>2400</v>
      </c>
      <c r="N2540">
        <v>0</v>
      </c>
    </row>
    <row r="2541" spans="1:14" x14ac:dyDescent="0.25">
      <c r="A2541">
        <v>1654.824856</v>
      </c>
      <c r="B2541" s="1">
        <f>DATE(2014,11,10) + TIME(19,47,47)</f>
        <v>41953.824849537035</v>
      </c>
      <c r="C2541">
        <v>80</v>
      </c>
      <c r="D2541">
        <v>79.241691588999998</v>
      </c>
      <c r="E2541">
        <v>50</v>
      </c>
      <c r="F2541">
        <v>49.986152648999997</v>
      </c>
      <c r="G2541">
        <v>1329.3978271000001</v>
      </c>
      <c r="H2541">
        <v>1328.1375731999999</v>
      </c>
      <c r="I2541">
        <v>1338.1333007999999</v>
      </c>
      <c r="J2541">
        <v>1335.7781981999999</v>
      </c>
      <c r="K2541">
        <v>0</v>
      </c>
      <c r="L2541">
        <v>2400</v>
      </c>
      <c r="M2541">
        <v>2400</v>
      </c>
      <c r="N2541">
        <v>0</v>
      </c>
    </row>
    <row r="2542" spans="1:14" x14ac:dyDescent="0.25">
      <c r="A2542">
        <v>1655.3122510000001</v>
      </c>
      <c r="B2542" s="1">
        <f>DATE(2014,11,11) + TIME(7,29,38)</f>
        <v>41954.312245370369</v>
      </c>
      <c r="C2542">
        <v>80</v>
      </c>
      <c r="D2542">
        <v>79.211303710999999</v>
      </c>
      <c r="E2542">
        <v>50</v>
      </c>
      <c r="F2542">
        <v>49.986080170000001</v>
      </c>
      <c r="G2542">
        <v>1329.3753661999999</v>
      </c>
      <c r="H2542">
        <v>1328.1057129000001</v>
      </c>
      <c r="I2542">
        <v>1338.1285399999999</v>
      </c>
      <c r="J2542">
        <v>1335.7755127</v>
      </c>
      <c r="K2542">
        <v>0</v>
      </c>
      <c r="L2542">
        <v>2400</v>
      </c>
      <c r="M2542">
        <v>2400</v>
      </c>
      <c r="N2542">
        <v>0</v>
      </c>
    </row>
    <row r="2543" spans="1:14" x14ac:dyDescent="0.25">
      <c r="A2543">
        <v>1655.812189</v>
      </c>
      <c r="B2543" s="1">
        <f>DATE(2014,11,11) + TIME(19,29,33)</f>
        <v>41954.8121875</v>
      </c>
      <c r="C2543">
        <v>80</v>
      </c>
      <c r="D2543">
        <v>79.180358886999997</v>
      </c>
      <c r="E2543">
        <v>50</v>
      </c>
      <c r="F2543">
        <v>49.986022949000002</v>
      </c>
      <c r="G2543">
        <v>1329.3525391000001</v>
      </c>
      <c r="H2543">
        <v>1328.0733643000001</v>
      </c>
      <c r="I2543">
        <v>1338.1239014</v>
      </c>
      <c r="J2543">
        <v>1335.7729492000001</v>
      </c>
      <c r="K2543">
        <v>0</v>
      </c>
      <c r="L2543">
        <v>2400</v>
      </c>
      <c r="M2543">
        <v>2400</v>
      </c>
      <c r="N2543">
        <v>0</v>
      </c>
    </row>
    <row r="2544" spans="1:14" x14ac:dyDescent="0.25">
      <c r="A2544">
        <v>1656.326</v>
      </c>
      <c r="B2544" s="1">
        <f>DATE(2014,11,12) + TIME(7,49,26)</f>
        <v>41955.325995370367</v>
      </c>
      <c r="C2544">
        <v>80</v>
      </c>
      <c r="D2544">
        <v>79.148849487000007</v>
      </c>
      <c r="E2544">
        <v>50</v>
      </c>
      <c r="F2544">
        <v>49.985980988000001</v>
      </c>
      <c r="G2544">
        <v>1329.3294678</v>
      </c>
      <c r="H2544">
        <v>1328.0406493999999</v>
      </c>
      <c r="I2544">
        <v>1338.1192627</v>
      </c>
      <c r="J2544">
        <v>1335.7703856999999</v>
      </c>
      <c r="K2544">
        <v>0</v>
      </c>
      <c r="L2544">
        <v>2400</v>
      </c>
      <c r="M2544">
        <v>2400</v>
      </c>
      <c r="N2544">
        <v>0</v>
      </c>
    </row>
    <row r="2545" spans="1:14" x14ac:dyDescent="0.25">
      <c r="A2545">
        <v>1656.8550319999999</v>
      </c>
      <c r="B2545" s="1">
        <f>DATE(2014,11,12) + TIME(20,31,14)</f>
        <v>41955.855023148149</v>
      </c>
      <c r="C2545">
        <v>80</v>
      </c>
      <c r="D2545">
        <v>79.116737365999995</v>
      </c>
      <c r="E2545">
        <v>50</v>
      </c>
      <c r="F2545">
        <v>49.985942841000004</v>
      </c>
      <c r="G2545">
        <v>1329.3060303</v>
      </c>
      <c r="H2545">
        <v>1328.0074463000001</v>
      </c>
      <c r="I2545">
        <v>1338.1147461</v>
      </c>
      <c r="J2545">
        <v>1335.7679443</v>
      </c>
      <c r="K2545">
        <v>0</v>
      </c>
      <c r="L2545">
        <v>2400</v>
      </c>
      <c r="M2545">
        <v>2400</v>
      </c>
      <c r="N2545">
        <v>0</v>
      </c>
    </row>
    <row r="2546" spans="1:14" x14ac:dyDescent="0.25">
      <c r="A2546">
        <v>1657.400752</v>
      </c>
      <c r="B2546" s="1">
        <f>DATE(2014,11,13) + TIME(9,37,4)</f>
        <v>41956.400740740741</v>
      </c>
      <c r="C2546">
        <v>80</v>
      </c>
      <c r="D2546">
        <v>79.083976746000005</v>
      </c>
      <c r="E2546">
        <v>50</v>
      </c>
      <c r="F2546">
        <v>49.985912323000001</v>
      </c>
      <c r="G2546">
        <v>1329.2822266000001</v>
      </c>
      <c r="H2546">
        <v>1327.9738769999999</v>
      </c>
      <c r="I2546">
        <v>1338.1102295000001</v>
      </c>
      <c r="J2546">
        <v>1335.7653809000001</v>
      </c>
      <c r="K2546">
        <v>0</v>
      </c>
      <c r="L2546">
        <v>2400</v>
      </c>
      <c r="M2546">
        <v>2400</v>
      </c>
      <c r="N2546">
        <v>0</v>
      </c>
    </row>
    <row r="2547" spans="1:14" x14ac:dyDescent="0.25">
      <c r="A2547">
        <v>1657.9647299999999</v>
      </c>
      <c r="B2547" s="1">
        <f>DATE(2014,11,13) + TIME(23,9,12)</f>
        <v>41956.964722222219</v>
      </c>
      <c r="C2547">
        <v>80</v>
      </c>
      <c r="D2547">
        <v>79.050521850999999</v>
      </c>
      <c r="E2547">
        <v>50</v>
      </c>
      <c r="F2547">
        <v>49.985885619999998</v>
      </c>
      <c r="G2547">
        <v>1329.2580565999999</v>
      </c>
      <c r="H2547">
        <v>1327.9398193</v>
      </c>
      <c r="I2547">
        <v>1338.1058350000001</v>
      </c>
      <c r="J2547">
        <v>1335.7630615</v>
      </c>
      <c r="K2547">
        <v>0</v>
      </c>
      <c r="L2547">
        <v>2400</v>
      </c>
      <c r="M2547">
        <v>2400</v>
      </c>
      <c r="N2547">
        <v>0</v>
      </c>
    </row>
    <row r="2548" spans="1:14" x14ac:dyDescent="0.25">
      <c r="A2548">
        <v>1658.548693</v>
      </c>
      <c r="B2548" s="1">
        <f>DATE(2014,11,14) + TIME(13,10,7)</f>
        <v>41957.548692129632</v>
      </c>
      <c r="C2548">
        <v>80</v>
      </c>
      <c r="D2548">
        <v>79.016281128000003</v>
      </c>
      <c r="E2548">
        <v>50</v>
      </c>
      <c r="F2548">
        <v>49.985862732000001</v>
      </c>
      <c r="G2548">
        <v>1329.2335204999999</v>
      </c>
      <c r="H2548">
        <v>1327.9052733999999</v>
      </c>
      <c r="I2548">
        <v>1338.1013184000001</v>
      </c>
      <c r="J2548">
        <v>1335.7606201000001</v>
      </c>
      <c r="K2548">
        <v>0</v>
      </c>
      <c r="L2548">
        <v>2400</v>
      </c>
      <c r="M2548">
        <v>2400</v>
      </c>
      <c r="N2548">
        <v>0</v>
      </c>
    </row>
    <row r="2549" spans="1:14" x14ac:dyDescent="0.25">
      <c r="A2549">
        <v>1659.1543730000001</v>
      </c>
      <c r="B2549" s="1">
        <f>DATE(2014,11,15) + TIME(3,42,17)</f>
        <v>41958.154363425929</v>
      </c>
      <c r="C2549">
        <v>80</v>
      </c>
      <c r="D2549">
        <v>78.981178283999995</v>
      </c>
      <c r="E2549">
        <v>50</v>
      </c>
      <c r="F2549">
        <v>49.985839843999997</v>
      </c>
      <c r="G2549">
        <v>1329.208374</v>
      </c>
      <c r="H2549">
        <v>1327.8701172000001</v>
      </c>
      <c r="I2549">
        <v>1338.0970459</v>
      </c>
      <c r="J2549">
        <v>1335.7583007999999</v>
      </c>
      <c r="K2549">
        <v>0</v>
      </c>
      <c r="L2549">
        <v>2400</v>
      </c>
      <c r="M2549">
        <v>2400</v>
      </c>
      <c r="N2549">
        <v>0</v>
      </c>
    </row>
    <row r="2550" spans="1:14" x14ac:dyDescent="0.25">
      <c r="A2550">
        <v>1659.783776</v>
      </c>
      <c r="B2550" s="1">
        <f>DATE(2014,11,15) + TIME(18,48,38)</f>
        <v>41958.783773148149</v>
      </c>
      <c r="C2550">
        <v>80</v>
      </c>
      <c r="D2550">
        <v>78.945137024000005</v>
      </c>
      <c r="E2550">
        <v>50</v>
      </c>
      <c r="F2550">
        <v>49.985820769999997</v>
      </c>
      <c r="G2550">
        <v>1329.1827393000001</v>
      </c>
      <c r="H2550">
        <v>1327.8342285000001</v>
      </c>
      <c r="I2550">
        <v>1338.0926514</v>
      </c>
      <c r="J2550">
        <v>1335.7558594</v>
      </c>
      <c r="K2550">
        <v>0</v>
      </c>
      <c r="L2550">
        <v>2400</v>
      </c>
      <c r="M2550">
        <v>2400</v>
      </c>
      <c r="N2550">
        <v>0</v>
      </c>
    </row>
    <row r="2551" spans="1:14" x14ac:dyDescent="0.25">
      <c r="A2551">
        <v>1660.4392969999999</v>
      </c>
      <c r="B2551" s="1">
        <f>DATE(2014,11,16) + TIME(10,32,35)</f>
        <v>41959.439293981479</v>
      </c>
      <c r="C2551">
        <v>80</v>
      </c>
      <c r="D2551">
        <v>78.908042907999999</v>
      </c>
      <c r="E2551">
        <v>50</v>
      </c>
      <c r="F2551">
        <v>49.985805511000002</v>
      </c>
      <c r="G2551">
        <v>1329.1566161999999</v>
      </c>
      <c r="H2551">
        <v>1327.7974853999999</v>
      </c>
      <c r="I2551">
        <v>1338.0883789</v>
      </c>
      <c r="J2551">
        <v>1335.7535399999999</v>
      </c>
      <c r="K2551">
        <v>0</v>
      </c>
      <c r="L2551">
        <v>2400</v>
      </c>
      <c r="M2551">
        <v>2400</v>
      </c>
      <c r="N2551">
        <v>0</v>
      </c>
    </row>
    <row r="2552" spans="1:14" x14ac:dyDescent="0.25">
      <c r="A2552">
        <v>1661.123482</v>
      </c>
      <c r="B2552" s="1">
        <f>DATE(2014,11,17) + TIME(2,57,48)</f>
        <v>41960.123472222222</v>
      </c>
      <c r="C2552">
        <v>80</v>
      </c>
      <c r="D2552">
        <v>78.869773864999999</v>
      </c>
      <c r="E2552">
        <v>50</v>
      </c>
      <c r="F2552">
        <v>49.985790252999998</v>
      </c>
      <c r="G2552">
        <v>1329.1297606999999</v>
      </c>
      <c r="H2552">
        <v>1327.7600098</v>
      </c>
      <c r="I2552">
        <v>1338.0839844</v>
      </c>
      <c r="J2552">
        <v>1335.7512207</v>
      </c>
      <c r="K2552">
        <v>0</v>
      </c>
      <c r="L2552">
        <v>2400</v>
      </c>
      <c r="M2552">
        <v>2400</v>
      </c>
      <c r="N2552">
        <v>0</v>
      </c>
    </row>
    <row r="2553" spans="1:14" x14ac:dyDescent="0.25">
      <c r="A2553">
        <v>1661.83113</v>
      </c>
      <c r="B2553" s="1">
        <f>DATE(2014,11,17) + TIME(19,56,49)</f>
        <v>41960.831122685187</v>
      </c>
      <c r="C2553">
        <v>80</v>
      </c>
      <c r="D2553">
        <v>78.830436707000004</v>
      </c>
      <c r="E2553">
        <v>50</v>
      </c>
      <c r="F2553">
        <v>49.985774994000003</v>
      </c>
      <c r="G2553">
        <v>1329.1022949000001</v>
      </c>
      <c r="H2553">
        <v>1327.7216797000001</v>
      </c>
      <c r="I2553">
        <v>1338.0797118999999</v>
      </c>
      <c r="J2553">
        <v>1335.7489014</v>
      </c>
      <c r="K2553">
        <v>0</v>
      </c>
      <c r="L2553">
        <v>2400</v>
      </c>
      <c r="M2553">
        <v>2400</v>
      </c>
      <c r="N2553">
        <v>0</v>
      </c>
    </row>
    <row r="2554" spans="1:14" x14ac:dyDescent="0.25">
      <c r="A2554">
        <v>1662.561772</v>
      </c>
      <c r="B2554" s="1">
        <f>DATE(2014,11,18) + TIME(13,28,57)</f>
        <v>41961.56177083333</v>
      </c>
      <c r="C2554">
        <v>80</v>
      </c>
      <c r="D2554">
        <v>78.790069579999994</v>
      </c>
      <c r="E2554">
        <v>50</v>
      </c>
      <c r="F2554">
        <v>49.985759735000002</v>
      </c>
      <c r="G2554">
        <v>1329.0742187999999</v>
      </c>
      <c r="H2554">
        <v>1327.6824951000001</v>
      </c>
      <c r="I2554">
        <v>1338.0754394999999</v>
      </c>
      <c r="J2554">
        <v>1335.7467041</v>
      </c>
      <c r="K2554">
        <v>0</v>
      </c>
      <c r="L2554">
        <v>2400</v>
      </c>
      <c r="M2554">
        <v>2400</v>
      </c>
      <c r="N2554">
        <v>0</v>
      </c>
    </row>
    <row r="2555" spans="1:14" x14ac:dyDescent="0.25">
      <c r="A2555">
        <v>1663.3211739999999</v>
      </c>
      <c r="B2555" s="1">
        <f>DATE(2014,11,19) + TIME(7,42,29)</f>
        <v>41962.321168981478</v>
      </c>
      <c r="C2555">
        <v>80</v>
      </c>
      <c r="D2555">
        <v>78.748565674000005</v>
      </c>
      <c r="E2555">
        <v>50</v>
      </c>
      <c r="F2555">
        <v>49.985744476000001</v>
      </c>
      <c r="G2555">
        <v>1329.0456543</v>
      </c>
      <c r="H2555">
        <v>1327.6428223</v>
      </c>
      <c r="I2555">
        <v>1338.0711670000001</v>
      </c>
      <c r="J2555">
        <v>1335.7445068</v>
      </c>
      <c r="K2555">
        <v>0</v>
      </c>
      <c r="L2555">
        <v>2400</v>
      </c>
      <c r="M2555">
        <v>2400</v>
      </c>
      <c r="N2555">
        <v>0</v>
      </c>
    </row>
    <row r="2556" spans="1:14" x14ac:dyDescent="0.25">
      <c r="A2556">
        <v>1664.1157350000001</v>
      </c>
      <c r="B2556" s="1">
        <f>DATE(2014,11,20) + TIME(2,46,39)</f>
        <v>41963.115729166668</v>
      </c>
      <c r="C2556">
        <v>80</v>
      </c>
      <c r="D2556">
        <v>78.705680846999996</v>
      </c>
      <c r="E2556">
        <v>50</v>
      </c>
      <c r="F2556">
        <v>49.985729218000003</v>
      </c>
      <c r="G2556">
        <v>1329.0163574000001</v>
      </c>
      <c r="H2556">
        <v>1327.6021728999999</v>
      </c>
      <c r="I2556">
        <v>1338.0668945</v>
      </c>
      <c r="J2556">
        <v>1335.7423096</v>
      </c>
      <c r="K2556">
        <v>0</v>
      </c>
      <c r="L2556">
        <v>2400</v>
      </c>
      <c r="M2556">
        <v>2400</v>
      </c>
      <c r="N2556">
        <v>0</v>
      </c>
    </row>
    <row r="2557" spans="1:14" x14ac:dyDescent="0.25">
      <c r="A2557">
        <v>1664.9426089999999</v>
      </c>
      <c r="B2557" s="1">
        <f>DATE(2014,11,20) + TIME(22,37,21)</f>
        <v>41963.942604166667</v>
      </c>
      <c r="C2557">
        <v>80</v>
      </c>
      <c r="D2557">
        <v>78.661376953000001</v>
      </c>
      <c r="E2557">
        <v>50</v>
      </c>
      <c r="F2557">
        <v>49.985717772999998</v>
      </c>
      <c r="G2557">
        <v>1328.9863281</v>
      </c>
      <c r="H2557">
        <v>1327.5605469</v>
      </c>
      <c r="I2557">
        <v>1338.0626221</v>
      </c>
      <c r="J2557">
        <v>1335.7401123</v>
      </c>
      <c r="K2557">
        <v>0</v>
      </c>
      <c r="L2557">
        <v>2400</v>
      </c>
      <c r="M2557">
        <v>2400</v>
      </c>
      <c r="N2557">
        <v>0</v>
      </c>
    </row>
    <row r="2558" spans="1:14" x14ac:dyDescent="0.25">
      <c r="A2558">
        <v>1665.793811</v>
      </c>
      <c r="B2558" s="1">
        <f>DATE(2014,11,21) + TIME(19,3,5)</f>
        <v>41964.793807870374</v>
      </c>
      <c r="C2558">
        <v>80</v>
      </c>
      <c r="D2558">
        <v>78.615798949999999</v>
      </c>
      <c r="E2558">
        <v>50</v>
      </c>
      <c r="F2558">
        <v>49.985702515</v>
      </c>
      <c r="G2558">
        <v>1328.9556885</v>
      </c>
      <c r="H2558">
        <v>1327.5180664</v>
      </c>
      <c r="I2558">
        <v>1338.0584716999999</v>
      </c>
      <c r="J2558">
        <v>1335.7379149999999</v>
      </c>
      <c r="K2558">
        <v>0</v>
      </c>
      <c r="L2558">
        <v>2400</v>
      </c>
      <c r="M2558">
        <v>2400</v>
      </c>
      <c r="N2558">
        <v>0</v>
      </c>
    </row>
    <row r="2559" spans="1:14" x14ac:dyDescent="0.25">
      <c r="A2559">
        <v>1666.6756909999999</v>
      </c>
      <c r="B2559" s="1">
        <f>DATE(2014,11,22) + TIME(16,12,59)</f>
        <v>41965.675682870373</v>
      </c>
      <c r="C2559">
        <v>80</v>
      </c>
      <c r="D2559">
        <v>78.568923949999999</v>
      </c>
      <c r="E2559">
        <v>50</v>
      </c>
      <c r="F2559">
        <v>49.985691070999998</v>
      </c>
      <c r="G2559">
        <v>1328.9244385</v>
      </c>
      <c r="H2559">
        <v>1327.4749756000001</v>
      </c>
      <c r="I2559">
        <v>1338.0541992000001</v>
      </c>
      <c r="J2559">
        <v>1335.7358397999999</v>
      </c>
      <c r="K2559">
        <v>0</v>
      </c>
      <c r="L2559">
        <v>2400</v>
      </c>
      <c r="M2559">
        <v>2400</v>
      </c>
      <c r="N2559">
        <v>0</v>
      </c>
    </row>
    <row r="2560" spans="1:14" x14ac:dyDescent="0.25">
      <c r="A2560">
        <v>1667.569716</v>
      </c>
      <c r="B2560" s="1">
        <f>DATE(2014,11,23) + TIME(13,40,23)</f>
        <v>41966.569710648146</v>
      </c>
      <c r="C2560">
        <v>80</v>
      </c>
      <c r="D2560">
        <v>78.521110535000005</v>
      </c>
      <c r="E2560">
        <v>50</v>
      </c>
      <c r="F2560">
        <v>49.985675811999997</v>
      </c>
      <c r="G2560">
        <v>1328.8927002</v>
      </c>
      <c r="H2560">
        <v>1327.4311522999999</v>
      </c>
      <c r="I2560">
        <v>1338.0500488</v>
      </c>
      <c r="J2560">
        <v>1335.7337646000001</v>
      </c>
      <c r="K2560">
        <v>0</v>
      </c>
      <c r="L2560">
        <v>2400</v>
      </c>
      <c r="M2560">
        <v>2400</v>
      </c>
      <c r="N2560">
        <v>0</v>
      </c>
    </row>
    <row r="2561" spans="1:14" x14ac:dyDescent="0.25">
      <c r="A2561">
        <v>1668.4762760000001</v>
      </c>
      <c r="B2561" s="1">
        <f>DATE(2014,11,24) + TIME(11,25,50)</f>
        <v>41967.476273148146</v>
      </c>
      <c r="C2561">
        <v>80</v>
      </c>
      <c r="D2561">
        <v>78.472625731999997</v>
      </c>
      <c r="E2561">
        <v>50</v>
      </c>
      <c r="F2561">
        <v>49.985664368000002</v>
      </c>
      <c r="G2561">
        <v>1328.8608397999999</v>
      </c>
      <c r="H2561">
        <v>1327.3873291</v>
      </c>
      <c r="I2561">
        <v>1338.0460204999999</v>
      </c>
      <c r="J2561">
        <v>1335.7318115</v>
      </c>
      <c r="K2561">
        <v>0</v>
      </c>
      <c r="L2561">
        <v>2400</v>
      </c>
      <c r="M2561">
        <v>2400</v>
      </c>
      <c r="N2561">
        <v>0</v>
      </c>
    </row>
    <row r="2562" spans="1:14" x14ac:dyDescent="0.25">
      <c r="A2562">
        <v>1669.402151</v>
      </c>
      <c r="B2562" s="1">
        <f>DATE(2014,11,25) + TIME(9,39,5)</f>
        <v>41968.402141203704</v>
      </c>
      <c r="C2562">
        <v>80</v>
      </c>
      <c r="D2562">
        <v>78.423416137999993</v>
      </c>
      <c r="E2562">
        <v>50</v>
      </c>
      <c r="F2562">
        <v>49.985652924</v>
      </c>
      <c r="G2562">
        <v>1328.8289795000001</v>
      </c>
      <c r="H2562">
        <v>1327.3435059000001</v>
      </c>
      <c r="I2562">
        <v>1338.0421143000001</v>
      </c>
      <c r="J2562">
        <v>1335.7299805</v>
      </c>
      <c r="K2562">
        <v>0</v>
      </c>
      <c r="L2562">
        <v>2400</v>
      </c>
      <c r="M2562">
        <v>2400</v>
      </c>
      <c r="N2562">
        <v>0</v>
      </c>
    </row>
    <row r="2563" spans="1:14" x14ac:dyDescent="0.25">
      <c r="A2563">
        <v>1670.354333</v>
      </c>
      <c r="B2563" s="1">
        <f>DATE(2014,11,26) + TIME(8,30,14)</f>
        <v>41969.354328703703</v>
      </c>
      <c r="C2563">
        <v>80</v>
      </c>
      <c r="D2563">
        <v>78.373222350999995</v>
      </c>
      <c r="E2563">
        <v>50</v>
      </c>
      <c r="F2563">
        <v>49.985637664999999</v>
      </c>
      <c r="G2563">
        <v>1328.7971190999999</v>
      </c>
      <c r="H2563">
        <v>1327.2994385</v>
      </c>
      <c r="I2563">
        <v>1338.0382079999999</v>
      </c>
      <c r="J2563">
        <v>1335.7281493999999</v>
      </c>
      <c r="K2563">
        <v>0</v>
      </c>
      <c r="L2563">
        <v>2400</v>
      </c>
      <c r="M2563">
        <v>2400</v>
      </c>
      <c r="N2563">
        <v>0</v>
      </c>
    </row>
    <row r="2564" spans="1:14" x14ac:dyDescent="0.25">
      <c r="A2564">
        <v>1671.34041</v>
      </c>
      <c r="B2564" s="1">
        <f>DATE(2014,11,27) + TIME(8,10,11)</f>
        <v>41970.340405092589</v>
      </c>
      <c r="C2564">
        <v>80</v>
      </c>
      <c r="D2564">
        <v>78.321708678999997</v>
      </c>
      <c r="E2564">
        <v>50</v>
      </c>
      <c r="F2564">
        <v>49.985626220999997</v>
      </c>
      <c r="G2564">
        <v>1328.7647704999999</v>
      </c>
      <c r="H2564">
        <v>1327.255249</v>
      </c>
      <c r="I2564">
        <v>1338.0344238</v>
      </c>
      <c r="J2564">
        <v>1335.7263184000001</v>
      </c>
      <c r="K2564">
        <v>0</v>
      </c>
      <c r="L2564">
        <v>2400</v>
      </c>
      <c r="M2564">
        <v>2400</v>
      </c>
      <c r="N2564">
        <v>0</v>
      </c>
    </row>
    <row r="2565" spans="1:14" x14ac:dyDescent="0.25">
      <c r="A2565">
        <v>1672.3689320000001</v>
      </c>
      <c r="B2565" s="1">
        <f>DATE(2014,11,28) + TIME(8,51,15)</f>
        <v>41971.368923611109</v>
      </c>
      <c r="C2565">
        <v>80</v>
      </c>
      <c r="D2565">
        <v>78.268447875999996</v>
      </c>
      <c r="E2565">
        <v>50</v>
      </c>
      <c r="F2565">
        <v>49.985614777000002</v>
      </c>
      <c r="G2565">
        <v>1328.7320557</v>
      </c>
      <c r="H2565">
        <v>1327.2103271000001</v>
      </c>
      <c r="I2565">
        <v>1338.0306396000001</v>
      </c>
      <c r="J2565">
        <v>1335.7246094</v>
      </c>
      <c r="K2565">
        <v>0</v>
      </c>
      <c r="L2565">
        <v>2400</v>
      </c>
      <c r="M2565">
        <v>2400</v>
      </c>
      <c r="N2565">
        <v>0</v>
      </c>
    </row>
    <row r="2566" spans="1:14" x14ac:dyDescent="0.25">
      <c r="A2566">
        <v>1673.449875</v>
      </c>
      <c r="B2566" s="1">
        <f>DATE(2014,11,29) + TIME(10,47,49)</f>
        <v>41972.449872685182</v>
      </c>
      <c r="C2566">
        <v>80</v>
      </c>
      <c r="D2566">
        <v>78.212944031000006</v>
      </c>
      <c r="E2566">
        <v>50</v>
      </c>
      <c r="F2566">
        <v>49.985599518000001</v>
      </c>
      <c r="G2566">
        <v>1328.6986084</v>
      </c>
      <c r="H2566">
        <v>1327.1645507999999</v>
      </c>
      <c r="I2566">
        <v>1338.0268555</v>
      </c>
      <c r="J2566">
        <v>1335.7229004000001</v>
      </c>
      <c r="K2566">
        <v>0</v>
      </c>
      <c r="L2566">
        <v>2400</v>
      </c>
      <c r="M2566">
        <v>2400</v>
      </c>
      <c r="N2566">
        <v>0</v>
      </c>
    </row>
    <row r="2567" spans="1:14" x14ac:dyDescent="0.25">
      <c r="A2567">
        <v>1674.5710610000001</v>
      </c>
      <c r="B2567" s="1">
        <f>DATE(2014,11,30) + TIME(13,42,19)</f>
        <v>41973.571053240739</v>
      </c>
      <c r="C2567">
        <v>80</v>
      </c>
      <c r="D2567">
        <v>78.155075073000006</v>
      </c>
      <c r="E2567">
        <v>50</v>
      </c>
      <c r="F2567">
        <v>49.985588073999999</v>
      </c>
      <c r="G2567">
        <v>1328.6640625</v>
      </c>
      <c r="H2567">
        <v>1327.1176757999999</v>
      </c>
      <c r="I2567">
        <v>1338.0229492000001</v>
      </c>
      <c r="J2567">
        <v>1335.7211914</v>
      </c>
      <c r="K2567">
        <v>0</v>
      </c>
      <c r="L2567">
        <v>2400</v>
      </c>
      <c r="M2567">
        <v>2400</v>
      </c>
      <c r="N2567">
        <v>0</v>
      </c>
    </row>
    <row r="2568" spans="1:14" x14ac:dyDescent="0.25">
      <c r="A2568">
        <v>1675</v>
      </c>
      <c r="B2568" s="1">
        <f>DATE(2014,12,1) + TIME(0,0,0)</f>
        <v>41974</v>
      </c>
      <c r="C2568">
        <v>80</v>
      </c>
      <c r="D2568">
        <v>78.117767334000007</v>
      </c>
      <c r="E2568">
        <v>50</v>
      </c>
      <c r="F2568">
        <v>49.985576629999997</v>
      </c>
      <c r="G2568">
        <v>1328.6306152</v>
      </c>
      <c r="H2568">
        <v>1327.0729980000001</v>
      </c>
      <c r="I2568">
        <v>1338.0187988</v>
      </c>
      <c r="J2568">
        <v>1335.7191161999999</v>
      </c>
      <c r="K2568">
        <v>0</v>
      </c>
      <c r="L2568">
        <v>2400</v>
      </c>
      <c r="M2568">
        <v>2400</v>
      </c>
      <c r="N2568">
        <v>0</v>
      </c>
    </row>
    <row r="2569" spans="1:14" x14ac:dyDescent="0.25">
      <c r="A2569">
        <v>1676.1511390000001</v>
      </c>
      <c r="B2569" s="1">
        <f>DATE(2014,12,2) + TIME(3,37,38)</f>
        <v>41975.151134259257</v>
      </c>
      <c r="C2569">
        <v>80</v>
      </c>
      <c r="D2569">
        <v>78.066871642999999</v>
      </c>
      <c r="E2569">
        <v>50</v>
      </c>
      <c r="F2569">
        <v>49.985568999999998</v>
      </c>
      <c r="G2569">
        <v>1328.6116943</v>
      </c>
      <c r="H2569">
        <v>1327.0447998</v>
      </c>
      <c r="I2569">
        <v>1338.0177002</v>
      </c>
      <c r="J2569">
        <v>1335.7188721</v>
      </c>
      <c r="K2569">
        <v>0</v>
      </c>
      <c r="L2569">
        <v>2400</v>
      </c>
      <c r="M2569">
        <v>2400</v>
      </c>
      <c r="N2569">
        <v>0</v>
      </c>
    </row>
    <row r="2570" spans="1:14" x14ac:dyDescent="0.25">
      <c r="A2570">
        <v>1677.324832</v>
      </c>
      <c r="B2570" s="1">
        <f>DATE(2014,12,3) + TIME(7,47,45)</f>
        <v>41976.324826388889</v>
      </c>
      <c r="C2570">
        <v>80</v>
      </c>
      <c r="D2570">
        <v>78.008422851999995</v>
      </c>
      <c r="E2570">
        <v>50</v>
      </c>
      <c r="F2570">
        <v>49.985553740999997</v>
      </c>
      <c r="G2570">
        <v>1328.5787353999999</v>
      </c>
      <c r="H2570">
        <v>1327.0009766000001</v>
      </c>
      <c r="I2570">
        <v>1338.0139160000001</v>
      </c>
      <c r="J2570">
        <v>1335.7172852000001</v>
      </c>
      <c r="K2570">
        <v>0</v>
      </c>
      <c r="L2570">
        <v>2400</v>
      </c>
      <c r="M2570">
        <v>2400</v>
      </c>
      <c r="N2570">
        <v>0</v>
      </c>
    </row>
    <row r="2571" spans="1:14" x14ac:dyDescent="0.25">
      <c r="A2571">
        <v>1678.5184059999999</v>
      </c>
      <c r="B2571" s="1">
        <f>DATE(2014,12,4) + TIME(12,26,30)</f>
        <v>41977.51840277778</v>
      </c>
      <c r="C2571">
        <v>80</v>
      </c>
      <c r="D2571">
        <v>77.946342467999997</v>
      </c>
      <c r="E2571">
        <v>50</v>
      </c>
      <c r="F2571">
        <v>49.985542297000002</v>
      </c>
      <c r="G2571">
        <v>1328.5441894999999</v>
      </c>
      <c r="H2571">
        <v>1326.9542236</v>
      </c>
      <c r="I2571">
        <v>1338.0102539</v>
      </c>
      <c r="J2571">
        <v>1335.7156981999999</v>
      </c>
      <c r="K2571">
        <v>0</v>
      </c>
      <c r="L2571">
        <v>2400</v>
      </c>
      <c r="M2571">
        <v>2400</v>
      </c>
      <c r="N2571">
        <v>0</v>
      </c>
    </row>
    <row r="2572" spans="1:14" x14ac:dyDescent="0.25">
      <c r="A2572">
        <v>1679.741634</v>
      </c>
      <c r="B2572" s="1">
        <f>DATE(2014,12,5) + TIME(17,47,57)</f>
        <v>41978.741631944446</v>
      </c>
      <c r="C2572">
        <v>80</v>
      </c>
      <c r="D2572">
        <v>77.881912231000001</v>
      </c>
      <c r="E2572">
        <v>50</v>
      </c>
      <c r="F2572">
        <v>49.985527038999997</v>
      </c>
      <c r="G2572">
        <v>1328.5090332</v>
      </c>
      <c r="H2572">
        <v>1326.9067382999999</v>
      </c>
      <c r="I2572">
        <v>1338.0065918</v>
      </c>
      <c r="J2572">
        <v>1335.7142334</v>
      </c>
      <c r="K2572">
        <v>0</v>
      </c>
      <c r="L2572">
        <v>2400</v>
      </c>
      <c r="M2572">
        <v>2400</v>
      </c>
      <c r="N2572">
        <v>0</v>
      </c>
    </row>
    <row r="2573" spans="1:14" x14ac:dyDescent="0.25">
      <c r="A2573">
        <v>1681.0047549999999</v>
      </c>
      <c r="B2573" s="1">
        <f>DATE(2014,12,7) + TIME(0,6,50)</f>
        <v>41980.004745370374</v>
      </c>
      <c r="C2573">
        <v>80</v>
      </c>
      <c r="D2573">
        <v>77.815223693999997</v>
      </c>
      <c r="E2573">
        <v>50</v>
      </c>
      <c r="F2573">
        <v>49.985515593999999</v>
      </c>
      <c r="G2573">
        <v>1328.4733887</v>
      </c>
      <c r="H2573">
        <v>1326.8586425999999</v>
      </c>
      <c r="I2573">
        <v>1338.0030518000001</v>
      </c>
      <c r="J2573">
        <v>1335.7127685999999</v>
      </c>
      <c r="K2573">
        <v>0</v>
      </c>
      <c r="L2573">
        <v>2400</v>
      </c>
      <c r="M2573">
        <v>2400</v>
      </c>
      <c r="N2573">
        <v>0</v>
      </c>
    </row>
    <row r="2574" spans="1:14" x14ac:dyDescent="0.25">
      <c r="A2574">
        <v>1682.319154</v>
      </c>
      <c r="B2574" s="1">
        <f>DATE(2014,12,8) + TIME(7,39,34)</f>
        <v>41981.319143518522</v>
      </c>
      <c r="C2574">
        <v>80</v>
      </c>
      <c r="D2574">
        <v>77.745887756000002</v>
      </c>
      <c r="E2574">
        <v>50</v>
      </c>
      <c r="F2574">
        <v>49.985500336000001</v>
      </c>
      <c r="G2574">
        <v>1328.4375</v>
      </c>
      <c r="H2574">
        <v>1326.8100586</v>
      </c>
      <c r="I2574">
        <v>1337.9995117000001</v>
      </c>
      <c r="J2574">
        <v>1335.7114257999999</v>
      </c>
      <c r="K2574">
        <v>0</v>
      </c>
      <c r="L2574">
        <v>2400</v>
      </c>
      <c r="M2574">
        <v>2400</v>
      </c>
      <c r="N2574">
        <v>0</v>
      </c>
    </row>
    <row r="2575" spans="1:14" x14ac:dyDescent="0.25">
      <c r="A2575">
        <v>1683.6890960000001</v>
      </c>
      <c r="B2575" s="1">
        <f>DATE(2014,12,9) + TIME(16,32,17)</f>
        <v>41982.689085648148</v>
      </c>
      <c r="C2575">
        <v>80</v>
      </c>
      <c r="D2575">
        <v>77.673431395999998</v>
      </c>
      <c r="E2575">
        <v>50</v>
      </c>
      <c r="F2575">
        <v>49.985485077</v>
      </c>
      <c r="G2575">
        <v>1328.4007568</v>
      </c>
      <c r="H2575">
        <v>1326.7606201000001</v>
      </c>
      <c r="I2575">
        <v>1337.9959716999999</v>
      </c>
      <c r="J2575">
        <v>1335.7100829999999</v>
      </c>
      <c r="K2575">
        <v>0</v>
      </c>
      <c r="L2575">
        <v>2400</v>
      </c>
      <c r="M2575">
        <v>2400</v>
      </c>
      <c r="N2575">
        <v>0</v>
      </c>
    </row>
    <row r="2576" spans="1:14" x14ac:dyDescent="0.25">
      <c r="A2576">
        <v>1685.107002</v>
      </c>
      <c r="B2576" s="1">
        <f>DATE(2014,12,11) + TIME(2,34,4)</f>
        <v>41984.106990740744</v>
      </c>
      <c r="C2576">
        <v>80</v>
      </c>
      <c r="D2576">
        <v>77.597648621000005</v>
      </c>
      <c r="E2576">
        <v>50</v>
      </c>
      <c r="F2576">
        <v>49.985473632999998</v>
      </c>
      <c r="G2576">
        <v>1328.3634033000001</v>
      </c>
      <c r="H2576">
        <v>1326.7103271000001</v>
      </c>
      <c r="I2576">
        <v>1337.9923096</v>
      </c>
      <c r="J2576">
        <v>1335.7087402</v>
      </c>
      <c r="K2576">
        <v>0</v>
      </c>
      <c r="L2576">
        <v>2400</v>
      </c>
      <c r="M2576">
        <v>2400</v>
      </c>
      <c r="N2576">
        <v>0</v>
      </c>
    </row>
    <row r="2577" spans="1:14" x14ac:dyDescent="0.25">
      <c r="A2577">
        <v>1686.5849390000001</v>
      </c>
      <c r="B2577" s="1">
        <f>DATE(2014,12,12) + TIME(14,2,18)</f>
        <v>41985.584930555553</v>
      </c>
      <c r="C2577">
        <v>80</v>
      </c>
      <c r="D2577">
        <v>77.518409728999998</v>
      </c>
      <c r="E2577">
        <v>50</v>
      </c>
      <c r="F2577">
        <v>49.985458373999997</v>
      </c>
      <c r="G2577">
        <v>1328.3253173999999</v>
      </c>
      <c r="H2577">
        <v>1326.6591797000001</v>
      </c>
      <c r="I2577">
        <v>1337.9887695</v>
      </c>
      <c r="J2577">
        <v>1335.7073975000001</v>
      </c>
      <c r="K2577">
        <v>0</v>
      </c>
      <c r="L2577">
        <v>2400</v>
      </c>
      <c r="M2577">
        <v>2400</v>
      </c>
      <c r="N2577">
        <v>0</v>
      </c>
    </row>
    <row r="2578" spans="1:14" x14ac:dyDescent="0.25">
      <c r="A2578">
        <v>1688.090093</v>
      </c>
      <c r="B2578" s="1">
        <f>DATE(2014,12,14) + TIME(2,9,44)</f>
        <v>41987.090092592596</v>
      </c>
      <c r="C2578">
        <v>80</v>
      </c>
      <c r="D2578">
        <v>77.435813904</v>
      </c>
      <c r="E2578">
        <v>50</v>
      </c>
      <c r="F2578">
        <v>49.985443115000002</v>
      </c>
      <c r="G2578">
        <v>1328.2866211</v>
      </c>
      <c r="H2578">
        <v>1326.6072998</v>
      </c>
      <c r="I2578">
        <v>1337.9851074000001</v>
      </c>
      <c r="J2578">
        <v>1335.7061768000001</v>
      </c>
      <c r="K2578">
        <v>0</v>
      </c>
      <c r="L2578">
        <v>2400</v>
      </c>
      <c r="M2578">
        <v>2400</v>
      </c>
      <c r="N2578">
        <v>0</v>
      </c>
    </row>
    <row r="2579" spans="1:14" x14ac:dyDescent="0.25">
      <c r="A2579">
        <v>1689.617328</v>
      </c>
      <c r="B2579" s="1">
        <f>DATE(2014,12,15) + TIME(14,48,57)</f>
        <v>41988.617326388892</v>
      </c>
      <c r="C2579">
        <v>80</v>
      </c>
      <c r="D2579">
        <v>77.350715636999993</v>
      </c>
      <c r="E2579">
        <v>50</v>
      </c>
      <c r="F2579">
        <v>49.985427856000001</v>
      </c>
      <c r="G2579">
        <v>1328.2476807</v>
      </c>
      <c r="H2579">
        <v>1326.5551757999999</v>
      </c>
      <c r="I2579">
        <v>1337.9815673999999</v>
      </c>
      <c r="J2579">
        <v>1335.7049560999999</v>
      </c>
      <c r="K2579">
        <v>0</v>
      </c>
      <c r="L2579">
        <v>2400</v>
      </c>
      <c r="M2579">
        <v>2400</v>
      </c>
      <c r="N2579">
        <v>0</v>
      </c>
    </row>
    <row r="2580" spans="1:14" x14ac:dyDescent="0.25">
      <c r="A2580">
        <v>1691.1709920000001</v>
      </c>
      <c r="B2580" s="1">
        <f>DATE(2014,12,17) + TIME(4,6,13)</f>
        <v>41990.170983796299</v>
      </c>
      <c r="C2580">
        <v>80</v>
      </c>
      <c r="D2580">
        <v>77.263389587000006</v>
      </c>
      <c r="E2580">
        <v>50</v>
      </c>
      <c r="F2580">
        <v>49.985412598000003</v>
      </c>
      <c r="G2580">
        <v>1328.2088623</v>
      </c>
      <c r="H2580">
        <v>1326.5031738</v>
      </c>
      <c r="I2580">
        <v>1337.9781493999999</v>
      </c>
      <c r="J2580">
        <v>1335.7037353999999</v>
      </c>
      <c r="K2580">
        <v>0</v>
      </c>
      <c r="L2580">
        <v>2400</v>
      </c>
      <c r="M2580">
        <v>2400</v>
      </c>
      <c r="N2580">
        <v>0</v>
      </c>
    </row>
    <row r="2581" spans="1:14" x14ac:dyDescent="0.25">
      <c r="A2581">
        <v>1692.7598599999999</v>
      </c>
      <c r="B2581" s="1">
        <f>DATE(2014,12,18) + TIME(18,14,11)</f>
        <v>41991.75984953704</v>
      </c>
      <c r="C2581">
        <v>80</v>
      </c>
      <c r="D2581">
        <v>77.173629761000001</v>
      </c>
      <c r="E2581">
        <v>50</v>
      </c>
      <c r="F2581">
        <v>49.985401154000002</v>
      </c>
      <c r="G2581">
        <v>1328.1701660000001</v>
      </c>
      <c r="H2581">
        <v>1326.4514160000001</v>
      </c>
      <c r="I2581">
        <v>1337.9747314000001</v>
      </c>
      <c r="J2581">
        <v>1335.7026367000001</v>
      </c>
      <c r="K2581">
        <v>0</v>
      </c>
      <c r="L2581">
        <v>2400</v>
      </c>
      <c r="M2581">
        <v>2400</v>
      </c>
      <c r="N2581">
        <v>0</v>
      </c>
    </row>
    <row r="2582" spans="1:14" x14ac:dyDescent="0.25">
      <c r="A2582">
        <v>1694.397639</v>
      </c>
      <c r="B2582" s="1">
        <f>DATE(2014,12,20) + TIME(9,32,36)</f>
        <v>41993.397638888891</v>
      </c>
      <c r="C2582">
        <v>80</v>
      </c>
      <c r="D2582">
        <v>77.080917357999994</v>
      </c>
      <c r="E2582">
        <v>50</v>
      </c>
      <c r="F2582">
        <v>49.985385895</v>
      </c>
      <c r="G2582">
        <v>1328.1313477000001</v>
      </c>
      <c r="H2582">
        <v>1326.3996582</v>
      </c>
      <c r="I2582">
        <v>1337.9713135</v>
      </c>
      <c r="J2582">
        <v>1335.7016602000001</v>
      </c>
      <c r="K2582">
        <v>0</v>
      </c>
      <c r="L2582">
        <v>2400</v>
      </c>
      <c r="M2582">
        <v>2400</v>
      </c>
      <c r="N2582">
        <v>0</v>
      </c>
    </row>
    <row r="2583" spans="1:14" x14ac:dyDescent="0.25">
      <c r="A2583">
        <v>1696.0994000000001</v>
      </c>
      <c r="B2583" s="1">
        <f>DATE(2014,12,22) + TIME(2,23,8)</f>
        <v>41995.099398148152</v>
      </c>
      <c r="C2583">
        <v>80</v>
      </c>
      <c r="D2583">
        <v>76.984443665000001</v>
      </c>
      <c r="E2583">
        <v>50</v>
      </c>
      <c r="F2583">
        <v>49.985370635999999</v>
      </c>
      <c r="G2583">
        <v>1328.0924072</v>
      </c>
      <c r="H2583">
        <v>1326.3477783000001</v>
      </c>
      <c r="I2583">
        <v>1337.9678954999999</v>
      </c>
      <c r="J2583">
        <v>1335.7005615</v>
      </c>
      <c r="K2583">
        <v>0</v>
      </c>
      <c r="L2583">
        <v>2400</v>
      </c>
      <c r="M2583">
        <v>2400</v>
      </c>
      <c r="N2583">
        <v>0</v>
      </c>
    </row>
    <row r="2584" spans="1:14" x14ac:dyDescent="0.25">
      <c r="A2584">
        <v>1697.882404</v>
      </c>
      <c r="B2584" s="1">
        <f>DATE(2014,12,23) + TIME(21,10,39)</f>
        <v>41996.882395833331</v>
      </c>
      <c r="C2584">
        <v>80</v>
      </c>
      <c r="D2584">
        <v>76.883270264000004</v>
      </c>
      <c r="E2584">
        <v>50</v>
      </c>
      <c r="F2584">
        <v>49.985355376999998</v>
      </c>
      <c r="G2584">
        <v>1328.0528564000001</v>
      </c>
      <c r="H2584">
        <v>1326.2952881000001</v>
      </c>
      <c r="I2584">
        <v>1337.9644774999999</v>
      </c>
      <c r="J2584">
        <v>1335.6995850000001</v>
      </c>
      <c r="K2584">
        <v>0</v>
      </c>
      <c r="L2584">
        <v>2400</v>
      </c>
      <c r="M2584">
        <v>2400</v>
      </c>
      <c r="N2584">
        <v>0</v>
      </c>
    </row>
    <row r="2585" spans="1:14" x14ac:dyDescent="0.25">
      <c r="A2585">
        <v>1698.8191810000001</v>
      </c>
      <c r="B2585" s="1">
        <f>DATE(2014,12,24) + TIME(19,39,37)</f>
        <v>41997.819178240738</v>
      </c>
      <c r="C2585">
        <v>80</v>
      </c>
      <c r="D2585">
        <v>76.796897888000004</v>
      </c>
      <c r="E2585">
        <v>50</v>
      </c>
      <c r="F2585">
        <v>49.985343933000003</v>
      </c>
      <c r="G2585">
        <v>1328.0133057</v>
      </c>
      <c r="H2585">
        <v>1326.2436522999999</v>
      </c>
      <c r="I2585">
        <v>1337.9609375</v>
      </c>
      <c r="J2585">
        <v>1335.6983643000001</v>
      </c>
      <c r="K2585">
        <v>0</v>
      </c>
      <c r="L2585">
        <v>2400</v>
      </c>
      <c r="M2585">
        <v>2400</v>
      </c>
      <c r="N2585">
        <v>0</v>
      </c>
    </row>
    <row r="2586" spans="1:14" x14ac:dyDescent="0.25">
      <c r="A2586">
        <v>1700.5857109999999</v>
      </c>
      <c r="B2586" s="1">
        <f>DATE(2014,12,26) + TIME(14,3,25)</f>
        <v>41999.585706018515</v>
      </c>
      <c r="C2586">
        <v>80</v>
      </c>
      <c r="D2586">
        <v>76.713783264</v>
      </c>
      <c r="E2586">
        <v>50</v>
      </c>
      <c r="F2586">
        <v>49.985332489000001</v>
      </c>
      <c r="G2586">
        <v>1327.9865723</v>
      </c>
      <c r="H2586">
        <v>1326.2052002</v>
      </c>
      <c r="I2586">
        <v>1337.9593506000001</v>
      </c>
      <c r="J2586">
        <v>1335.6981201000001</v>
      </c>
      <c r="K2586">
        <v>0</v>
      </c>
      <c r="L2586">
        <v>2400</v>
      </c>
      <c r="M2586">
        <v>2400</v>
      </c>
      <c r="N2586">
        <v>0</v>
      </c>
    </row>
    <row r="2587" spans="1:14" x14ac:dyDescent="0.25">
      <c r="A2587">
        <v>1702.458531</v>
      </c>
      <c r="B2587" s="1">
        <f>DATE(2014,12,28) + TIME(11,0,17)</f>
        <v>42001.45853009259</v>
      </c>
      <c r="C2587">
        <v>80</v>
      </c>
      <c r="D2587">
        <v>76.610801696999999</v>
      </c>
      <c r="E2587">
        <v>50</v>
      </c>
      <c r="F2587">
        <v>49.98531723</v>
      </c>
      <c r="G2587">
        <v>1327.9505615</v>
      </c>
      <c r="H2587">
        <v>1326.1589355000001</v>
      </c>
      <c r="I2587">
        <v>1337.9560547000001</v>
      </c>
      <c r="J2587">
        <v>1335.6971435999999</v>
      </c>
      <c r="K2587">
        <v>0</v>
      </c>
      <c r="L2587">
        <v>2400</v>
      </c>
      <c r="M2587">
        <v>2400</v>
      </c>
      <c r="N2587">
        <v>0</v>
      </c>
    </row>
    <row r="2588" spans="1:14" x14ac:dyDescent="0.25">
      <c r="A2588">
        <v>1704.3608710000001</v>
      </c>
      <c r="B2588" s="1">
        <f>DATE(2014,12,30) + TIME(8,39,39)</f>
        <v>42003.360868055555</v>
      </c>
      <c r="C2588">
        <v>80</v>
      </c>
      <c r="D2588">
        <v>76.498115540000001</v>
      </c>
      <c r="E2588">
        <v>50</v>
      </c>
      <c r="F2588">
        <v>49.985301970999998</v>
      </c>
      <c r="G2588">
        <v>1327.9113769999999</v>
      </c>
      <c r="H2588">
        <v>1326.1076660000001</v>
      </c>
      <c r="I2588">
        <v>1337.9526367000001</v>
      </c>
      <c r="J2588">
        <v>1335.6962891000001</v>
      </c>
      <c r="K2588">
        <v>0</v>
      </c>
      <c r="L2588">
        <v>2400</v>
      </c>
      <c r="M2588">
        <v>2400</v>
      </c>
      <c r="N2588">
        <v>0</v>
      </c>
    </row>
    <row r="2589" spans="1:14" x14ac:dyDescent="0.25">
      <c r="A2589">
        <v>1706</v>
      </c>
      <c r="B2589" s="1">
        <f>DATE(2015,1,1) + TIME(0,0,0)</f>
        <v>42005</v>
      </c>
      <c r="C2589">
        <v>80</v>
      </c>
      <c r="D2589">
        <v>76.385505675999994</v>
      </c>
      <c r="E2589">
        <v>50</v>
      </c>
      <c r="F2589">
        <v>49.985286713000001</v>
      </c>
      <c r="G2589">
        <v>1327.871582</v>
      </c>
      <c r="H2589">
        <v>1326.0554199000001</v>
      </c>
      <c r="I2589">
        <v>1337.9493408000001</v>
      </c>
      <c r="J2589">
        <v>1335.6953125</v>
      </c>
      <c r="K2589">
        <v>0</v>
      </c>
      <c r="L2589">
        <v>2400</v>
      </c>
      <c r="M2589">
        <v>2400</v>
      </c>
      <c r="N2589">
        <v>0</v>
      </c>
    </row>
    <row r="2590" spans="1:14" x14ac:dyDescent="0.25">
      <c r="A2590">
        <v>1707.9491969999999</v>
      </c>
      <c r="B2590" s="1">
        <f>DATE(2015,1,2) + TIME(22,46,50)</f>
        <v>42006.949189814812</v>
      </c>
      <c r="C2590">
        <v>80</v>
      </c>
      <c r="D2590">
        <v>76.275779724000003</v>
      </c>
      <c r="E2590">
        <v>50</v>
      </c>
      <c r="F2590">
        <v>49.985271453999999</v>
      </c>
      <c r="G2590">
        <v>1327.8355713000001</v>
      </c>
      <c r="H2590">
        <v>1326.0068358999999</v>
      </c>
      <c r="I2590">
        <v>1337.9465332</v>
      </c>
      <c r="J2590">
        <v>1335.6947021000001</v>
      </c>
      <c r="K2590">
        <v>0</v>
      </c>
      <c r="L2590">
        <v>2400</v>
      </c>
      <c r="M2590">
        <v>2400</v>
      </c>
      <c r="N2590">
        <v>0</v>
      </c>
    </row>
    <row r="2591" spans="1:14" x14ac:dyDescent="0.25">
      <c r="A2591">
        <v>1710.0341470000001</v>
      </c>
      <c r="B2591" s="1">
        <f>DATE(2015,1,5) + TIME(0,49,10)</f>
        <v>42009.034143518518</v>
      </c>
      <c r="C2591">
        <v>80</v>
      </c>
      <c r="D2591">
        <v>76.154045104999994</v>
      </c>
      <c r="E2591">
        <v>50</v>
      </c>
      <c r="F2591">
        <v>49.985260009999998</v>
      </c>
      <c r="G2591">
        <v>1327.7972411999999</v>
      </c>
      <c r="H2591">
        <v>1325.9569091999999</v>
      </c>
      <c r="I2591">
        <v>1337.9433594</v>
      </c>
      <c r="J2591">
        <v>1335.6938477000001</v>
      </c>
      <c r="K2591">
        <v>0</v>
      </c>
      <c r="L2591">
        <v>2400</v>
      </c>
      <c r="M2591">
        <v>2400</v>
      </c>
      <c r="N2591">
        <v>0</v>
      </c>
    </row>
    <row r="2592" spans="1:14" x14ac:dyDescent="0.25">
      <c r="A2592">
        <v>1712.198973</v>
      </c>
      <c r="B2592" s="1">
        <f>DATE(2015,1,7) + TIME(4,46,31)</f>
        <v>42011.198969907404</v>
      </c>
      <c r="C2592">
        <v>80</v>
      </c>
      <c r="D2592">
        <v>76.022720336999996</v>
      </c>
      <c r="E2592">
        <v>50</v>
      </c>
      <c r="F2592">
        <v>49.985240935999997</v>
      </c>
      <c r="G2592">
        <v>1327.7567139</v>
      </c>
      <c r="H2592">
        <v>1325.9039307</v>
      </c>
      <c r="I2592">
        <v>1337.9400635</v>
      </c>
      <c r="J2592">
        <v>1335.6931152</v>
      </c>
      <c r="K2592">
        <v>0</v>
      </c>
      <c r="L2592">
        <v>2400</v>
      </c>
      <c r="M2592">
        <v>2400</v>
      </c>
      <c r="N2592">
        <v>0</v>
      </c>
    </row>
    <row r="2593" spans="1:14" x14ac:dyDescent="0.25">
      <c r="A2593">
        <v>1714.467283</v>
      </c>
      <c r="B2593" s="1">
        <f>DATE(2015,1,9) + TIME(11,12,53)</f>
        <v>42013.467280092591</v>
      </c>
      <c r="C2593">
        <v>80</v>
      </c>
      <c r="D2593">
        <v>75.884101868000002</v>
      </c>
      <c r="E2593">
        <v>50</v>
      </c>
      <c r="F2593">
        <v>49.985225677000003</v>
      </c>
      <c r="G2593">
        <v>1327.7150879000001</v>
      </c>
      <c r="H2593">
        <v>1325.8494873</v>
      </c>
      <c r="I2593">
        <v>1337.9366454999999</v>
      </c>
      <c r="J2593">
        <v>1335.6922606999999</v>
      </c>
      <c r="K2593">
        <v>0</v>
      </c>
      <c r="L2593">
        <v>2400</v>
      </c>
      <c r="M2593">
        <v>2400</v>
      </c>
      <c r="N2593">
        <v>0</v>
      </c>
    </row>
    <row r="2594" spans="1:14" x14ac:dyDescent="0.25">
      <c r="A2594">
        <v>1716.779162</v>
      </c>
      <c r="B2594" s="1">
        <f>DATE(2015,1,11) + TIME(18,41,59)</f>
        <v>42015.77915509259</v>
      </c>
      <c r="C2594">
        <v>80</v>
      </c>
      <c r="D2594">
        <v>75.738426208000007</v>
      </c>
      <c r="E2594">
        <v>50</v>
      </c>
      <c r="F2594">
        <v>49.985210418999998</v>
      </c>
      <c r="G2594">
        <v>1327.6726074000001</v>
      </c>
      <c r="H2594">
        <v>1325.7938231999999</v>
      </c>
      <c r="I2594">
        <v>1337.9332274999999</v>
      </c>
      <c r="J2594">
        <v>1335.6915283000001</v>
      </c>
      <c r="K2594">
        <v>0</v>
      </c>
      <c r="L2594">
        <v>2400</v>
      </c>
      <c r="M2594">
        <v>2400</v>
      </c>
      <c r="N2594">
        <v>0</v>
      </c>
    </row>
    <row r="2595" spans="1:14" x14ac:dyDescent="0.25">
      <c r="A2595">
        <v>1719.1181160000001</v>
      </c>
      <c r="B2595" s="1">
        <f>DATE(2015,1,14) + TIME(2,50,5)</f>
        <v>42018.118113425924</v>
      </c>
      <c r="C2595">
        <v>80</v>
      </c>
      <c r="D2595">
        <v>75.588264464999995</v>
      </c>
      <c r="E2595">
        <v>50</v>
      </c>
      <c r="F2595">
        <v>49.985195160000004</v>
      </c>
      <c r="G2595">
        <v>1327.6298827999999</v>
      </c>
      <c r="H2595">
        <v>1325.7379149999999</v>
      </c>
      <c r="I2595">
        <v>1337.9298096</v>
      </c>
      <c r="J2595">
        <v>1335.6906738</v>
      </c>
      <c r="K2595">
        <v>0</v>
      </c>
      <c r="L2595">
        <v>2400</v>
      </c>
      <c r="M2595">
        <v>2400</v>
      </c>
      <c r="N2595">
        <v>0</v>
      </c>
    </row>
    <row r="2596" spans="1:14" x14ac:dyDescent="0.25">
      <c r="A2596">
        <v>1721.510411</v>
      </c>
      <c r="B2596" s="1">
        <f>DATE(2015,1,16) + TIME(12,14,59)</f>
        <v>42020.510405092595</v>
      </c>
      <c r="C2596">
        <v>80</v>
      </c>
      <c r="D2596">
        <v>75.434478760000005</v>
      </c>
      <c r="E2596">
        <v>50</v>
      </c>
      <c r="F2596">
        <v>49.985179901000002</v>
      </c>
      <c r="G2596">
        <v>1327.5875243999999</v>
      </c>
      <c r="H2596">
        <v>1325.6823730000001</v>
      </c>
      <c r="I2596">
        <v>1337.9263916</v>
      </c>
      <c r="J2596">
        <v>1335.6899414</v>
      </c>
      <c r="K2596">
        <v>0</v>
      </c>
      <c r="L2596">
        <v>2400</v>
      </c>
      <c r="M2596">
        <v>2400</v>
      </c>
      <c r="N2596">
        <v>0</v>
      </c>
    </row>
    <row r="2597" spans="1:14" x14ac:dyDescent="0.25">
      <c r="A2597">
        <v>1723.980104</v>
      </c>
      <c r="B2597" s="1">
        <f>DATE(2015,1,18) + TIME(23,31,21)</f>
        <v>42022.980104166665</v>
      </c>
      <c r="C2597">
        <v>80</v>
      </c>
      <c r="D2597">
        <v>75.275932311999995</v>
      </c>
      <c r="E2597">
        <v>50</v>
      </c>
      <c r="F2597">
        <v>49.985160827999998</v>
      </c>
      <c r="G2597">
        <v>1327.5452881000001</v>
      </c>
      <c r="H2597">
        <v>1325.6271973</v>
      </c>
      <c r="I2597">
        <v>1337.9230957</v>
      </c>
      <c r="J2597">
        <v>1335.6893310999999</v>
      </c>
      <c r="K2597">
        <v>0</v>
      </c>
      <c r="L2597">
        <v>2400</v>
      </c>
      <c r="M2597">
        <v>2400</v>
      </c>
      <c r="N2597">
        <v>0</v>
      </c>
    </row>
    <row r="2598" spans="1:14" x14ac:dyDescent="0.25">
      <c r="A2598">
        <v>1726.546462</v>
      </c>
      <c r="B2598" s="1">
        <f>DATE(2015,1,21) + TIME(13,6,54)</f>
        <v>42025.546458333331</v>
      </c>
      <c r="C2598">
        <v>80</v>
      </c>
      <c r="D2598">
        <v>75.111160278</v>
      </c>
      <c r="E2598">
        <v>50</v>
      </c>
      <c r="F2598">
        <v>49.985145568999997</v>
      </c>
      <c r="G2598">
        <v>1327.5029297000001</v>
      </c>
      <c r="H2598">
        <v>1325.5718993999999</v>
      </c>
      <c r="I2598">
        <v>1337.9196777</v>
      </c>
      <c r="J2598">
        <v>1335.6885986</v>
      </c>
      <c r="K2598">
        <v>0</v>
      </c>
      <c r="L2598">
        <v>2400</v>
      </c>
      <c r="M2598">
        <v>2400</v>
      </c>
      <c r="N2598">
        <v>0</v>
      </c>
    </row>
    <row r="2599" spans="1:14" x14ac:dyDescent="0.25">
      <c r="A2599">
        <v>1729.1764450000001</v>
      </c>
      <c r="B2599" s="1">
        <f>DATE(2015,1,24) + TIME(4,14,4)</f>
        <v>42028.176435185182</v>
      </c>
      <c r="C2599">
        <v>80</v>
      </c>
      <c r="D2599">
        <v>74.939270019999995</v>
      </c>
      <c r="E2599">
        <v>50</v>
      </c>
      <c r="F2599">
        <v>49.985130310000002</v>
      </c>
      <c r="G2599">
        <v>1327.4600829999999</v>
      </c>
      <c r="H2599">
        <v>1325.5161132999999</v>
      </c>
      <c r="I2599">
        <v>1337.9162598</v>
      </c>
      <c r="J2599">
        <v>1335.6878661999999</v>
      </c>
      <c r="K2599">
        <v>0</v>
      </c>
      <c r="L2599">
        <v>2400</v>
      </c>
      <c r="M2599">
        <v>2400</v>
      </c>
      <c r="N2599">
        <v>0</v>
      </c>
    </row>
    <row r="2600" spans="1:14" x14ac:dyDescent="0.25">
      <c r="A2600">
        <v>1731.843012</v>
      </c>
      <c r="B2600" s="1">
        <f>DATE(2015,1,26) + TIME(20,13,56)</f>
        <v>42030.843009259261</v>
      </c>
      <c r="C2600">
        <v>80</v>
      </c>
      <c r="D2600">
        <v>74.761749268000003</v>
      </c>
      <c r="E2600">
        <v>50</v>
      </c>
      <c r="F2600">
        <v>49.985115051000001</v>
      </c>
      <c r="G2600">
        <v>1327.4169922000001</v>
      </c>
      <c r="H2600">
        <v>1325.4602050999999</v>
      </c>
      <c r="I2600">
        <v>1337.9128418</v>
      </c>
      <c r="J2600">
        <v>1335.6871338000001</v>
      </c>
      <c r="K2600">
        <v>0</v>
      </c>
      <c r="L2600">
        <v>2400</v>
      </c>
      <c r="M2600">
        <v>2400</v>
      </c>
      <c r="N2600">
        <v>0</v>
      </c>
    </row>
    <row r="2601" spans="1:14" x14ac:dyDescent="0.25">
      <c r="A2601">
        <v>1734.5783120000001</v>
      </c>
      <c r="B2601" s="1">
        <f>DATE(2015,1,29) + TIME(13,52,46)</f>
        <v>42033.578310185185</v>
      </c>
      <c r="C2601">
        <v>80</v>
      </c>
      <c r="D2601">
        <v>74.579841614000003</v>
      </c>
      <c r="E2601">
        <v>50</v>
      </c>
      <c r="F2601">
        <v>49.985099792</v>
      </c>
      <c r="G2601">
        <v>1327.3742675999999</v>
      </c>
      <c r="H2601">
        <v>1325.4045410000001</v>
      </c>
      <c r="I2601">
        <v>1337.9094238</v>
      </c>
      <c r="J2601">
        <v>1335.6864014</v>
      </c>
      <c r="K2601">
        <v>0</v>
      </c>
      <c r="L2601">
        <v>2400</v>
      </c>
      <c r="M2601">
        <v>2400</v>
      </c>
      <c r="N2601">
        <v>0</v>
      </c>
    </row>
    <row r="2602" spans="1:14" x14ac:dyDescent="0.25">
      <c r="A2602">
        <v>1737</v>
      </c>
      <c r="B2602" s="1">
        <f>DATE(2015,2,1) + TIME(0,0,0)</f>
        <v>42036</v>
      </c>
      <c r="C2602">
        <v>80</v>
      </c>
      <c r="D2602">
        <v>74.396987914999997</v>
      </c>
      <c r="E2602">
        <v>50</v>
      </c>
      <c r="F2602">
        <v>49.985080719000003</v>
      </c>
      <c r="G2602">
        <v>1327.3317870999999</v>
      </c>
      <c r="H2602">
        <v>1325.3494873</v>
      </c>
      <c r="I2602">
        <v>1337.9060059000001</v>
      </c>
      <c r="J2602">
        <v>1335.6857910000001</v>
      </c>
      <c r="K2602">
        <v>0</v>
      </c>
      <c r="L2602">
        <v>2400</v>
      </c>
      <c r="M2602">
        <v>2400</v>
      </c>
      <c r="N2602">
        <v>0</v>
      </c>
    </row>
    <row r="2603" spans="1:14" x14ac:dyDescent="0.25">
      <c r="A2603">
        <v>1739.8555899999999</v>
      </c>
      <c r="B2603" s="1">
        <f>DATE(2015,2,3) + TIME(20,32,2)</f>
        <v>42038.855578703704</v>
      </c>
      <c r="C2603">
        <v>80</v>
      </c>
      <c r="D2603">
        <v>74.222076415999993</v>
      </c>
      <c r="E2603">
        <v>50</v>
      </c>
      <c r="F2603">
        <v>49.985069275000001</v>
      </c>
      <c r="G2603">
        <v>1327.2929687999999</v>
      </c>
      <c r="H2603">
        <v>1325.2979736</v>
      </c>
      <c r="I2603">
        <v>1337.9030762</v>
      </c>
      <c r="J2603">
        <v>1335.6851807</v>
      </c>
      <c r="K2603">
        <v>0</v>
      </c>
      <c r="L2603">
        <v>2400</v>
      </c>
      <c r="M2603">
        <v>2400</v>
      </c>
      <c r="N2603">
        <v>0</v>
      </c>
    </row>
    <row r="2604" spans="1:14" x14ac:dyDescent="0.25">
      <c r="A2604">
        <v>1742.8723849999999</v>
      </c>
      <c r="B2604" s="1">
        <f>DATE(2015,2,6) + TIME(20,56,14)</f>
        <v>42041.872384259259</v>
      </c>
      <c r="C2604">
        <v>80</v>
      </c>
      <c r="D2604">
        <v>74.025917053000001</v>
      </c>
      <c r="E2604">
        <v>50</v>
      </c>
      <c r="F2604">
        <v>49.985054015999999</v>
      </c>
      <c r="G2604">
        <v>1327.2519531</v>
      </c>
      <c r="H2604">
        <v>1325.2454834</v>
      </c>
      <c r="I2604">
        <v>1337.8996582</v>
      </c>
      <c r="J2604">
        <v>1335.6844481999999</v>
      </c>
      <c r="K2604">
        <v>0</v>
      </c>
      <c r="L2604">
        <v>2400</v>
      </c>
      <c r="M2604">
        <v>2400</v>
      </c>
      <c r="N2604">
        <v>0</v>
      </c>
    </row>
    <row r="2605" spans="1:14" x14ac:dyDescent="0.25">
      <c r="A2605">
        <v>1745.974438</v>
      </c>
      <c r="B2605" s="1">
        <f>DATE(2015,2,9) + TIME(23,23,11)</f>
        <v>42044.974432870367</v>
      </c>
      <c r="C2605">
        <v>80</v>
      </c>
      <c r="D2605">
        <v>73.816749572999996</v>
      </c>
      <c r="E2605">
        <v>50</v>
      </c>
      <c r="F2605">
        <v>49.985038756999998</v>
      </c>
      <c r="G2605">
        <v>1327.2088623</v>
      </c>
      <c r="H2605">
        <v>1325.1900635</v>
      </c>
      <c r="I2605">
        <v>1337.8961182</v>
      </c>
      <c r="J2605">
        <v>1335.6837158000001</v>
      </c>
      <c r="K2605">
        <v>0</v>
      </c>
      <c r="L2605">
        <v>2400</v>
      </c>
      <c r="M2605">
        <v>2400</v>
      </c>
      <c r="N2605">
        <v>0</v>
      </c>
    </row>
    <row r="2606" spans="1:14" x14ac:dyDescent="0.25">
      <c r="A2606">
        <v>1749.203201</v>
      </c>
      <c r="B2606" s="1">
        <f>DATE(2015,2,13) + TIME(4,52,36)</f>
        <v>42048.203194444446</v>
      </c>
      <c r="C2606">
        <v>80</v>
      </c>
      <c r="D2606">
        <v>73.599212645999998</v>
      </c>
      <c r="E2606">
        <v>50</v>
      </c>
      <c r="F2606">
        <v>49.985019684000001</v>
      </c>
      <c r="G2606">
        <v>1327.1651611</v>
      </c>
      <c r="H2606">
        <v>1325.1336670000001</v>
      </c>
      <c r="I2606">
        <v>1337.8925781</v>
      </c>
      <c r="J2606">
        <v>1335.6829834</v>
      </c>
      <c r="K2606">
        <v>0</v>
      </c>
      <c r="L2606">
        <v>2400</v>
      </c>
      <c r="M2606">
        <v>2400</v>
      </c>
      <c r="N2606">
        <v>0</v>
      </c>
    </row>
    <row r="2607" spans="1:14" x14ac:dyDescent="0.25">
      <c r="A2607">
        <v>1752.561369</v>
      </c>
      <c r="B2607" s="1">
        <f>DATE(2015,2,16) + TIME(13,28,22)</f>
        <v>42051.561365740738</v>
      </c>
      <c r="C2607">
        <v>80</v>
      </c>
      <c r="D2607">
        <v>73.371795653999996</v>
      </c>
      <c r="E2607">
        <v>50</v>
      </c>
      <c r="F2607">
        <v>49.985004425</v>
      </c>
      <c r="G2607">
        <v>1327.1209716999999</v>
      </c>
      <c r="H2607">
        <v>1325.0766602000001</v>
      </c>
      <c r="I2607">
        <v>1337.8889160000001</v>
      </c>
      <c r="J2607">
        <v>1335.682251</v>
      </c>
      <c r="K2607">
        <v>0</v>
      </c>
      <c r="L2607">
        <v>2400</v>
      </c>
      <c r="M2607">
        <v>2400</v>
      </c>
      <c r="N2607">
        <v>0</v>
      </c>
    </row>
    <row r="2608" spans="1:14" x14ac:dyDescent="0.25">
      <c r="A2608">
        <v>1755.936455</v>
      </c>
      <c r="B2608" s="1">
        <f>DATE(2015,2,19) + TIME(22,28,29)</f>
        <v>42054.93644675926</v>
      </c>
      <c r="C2608">
        <v>80</v>
      </c>
      <c r="D2608">
        <v>73.135208129999995</v>
      </c>
      <c r="E2608">
        <v>50</v>
      </c>
      <c r="F2608">
        <v>49.984989165999998</v>
      </c>
      <c r="G2608">
        <v>1327.0762939000001</v>
      </c>
      <c r="H2608">
        <v>1325.019043</v>
      </c>
      <c r="I2608">
        <v>1337.8852539</v>
      </c>
      <c r="J2608">
        <v>1335.6813964999999</v>
      </c>
      <c r="K2608">
        <v>0</v>
      </c>
      <c r="L2608">
        <v>2400</v>
      </c>
      <c r="M2608">
        <v>2400</v>
      </c>
      <c r="N2608">
        <v>0</v>
      </c>
    </row>
    <row r="2609" spans="1:14" x14ac:dyDescent="0.25">
      <c r="A2609">
        <v>1759.3593430000001</v>
      </c>
      <c r="B2609" s="1">
        <f>DATE(2015,2,23) + TIME(8,37,27)</f>
        <v>42058.359340277777</v>
      </c>
      <c r="C2609">
        <v>80</v>
      </c>
      <c r="D2609">
        <v>72.894966124999996</v>
      </c>
      <c r="E2609">
        <v>50</v>
      </c>
      <c r="F2609">
        <v>49.984973906999997</v>
      </c>
      <c r="G2609">
        <v>1327.0319824000001</v>
      </c>
      <c r="H2609">
        <v>1324.9617920000001</v>
      </c>
      <c r="I2609">
        <v>1337.8815918</v>
      </c>
      <c r="J2609">
        <v>1335.6806641000001</v>
      </c>
      <c r="K2609">
        <v>0</v>
      </c>
      <c r="L2609">
        <v>2400</v>
      </c>
      <c r="M2609">
        <v>2400</v>
      </c>
      <c r="N2609">
        <v>0</v>
      </c>
    </row>
    <row r="2610" spans="1:14" x14ac:dyDescent="0.25">
      <c r="A2610">
        <v>1762.864163</v>
      </c>
      <c r="B2610" s="1">
        <f>DATE(2015,2,26) + TIME(20,44,23)</f>
        <v>42061.864155092589</v>
      </c>
      <c r="C2610">
        <v>80</v>
      </c>
      <c r="D2610">
        <v>72.650032042999996</v>
      </c>
      <c r="E2610">
        <v>50</v>
      </c>
      <c r="F2610">
        <v>49.984958648999999</v>
      </c>
      <c r="G2610">
        <v>1326.9884033000001</v>
      </c>
      <c r="H2610">
        <v>1324.9053954999999</v>
      </c>
      <c r="I2610">
        <v>1337.8780518000001</v>
      </c>
      <c r="J2610">
        <v>1335.6798096</v>
      </c>
      <c r="K2610">
        <v>0</v>
      </c>
      <c r="L2610">
        <v>2400</v>
      </c>
      <c r="M2610">
        <v>2400</v>
      </c>
      <c r="N2610">
        <v>0</v>
      </c>
    </row>
    <row r="2611" spans="1:14" x14ac:dyDescent="0.25">
      <c r="A2611">
        <v>1765</v>
      </c>
      <c r="B2611" s="1">
        <f>DATE(2015,3,1) + TIME(0,0,0)</f>
        <v>42064</v>
      </c>
      <c r="C2611">
        <v>80</v>
      </c>
      <c r="D2611">
        <v>72.418273925999998</v>
      </c>
      <c r="E2611">
        <v>50</v>
      </c>
      <c r="F2611">
        <v>49.984943389999998</v>
      </c>
      <c r="G2611">
        <v>1326.9451904</v>
      </c>
      <c r="H2611">
        <v>1324.8503418</v>
      </c>
      <c r="I2611">
        <v>1337.8743896000001</v>
      </c>
      <c r="J2611">
        <v>1335.6790771000001</v>
      </c>
      <c r="K2611">
        <v>0</v>
      </c>
      <c r="L2611">
        <v>2400</v>
      </c>
      <c r="M2611">
        <v>2400</v>
      </c>
      <c r="N2611">
        <v>0</v>
      </c>
    </row>
    <row r="2612" spans="1:14" x14ac:dyDescent="0.25">
      <c r="A2612">
        <v>1768.6341870000001</v>
      </c>
      <c r="B2612" s="1">
        <f>DATE(2015,3,4) + TIME(15,13,13)</f>
        <v>42067.63417824074</v>
      </c>
      <c r="C2612">
        <v>80</v>
      </c>
      <c r="D2612">
        <v>72.233734131000006</v>
      </c>
      <c r="E2612">
        <v>50</v>
      </c>
      <c r="F2612">
        <v>49.984935759999999</v>
      </c>
      <c r="G2612">
        <v>1326.9140625</v>
      </c>
      <c r="H2612">
        <v>1324.8066406</v>
      </c>
      <c r="I2612">
        <v>1337.8721923999999</v>
      </c>
      <c r="J2612">
        <v>1335.6784668</v>
      </c>
      <c r="K2612">
        <v>0</v>
      </c>
      <c r="L2612">
        <v>2400</v>
      </c>
      <c r="M2612">
        <v>2400</v>
      </c>
      <c r="N2612">
        <v>0</v>
      </c>
    </row>
    <row r="2613" spans="1:14" x14ac:dyDescent="0.25">
      <c r="A2613">
        <v>1772.5659189999999</v>
      </c>
      <c r="B2613" s="1">
        <f>DATE(2015,3,8) + TIME(13,34,55)</f>
        <v>42071.56591435185</v>
      </c>
      <c r="C2613">
        <v>80</v>
      </c>
      <c r="D2613">
        <v>71.977722168</v>
      </c>
      <c r="E2613">
        <v>50</v>
      </c>
      <c r="F2613">
        <v>49.984920502000001</v>
      </c>
      <c r="G2613">
        <v>1326.8753661999999</v>
      </c>
      <c r="H2613">
        <v>1324.7591553</v>
      </c>
      <c r="I2613">
        <v>1337.8685303</v>
      </c>
      <c r="J2613">
        <v>1335.6776123</v>
      </c>
      <c r="K2613">
        <v>0</v>
      </c>
      <c r="L2613">
        <v>2400</v>
      </c>
      <c r="M2613">
        <v>2400</v>
      </c>
      <c r="N2613">
        <v>0</v>
      </c>
    </row>
    <row r="2614" spans="1:14" x14ac:dyDescent="0.25">
      <c r="A2614">
        <v>1776.7002070000001</v>
      </c>
      <c r="B2614" s="1">
        <f>DATE(2015,3,12) + TIME(16,48,17)</f>
        <v>42075.700196759259</v>
      </c>
      <c r="C2614">
        <v>80</v>
      </c>
      <c r="D2614">
        <v>71.694374084000003</v>
      </c>
      <c r="E2614">
        <v>50</v>
      </c>
      <c r="F2614">
        <v>49.984905243</v>
      </c>
      <c r="G2614">
        <v>1326.8314209</v>
      </c>
      <c r="H2614">
        <v>1324.7032471</v>
      </c>
      <c r="I2614">
        <v>1337.864624</v>
      </c>
      <c r="J2614">
        <v>1335.6766356999999</v>
      </c>
      <c r="K2614">
        <v>0</v>
      </c>
      <c r="L2614">
        <v>2400</v>
      </c>
      <c r="M2614">
        <v>2400</v>
      </c>
      <c r="N2614">
        <v>0</v>
      </c>
    </row>
    <row r="2615" spans="1:14" x14ac:dyDescent="0.25">
      <c r="A2615">
        <v>1780.8710060000001</v>
      </c>
      <c r="B2615" s="1">
        <f>DATE(2015,3,16) + TIME(20,54,14)</f>
        <v>42079.870995370373</v>
      </c>
      <c r="C2615">
        <v>80</v>
      </c>
      <c r="D2615">
        <v>71.395065308</v>
      </c>
      <c r="E2615">
        <v>50</v>
      </c>
      <c r="F2615">
        <v>49.984893798999998</v>
      </c>
      <c r="G2615">
        <v>1326.7857666</v>
      </c>
      <c r="H2615">
        <v>1324.6448975000001</v>
      </c>
      <c r="I2615">
        <v>1337.8605957</v>
      </c>
      <c r="J2615">
        <v>1335.6756591999999</v>
      </c>
      <c r="K2615">
        <v>0</v>
      </c>
      <c r="L2615">
        <v>2400</v>
      </c>
      <c r="M2615">
        <v>2400</v>
      </c>
      <c r="N2615">
        <v>0</v>
      </c>
    </row>
    <row r="2616" spans="1:14" x14ac:dyDescent="0.25">
      <c r="A2616">
        <v>1785.0872750000001</v>
      </c>
      <c r="B2616" s="1">
        <f>DATE(2015,3,21) + TIME(2,5,40)</f>
        <v>42084.087268518517</v>
      </c>
      <c r="C2616">
        <v>80</v>
      </c>
      <c r="D2616">
        <v>71.090164185000006</v>
      </c>
      <c r="E2616">
        <v>50</v>
      </c>
      <c r="F2616">
        <v>49.984878539999997</v>
      </c>
      <c r="G2616">
        <v>1326.7403564000001</v>
      </c>
      <c r="H2616">
        <v>1324.5863036999999</v>
      </c>
      <c r="I2616">
        <v>1337.8565673999999</v>
      </c>
      <c r="J2616">
        <v>1335.6745605000001</v>
      </c>
      <c r="K2616">
        <v>0</v>
      </c>
      <c r="L2616">
        <v>2400</v>
      </c>
      <c r="M2616">
        <v>2400</v>
      </c>
      <c r="N2616">
        <v>0</v>
      </c>
    </row>
    <row r="2617" spans="1:14" x14ac:dyDescent="0.25">
      <c r="A2617">
        <v>1789.399363</v>
      </c>
      <c r="B2617" s="1">
        <f>DATE(2015,3,25) + TIME(9,35,4)</f>
        <v>42088.399351851855</v>
      </c>
      <c r="C2617">
        <v>80</v>
      </c>
      <c r="D2617">
        <v>70.780807495000005</v>
      </c>
      <c r="E2617">
        <v>50</v>
      </c>
      <c r="F2617">
        <v>49.984863281000003</v>
      </c>
      <c r="G2617">
        <v>1326.6956786999999</v>
      </c>
      <c r="H2617">
        <v>1324.5288086</v>
      </c>
      <c r="I2617">
        <v>1337.8525391000001</v>
      </c>
      <c r="J2617">
        <v>1335.6734618999999</v>
      </c>
      <c r="K2617">
        <v>0</v>
      </c>
      <c r="L2617">
        <v>2400</v>
      </c>
      <c r="M2617">
        <v>2400</v>
      </c>
      <c r="N2617">
        <v>0</v>
      </c>
    </row>
    <row r="2618" spans="1:14" x14ac:dyDescent="0.25">
      <c r="A2618">
        <v>1793.8773409999999</v>
      </c>
      <c r="B2618" s="1">
        <f>DATE(2015,3,29) + TIME(21,3,22)</f>
        <v>42092.877337962964</v>
      </c>
      <c r="C2618">
        <v>80</v>
      </c>
      <c r="D2618">
        <v>70.461822510000005</v>
      </c>
      <c r="E2618">
        <v>50</v>
      </c>
      <c r="F2618">
        <v>49.984851837000001</v>
      </c>
      <c r="G2618">
        <v>1326.6514893000001</v>
      </c>
      <c r="H2618">
        <v>1324.4719238</v>
      </c>
      <c r="I2618">
        <v>1337.8485106999999</v>
      </c>
      <c r="J2618">
        <v>1335.6723632999999</v>
      </c>
      <c r="K2618">
        <v>0</v>
      </c>
      <c r="L2618">
        <v>2400</v>
      </c>
      <c r="M2618">
        <v>2400</v>
      </c>
      <c r="N2618">
        <v>0</v>
      </c>
    </row>
    <row r="2619" spans="1:14" x14ac:dyDescent="0.25">
      <c r="A2619">
        <v>1796</v>
      </c>
      <c r="B2619" s="1">
        <f>DATE(2015,4,1) + TIME(0,0,0)</f>
        <v>42095</v>
      </c>
      <c r="C2619">
        <v>80</v>
      </c>
      <c r="D2619">
        <v>70.166778563999998</v>
      </c>
      <c r="E2619">
        <v>50</v>
      </c>
      <c r="F2619">
        <v>49.984836577999999</v>
      </c>
      <c r="G2619">
        <v>1326.6072998</v>
      </c>
      <c r="H2619">
        <v>1324.4162598</v>
      </c>
      <c r="I2619">
        <v>1337.8444824000001</v>
      </c>
      <c r="J2619">
        <v>1335.6712646000001</v>
      </c>
      <c r="K2619">
        <v>0</v>
      </c>
      <c r="L2619">
        <v>2400</v>
      </c>
      <c r="M2619">
        <v>2400</v>
      </c>
      <c r="N2619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2022-07-20T06:43:30Z</dcterms:created>
  <dcterms:modified xsi:type="dcterms:W3CDTF">2022-07-20T06:43:55Z</dcterms:modified>
</cp:coreProperties>
</file>