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0D550C4D-63B7-4B59-B42E-3CED697B9C04}" xr6:coauthVersionLast="47" xr6:coauthVersionMax="47" xr10:uidLastSave="{00000000-0000-0000-0000-000000000000}"/>
  <bookViews>
    <workbookView xWindow="-28920" yWindow="-120" windowWidth="29040" windowHeight="15840" xr2:uid="{B63F9D78-D993-49A8-9C6D-C24E9D334C10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15" i="1" l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<sst xmlns="http://schemas.openxmlformats.org/spreadsheetml/2006/main" count="15" uniqueCount="15">
  <si>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MODEL\SCENARIOS\2022\Parameterstudy_kh_kv\kh100_kv5.sr3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</si>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</sst>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FECBE-52D5-4D38-B2EC-19874ECADB60}" name="Table1" displayName="Table1" ref="A3:N2515" totalsRowShown="0">
  <autoFilter ref="A3:N2515" xr:uid="{F06FECBE-52D5-4D38-B2EC-19874ECADB60}"/>
  <tableColumns count="14">
    <tableColumn id="1" xr3:uid="{117D1A6C-2C37-4CE9-8664-A6810AC96FCD}" name="Time (day)"/>
    <tableColumn id="2" xr3:uid="{BF235E91-130C-4D33-82DC-4706230798F9}" name="Date" dataDxfId="0"/>
    <tableColumn id="3" xr3:uid="{C93750BF-D109-460A-A658-9C37DA6010CE}" name="Hot well INJ-Well bottom hole temperature (C)"/>
    <tableColumn id="4" xr3:uid="{61509C63-D6E5-4CC9-AE40-7FAEB8A74430}" name="Hot well PROD-Well bottom hole temperature (C)"/>
    <tableColumn id="5" xr3:uid="{7BBD7DFE-8DDE-4277-BBAC-3ADBECE758F5}" name="Warm well INJ-Well bottom hole temperature (C)"/>
    <tableColumn id="6" xr3:uid="{EF032CFC-8A4B-4A3E-8E45-AEBE92C23379}" name="Warm well PROD-Well bottom hole temperature (C)"/>
    <tableColumn id="7" xr3:uid="{528F8764-8531-4B37-9DE6-83BAA27B6FBB}" name="Hot well INJ-Well Bottom-hole Pressure (kPa)"/>
    <tableColumn id="8" xr3:uid="{3197E07A-DCDC-4BD1-9A9A-A616F220959D}" name="Hot well PROD-Well Bottom-hole Pressure (kPa)"/>
    <tableColumn id="9" xr3:uid="{0541E80C-7B67-4961-AEBF-A1637CBFAE39}" name="Warm well INJ-Well Bottom-hole Pressure (kPa)"/>
    <tableColumn id="10" xr3:uid="{CD1B6A3D-0705-4032-8FC6-6D2DCACCCFE6}" name="Warm well PROD-Well Bottom-hole Pressure (kPa)"/>
    <tableColumn id="11" xr3:uid="{FD6B7D96-0A0D-4758-82D4-8F41F20E2F2A}" name="Hot well INJ-Fluid Rate SC (m³/day)"/>
    <tableColumn id="12" xr3:uid="{84BF4F0A-F48A-4FD8-B798-2A9A16ED3679}" name="Hot well PROD-Fluid Rate SC (m³/day)"/>
    <tableColumn id="13" xr3:uid="{B1D80A1D-9201-47EB-A013-E4331730FDBF}" name="Warm well INJ-Fluid Rate SC (m³/day)"/>
    <tableColumn id="14" xr3:uid="{B629BC53-8DA1-41A6-B7A9-722C9EAF4127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7A9A-1C23-4053-869F-ACA066C633B6}">
  <dimension ref="A1:N251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1333.3571777</v>
      </c>
      <c r="H4">
        <v>1329.4145507999999</v>
      </c>
      <c r="I4">
        <v>1329.4047852000001</v>
      </c>
      <c r="J4">
        <v>1325.4614257999999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1333.3717041</v>
      </c>
      <c r="H5">
        <v>1329.4290771000001</v>
      </c>
      <c r="I5">
        <v>1329.3903809000001</v>
      </c>
      <c r="J5">
        <v>1325.4470214999999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14.999978065000001</v>
      </c>
      <c r="G6">
        <v>1333.4141846</v>
      </c>
      <c r="H6">
        <v>1329.4716797000001</v>
      </c>
      <c r="I6">
        <v>1329.3479004000001</v>
      </c>
      <c r="J6">
        <v>1325.4045410000001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15.003145218</v>
      </c>
      <c r="E7">
        <v>50</v>
      </c>
      <c r="F7">
        <v>14.999934196</v>
      </c>
      <c r="G7">
        <v>1333.5347899999999</v>
      </c>
      <c r="H7">
        <v>1329.5922852000001</v>
      </c>
      <c r="I7">
        <v>1329.2276611</v>
      </c>
      <c r="J7">
        <v>1325.2844238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15.009492873999999</v>
      </c>
      <c r="E8">
        <v>50</v>
      </c>
      <c r="F8">
        <v>14.999822617</v>
      </c>
      <c r="G8">
        <v>1333.8438721</v>
      </c>
      <c r="H8">
        <v>1329.9019774999999</v>
      </c>
      <c r="I8">
        <v>1328.9193115</v>
      </c>
      <c r="J8">
        <v>1324.9759521000001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15.028429985000001</v>
      </c>
      <c r="E9">
        <v>50</v>
      </c>
      <c r="F9">
        <v>14.999590874000001</v>
      </c>
      <c r="G9">
        <v>1334.4859618999999</v>
      </c>
      <c r="H9">
        <v>1330.5456543</v>
      </c>
      <c r="I9">
        <v>1328.2781981999999</v>
      </c>
      <c r="J9">
        <v>1324.3349608999999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15.084866524000001</v>
      </c>
      <c r="E10">
        <v>50</v>
      </c>
      <c r="F10">
        <v>14.999240875</v>
      </c>
      <c r="G10">
        <v>1335.4552002</v>
      </c>
      <c r="H10">
        <v>1331.5200195</v>
      </c>
      <c r="I10">
        <v>1327.3067627</v>
      </c>
      <c r="J10">
        <v>1323.3636475000001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15.253094673</v>
      </c>
      <c r="E11">
        <v>50</v>
      </c>
      <c r="F11">
        <v>14.998842239</v>
      </c>
      <c r="G11">
        <v>1336.5465088000001</v>
      </c>
      <c r="H11">
        <v>1332.6269531</v>
      </c>
      <c r="I11">
        <v>1326.1975098</v>
      </c>
      <c r="J11">
        <v>1322.2543945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15.753836632000001</v>
      </c>
      <c r="E12">
        <v>50</v>
      </c>
      <c r="F12">
        <v>14.998444556999999</v>
      </c>
      <c r="G12">
        <v>1337.6070557</v>
      </c>
      <c r="H12">
        <v>1333.734375</v>
      </c>
      <c r="I12">
        <v>1325.0733643000001</v>
      </c>
      <c r="J12">
        <v>1321.1303711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2.2943999999999999E-2</v>
      </c>
      <c r="B13" s="1">
        <f>DATE(2010,5,1) + TIME(0,33,2)</f>
        <v>40299.022939814815</v>
      </c>
      <c r="C13">
        <v>80</v>
      </c>
      <c r="D13">
        <v>16.741931914999999</v>
      </c>
      <c r="E13">
        <v>50</v>
      </c>
      <c r="F13">
        <v>14.998136519999999</v>
      </c>
      <c r="G13">
        <v>1338.3829346</v>
      </c>
      <c r="H13">
        <v>1334.5975341999999</v>
      </c>
      <c r="I13">
        <v>1324.1757812000001</v>
      </c>
      <c r="J13">
        <v>1320.2326660000001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3.6204E-2</v>
      </c>
      <c r="B14" s="1">
        <f>DATE(2010,5,1) + TIME(0,52,8)</f>
        <v>40299.036203703705</v>
      </c>
      <c r="C14">
        <v>80</v>
      </c>
      <c r="D14">
        <v>17.732845306000002</v>
      </c>
      <c r="E14">
        <v>50</v>
      </c>
      <c r="F14">
        <v>14.997964859</v>
      </c>
      <c r="G14">
        <v>1338.7980957</v>
      </c>
      <c r="H14">
        <v>1335.0883789</v>
      </c>
      <c r="I14">
        <v>1323.6606445</v>
      </c>
      <c r="J14">
        <v>1319.7175293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4.9585999999999998E-2</v>
      </c>
      <c r="B15" s="1">
        <f>DATE(2010,5,1) + TIME(1,11,24)</f>
        <v>40299.049583333333</v>
      </c>
      <c r="C15">
        <v>80</v>
      </c>
      <c r="D15">
        <v>18.723720551</v>
      </c>
      <c r="E15">
        <v>50</v>
      </c>
      <c r="F15">
        <v>14.997851372</v>
      </c>
      <c r="G15">
        <v>1339.0556641000001</v>
      </c>
      <c r="H15">
        <v>1335.418457</v>
      </c>
      <c r="I15">
        <v>1323.3101807</v>
      </c>
      <c r="J15">
        <v>1319.3671875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6.3090999999999994E-2</v>
      </c>
      <c r="B16" s="1">
        <f>DATE(2010,5,1) + TIME(1,30,51)</f>
        <v>40299.063090277778</v>
      </c>
      <c r="C16">
        <v>80</v>
      </c>
      <c r="D16">
        <v>19.714580536</v>
      </c>
      <c r="E16">
        <v>50</v>
      </c>
      <c r="F16">
        <v>14.997770309</v>
      </c>
      <c r="G16">
        <v>1339.2313231999999</v>
      </c>
      <c r="H16">
        <v>1335.6629639</v>
      </c>
      <c r="I16">
        <v>1323.0487060999999</v>
      </c>
      <c r="J16">
        <v>1319.1057129000001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7.6720999999999998E-2</v>
      </c>
      <c r="B17" s="1">
        <f>DATE(2010,5,1) + TIME(1,50,28)</f>
        <v>40299.07671296296</v>
      </c>
      <c r="C17">
        <v>80</v>
      </c>
      <c r="D17">
        <v>20.706012726000001</v>
      </c>
      <c r="E17">
        <v>50</v>
      </c>
      <c r="F17">
        <v>14.997708320999999</v>
      </c>
      <c r="G17">
        <v>1339.3582764</v>
      </c>
      <c r="H17">
        <v>1335.8552245999999</v>
      </c>
      <c r="I17">
        <v>1322.8428954999999</v>
      </c>
      <c r="J17">
        <v>1318.8997803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9.0468999999999994E-2</v>
      </c>
      <c r="B18" s="1">
        <f>DATE(2010,5,1) + TIME(2,10,16)</f>
        <v>40299.090462962966</v>
      </c>
      <c r="C18">
        <v>80</v>
      </c>
      <c r="D18">
        <v>21.697088242</v>
      </c>
      <c r="E18">
        <v>50</v>
      </c>
      <c r="F18">
        <v>14.997660636999999</v>
      </c>
      <c r="G18">
        <v>1339.4534911999999</v>
      </c>
      <c r="H18">
        <v>1336.0123291</v>
      </c>
      <c r="I18">
        <v>1322.6751709</v>
      </c>
      <c r="J18">
        <v>1318.7320557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0.10434</v>
      </c>
      <c r="B19" s="1">
        <f>DATE(2010,5,1) + TIME(2,30,14)</f>
        <v>40299.104328703703</v>
      </c>
      <c r="C19">
        <v>80</v>
      </c>
      <c r="D19">
        <v>22.687891006000001</v>
      </c>
      <c r="E19">
        <v>50</v>
      </c>
      <c r="F19">
        <v>14.997621536</v>
      </c>
      <c r="G19">
        <v>1339.5273437999999</v>
      </c>
      <c r="H19">
        <v>1336.1447754000001</v>
      </c>
      <c r="I19">
        <v>1322.5354004000001</v>
      </c>
      <c r="J19">
        <v>1318.5922852000001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0.11834</v>
      </c>
      <c r="B20" s="1">
        <f>DATE(2010,5,1) + TIME(2,50,24)</f>
        <v>40299.118333333332</v>
      </c>
      <c r="C20">
        <v>80</v>
      </c>
      <c r="D20">
        <v>23.678638458000002</v>
      </c>
      <c r="E20">
        <v>50</v>
      </c>
      <c r="F20">
        <v>14.997591019</v>
      </c>
      <c r="G20">
        <v>1339.5859375</v>
      </c>
      <c r="H20">
        <v>1336.2589111</v>
      </c>
      <c r="I20">
        <v>1322.4167480000001</v>
      </c>
      <c r="J20">
        <v>1318.4735106999999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0.13247100000000001</v>
      </c>
      <c r="B21" s="1">
        <f>DATE(2010,5,1) + TIME(3,10,45)</f>
        <v>40299.132465277777</v>
      </c>
      <c r="C21">
        <v>80</v>
      </c>
      <c r="D21">
        <v>24.669317244999998</v>
      </c>
      <c r="E21">
        <v>50</v>
      </c>
      <c r="F21">
        <v>14.997566223</v>
      </c>
      <c r="G21">
        <v>1339.6337891000001</v>
      </c>
      <c r="H21">
        <v>1336.3592529</v>
      </c>
      <c r="I21">
        <v>1322.3146973</v>
      </c>
      <c r="J21">
        <v>1318.3714600000001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0.146735</v>
      </c>
      <c r="B22" s="1">
        <f>DATE(2010,5,1) + TIME(3,31,17)</f>
        <v>40299.146724537037</v>
      </c>
      <c r="C22">
        <v>80</v>
      </c>
      <c r="D22">
        <v>25.660327911</v>
      </c>
      <c r="E22">
        <v>50</v>
      </c>
      <c r="F22">
        <v>14.997545241999999</v>
      </c>
      <c r="G22">
        <v>1339.6737060999999</v>
      </c>
      <c r="H22">
        <v>1336.4490966999999</v>
      </c>
      <c r="I22">
        <v>1322.2259521000001</v>
      </c>
      <c r="J22">
        <v>1318.2827147999999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0.16112799999999999</v>
      </c>
      <c r="B23" s="1">
        <f>DATE(2010,5,1) + TIME(3,52,1)</f>
        <v>40299.161122685182</v>
      </c>
      <c r="C23">
        <v>80</v>
      </c>
      <c r="D23">
        <v>26.651046752999999</v>
      </c>
      <c r="E23">
        <v>50</v>
      </c>
      <c r="F23">
        <v>14.997529030000001</v>
      </c>
      <c r="G23">
        <v>1339.7080077999999</v>
      </c>
      <c r="H23">
        <v>1336.5305175999999</v>
      </c>
      <c r="I23">
        <v>1322.1481934000001</v>
      </c>
      <c r="J23">
        <v>1318.2048339999999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0.17565600000000001</v>
      </c>
      <c r="B24" s="1">
        <f>DATE(2010,5,1) + TIME(4,12,56)</f>
        <v>40299.17564814815</v>
      </c>
      <c r="C24">
        <v>80</v>
      </c>
      <c r="D24">
        <v>27.641441345</v>
      </c>
      <c r="E24">
        <v>50</v>
      </c>
      <c r="F24">
        <v>14.997515677999999</v>
      </c>
      <c r="G24">
        <v>1339.7384033000001</v>
      </c>
      <c r="H24">
        <v>1336.6054687999999</v>
      </c>
      <c r="I24">
        <v>1322.0795897999999</v>
      </c>
      <c r="J24">
        <v>1318.1361084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0.19032499999999999</v>
      </c>
      <c r="B25" s="1">
        <f>DATE(2010,5,1) + TIME(4,34,4)</f>
        <v>40299.190324074072</v>
      </c>
      <c r="C25">
        <v>80</v>
      </c>
      <c r="D25">
        <v>28.631690978999998</v>
      </c>
      <c r="E25">
        <v>50</v>
      </c>
      <c r="F25">
        <v>14.997505188</v>
      </c>
      <c r="G25">
        <v>1339.7658690999999</v>
      </c>
      <c r="H25">
        <v>1336.6754149999999</v>
      </c>
      <c r="I25">
        <v>1322.0184326000001</v>
      </c>
      <c r="J25">
        <v>1318.0748291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0.20513899999999999</v>
      </c>
      <c r="B26" s="1">
        <f>DATE(2010,5,1) + TIME(4,55,23)</f>
        <v>40299.205127314817</v>
      </c>
      <c r="C26">
        <v>80</v>
      </c>
      <c r="D26">
        <v>29.621778488</v>
      </c>
      <c r="E26">
        <v>50</v>
      </c>
      <c r="F26">
        <v>14.997496605</v>
      </c>
      <c r="G26">
        <v>1339.791626</v>
      </c>
      <c r="H26">
        <v>1336.7410889</v>
      </c>
      <c r="I26">
        <v>1321.9637451000001</v>
      </c>
      <c r="J26">
        <v>1318.0200195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0.22009999999999999</v>
      </c>
      <c r="B27" s="1">
        <f>DATE(2010,5,1) + TIME(5,16,56)</f>
        <v>40299.220092592594</v>
      </c>
      <c r="C27">
        <v>80</v>
      </c>
      <c r="D27">
        <v>30.611812592</v>
      </c>
      <c r="E27">
        <v>50</v>
      </c>
      <c r="F27">
        <v>14.997489929</v>
      </c>
      <c r="G27">
        <v>1339.8161620999999</v>
      </c>
      <c r="H27">
        <v>1336.8037108999999</v>
      </c>
      <c r="I27">
        <v>1321.9145507999999</v>
      </c>
      <c r="J27">
        <v>1317.9707031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0.23521300000000001</v>
      </c>
      <c r="B28" s="1">
        <f>DATE(2010,5,1) + TIME(5,38,42)</f>
        <v>40299.235208333332</v>
      </c>
      <c r="C28">
        <v>80</v>
      </c>
      <c r="D28">
        <v>31.601596831999998</v>
      </c>
      <c r="E28">
        <v>50</v>
      </c>
      <c r="F28">
        <v>14.997485161</v>
      </c>
      <c r="G28">
        <v>1339.8402100000001</v>
      </c>
      <c r="H28">
        <v>1336.8636475000001</v>
      </c>
      <c r="I28">
        <v>1321.8701172000001</v>
      </c>
      <c r="J28">
        <v>1317.9261475000001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0.25048100000000001</v>
      </c>
      <c r="B29" s="1">
        <f>DATE(2010,5,1) + TIME(6,0,41)</f>
        <v>40299.250474537039</v>
      </c>
      <c r="C29">
        <v>80</v>
      </c>
      <c r="D29">
        <v>32.591072083</v>
      </c>
      <c r="E29">
        <v>50</v>
      </c>
      <c r="F29">
        <v>14.997481346000001</v>
      </c>
      <c r="G29">
        <v>1339.8641356999999</v>
      </c>
      <c r="H29">
        <v>1336.9217529</v>
      </c>
      <c r="I29">
        <v>1321.8298339999999</v>
      </c>
      <c r="J29">
        <v>1317.8857422000001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0.26591199999999998</v>
      </c>
      <c r="B30" s="1">
        <f>DATE(2010,5,1) + TIME(6,22,54)</f>
        <v>40299.265902777777</v>
      </c>
      <c r="C30">
        <v>80</v>
      </c>
      <c r="D30">
        <v>33.580291748</v>
      </c>
      <c r="E30">
        <v>50</v>
      </c>
      <c r="F30">
        <v>14.997479438999999</v>
      </c>
      <c r="G30">
        <v>1339.8883057</v>
      </c>
      <c r="H30">
        <v>1336.9781493999999</v>
      </c>
      <c r="I30">
        <v>1321.7932129000001</v>
      </c>
      <c r="J30">
        <v>1317.8488769999999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0.28151100000000001</v>
      </c>
      <c r="B31" s="1">
        <f>DATE(2010,5,1) + TIME(6,45,22)</f>
        <v>40299.281504629631</v>
      </c>
      <c r="C31">
        <v>80</v>
      </c>
      <c r="D31">
        <v>34.569229126000003</v>
      </c>
      <c r="E31">
        <v>50</v>
      </c>
      <c r="F31">
        <v>14.997477530999999</v>
      </c>
      <c r="G31">
        <v>1339.9129639</v>
      </c>
      <c r="H31">
        <v>1337.0333252</v>
      </c>
      <c r="I31">
        <v>1321.7597656</v>
      </c>
      <c r="J31">
        <v>1317.8153076000001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0.29728399999999999</v>
      </c>
      <c r="B32" s="1">
        <f>DATE(2010,5,1) + TIME(7,8,5)</f>
        <v>40299.297280092593</v>
      </c>
      <c r="C32">
        <v>80</v>
      </c>
      <c r="D32">
        <v>35.557857513000002</v>
      </c>
      <c r="E32">
        <v>50</v>
      </c>
      <c r="F32">
        <v>14.997477530999999</v>
      </c>
      <c r="G32">
        <v>1339.9382324000001</v>
      </c>
      <c r="H32">
        <v>1337.0876464999999</v>
      </c>
      <c r="I32">
        <v>1321.729126</v>
      </c>
      <c r="J32">
        <v>1317.7844238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0.31323899999999999</v>
      </c>
      <c r="B33" s="1">
        <f>DATE(2010,5,1) + TIME(7,31,3)</f>
        <v>40299.31322916667</v>
      </c>
      <c r="C33">
        <v>80</v>
      </c>
      <c r="D33">
        <v>36.546154022000003</v>
      </c>
      <c r="E33">
        <v>50</v>
      </c>
      <c r="F33">
        <v>14.997478485</v>
      </c>
      <c r="G33">
        <v>1339.9643555</v>
      </c>
      <c r="H33">
        <v>1337.1412353999999</v>
      </c>
      <c r="I33">
        <v>1321.7010498</v>
      </c>
      <c r="J33">
        <v>1317.7562256000001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0.32938299999999998</v>
      </c>
      <c r="B34" s="1">
        <f>DATE(2010,5,1) + TIME(7,54,18)</f>
        <v>40299.329375000001</v>
      </c>
      <c r="C34">
        <v>80</v>
      </c>
      <c r="D34">
        <v>37.534084319999998</v>
      </c>
      <c r="E34">
        <v>50</v>
      </c>
      <c r="F34">
        <v>14.997479438999999</v>
      </c>
      <c r="G34">
        <v>1339.9915771000001</v>
      </c>
      <c r="H34">
        <v>1337.1943358999999</v>
      </c>
      <c r="I34">
        <v>1321.6751709</v>
      </c>
      <c r="J34">
        <v>1317.7301024999999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0.34572399999999998</v>
      </c>
      <c r="B35" s="1">
        <f>DATE(2010,5,1) + TIME(8,17,50)</f>
        <v>40299.345717592594</v>
      </c>
      <c r="C35">
        <v>80</v>
      </c>
      <c r="D35">
        <v>38.521621703999998</v>
      </c>
      <c r="E35">
        <v>50</v>
      </c>
      <c r="F35">
        <v>14.9974823</v>
      </c>
      <c r="G35">
        <v>1340.0197754000001</v>
      </c>
      <c r="H35">
        <v>1337.2470702999999</v>
      </c>
      <c r="I35">
        <v>1321.6513672000001</v>
      </c>
      <c r="J35">
        <v>1317.7061768000001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0.36227100000000001</v>
      </c>
      <c r="B36" s="1">
        <f>DATE(2010,5,1) + TIME(8,41,40)</f>
        <v>40299.362268518518</v>
      </c>
      <c r="C36">
        <v>80</v>
      </c>
      <c r="D36">
        <v>39.508731842000003</v>
      </c>
      <c r="E36">
        <v>50</v>
      </c>
      <c r="F36">
        <v>14.997484206999999</v>
      </c>
      <c r="G36">
        <v>1340.0490723</v>
      </c>
      <c r="H36">
        <v>1337.2996826000001</v>
      </c>
      <c r="I36">
        <v>1321.6295166</v>
      </c>
      <c r="J36">
        <v>1317.6839600000001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0.37903399999999998</v>
      </c>
      <c r="B37" s="1">
        <f>DATE(2010,5,1) + TIME(9,5,48)</f>
        <v>40299.379027777781</v>
      </c>
      <c r="C37">
        <v>80</v>
      </c>
      <c r="D37">
        <v>40.495494843000003</v>
      </c>
      <c r="E37">
        <v>50</v>
      </c>
      <c r="F37">
        <v>14.997488022000001</v>
      </c>
      <c r="G37">
        <v>1340.0794678</v>
      </c>
      <c r="H37">
        <v>1337.3520507999999</v>
      </c>
      <c r="I37">
        <v>1321.6092529</v>
      </c>
      <c r="J37">
        <v>1317.6635742000001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0.39602199999999999</v>
      </c>
      <c r="B38" s="1">
        <f>DATE(2010,5,1) + TIME(9,30,16)</f>
        <v>40299.396018518521</v>
      </c>
      <c r="C38">
        <v>80</v>
      </c>
      <c r="D38">
        <v>41.481769561999997</v>
      </c>
      <c r="E38">
        <v>50</v>
      </c>
      <c r="F38">
        <v>14.997491837</v>
      </c>
      <c r="G38">
        <v>1340.1112060999999</v>
      </c>
      <c r="H38">
        <v>1337.4045410000001</v>
      </c>
      <c r="I38">
        <v>1321.5905762</v>
      </c>
      <c r="J38">
        <v>1317.6446533000001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0.41324699999999998</v>
      </c>
      <c r="B39" s="1">
        <f>DATE(2010,5,1) + TIME(9,55,4)</f>
        <v>40299.413240740738</v>
      </c>
      <c r="C39">
        <v>80</v>
      </c>
      <c r="D39">
        <v>42.467418670999997</v>
      </c>
      <c r="E39">
        <v>50</v>
      </c>
      <c r="F39">
        <v>14.997495650999999</v>
      </c>
      <c r="G39">
        <v>1340.144043</v>
      </c>
      <c r="H39">
        <v>1337.4571533000001</v>
      </c>
      <c r="I39">
        <v>1321.5733643000001</v>
      </c>
      <c r="J39">
        <v>1317.6270752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0.43072199999999999</v>
      </c>
      <c r="B40" s="1">
        <f>DATE(2010,5,1) + TIME(10,20,14)</f>
        <v>40299.430717592593</v>
      </c>
      <c r="C40">
        <v>80</v>
      </c>
      <c r="D40">
        <v>43.45249939</v>
      </c>
      <c r="E40">
        <v>50</v>
      </c>
      <c r="F40">
        <v>14.99750042</v>
      </c>
      <c r="G40">
        <v>1340.1781006000001</v>
      </c>
      <c r="H40">
        <v>1337.5097656</v>
      </c>
      <c r="I40">
        <v>1321.5573730000001</v>
      </c>
      <c r="J40">
        <v>1317.6109618999999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0.44846200000000003</v>
      </c>
      <c r="B41" s="1">
        <f>DATE(2010,5,1) + TIME(10,45,47)</f>
        <v>40299.448460648149</v>
      </c>
      <c r="C41">
        <v>80</v>
      </c>
      <c r="D41">
        <v>44.436977386000002</v>
      </c>
      <c r="E41">
        <v>50</v>
      </c>
      <c r="F41">
        <v>14.997506142000001</v>
      </c>
      <c r="G41">
        <v>1340.2133789</v>
      </c>
      <c r="H41">
        <v>1337.5626221</v>
      </c>
      <c r="I41">
        <v>1321.5426024999999</v>
      </c>
      <c r="J41">
        <v>1317.5959473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0.46648200000000001</v>
      </c>
      <c r="B42" s="1">
        <f>DATE(2010,5,1) + TIME(11,11,44)</f>
        <v>40299.466481481482</v>
      </c>
      <c r="C42">
        <v>80</v>
      </c>
      <c r="D42">
        <v>45.420810699</v>
      </c>
      <c r="E42">
        <v>50</v>
      </c>
      <c r="F42">
        <v>14.997511864</v>
      </c>
      <c r="G42">
        <v>1340.2498779</v>
      </c>
      <c r="H42">
        <v>1337.6157227000001</v>
      </c>
      <c r="I42">
        <v>1321.5290527</v>
      </c>
      <c r="J42">
        <v>1317.5820312000001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0.48479800000000001</v>
      </c>
      <c r="B43" s="1">
        <f>DATE(2010,5,1) + TIME(11,38,6)</f>
        <v>40299.484791666669</v>
      </c>
      <c r="C43">
        <v>80</v>
      </c>
      <c r="D43">
        <v>46.403945923000002</v>
      </c>
      <c r="E43">
        <v>50</v>
      </c>
      <c r="F43">
        <v>14.997517586000001</v>
      </c>
      <c r="G43">
        <v>1340.2875977000001</v>
      </c>
      <c r="H43">
        <v>1337.6689452999999</v>
      </c>
      <c r="I43">
        <v>1321.5164795000001</v>
      </c>
      <c r="J43">
        <v>1317.5690918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0.50342799999999999</v>
      </c>
      <c r="B44" s="1">
        <f>DATE(2010,5,1) + TIME(12,4,56)</f>
        <v>40299.503425925926</v>
      </c>
      <c r="C44">
        <v>80</v>
      </c>
      <c r="D44">
        <v>47.386348724000001</v>
      </c>
      <c r="E44">
        <v>50</v>
      </c>
      <c r="F44">
        <v>14.997523308</v>
      </c>
      <c r="G44">
        <v>1340.3265381000001</v>
      </c>
      <c r="H44">
        <v>1337.7225341999999</v>
      </c>
      <c r="I44">
        <v>1321.5047606999999</v>
      </c>
      <c r="J44">
        <v>1317.557251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0.52239199999999997</v>
      </c>
      <c r="B45" s="1">
        <f>DATE(2010,5,1) + TIME(12,32,14)</f>
        <v>40299.52238425926</v>
      </c>
      <c r="C45">
        <v>80</v>
      </c>
      <c r="D45">
        <v>48.367954253999997</v>
      </c>
      <c r="E45">
        <v>50</v>
      </c>
      <c r="F45">
        <v>14.997529984</v>
      </c>
      <c r="G45">
        <v>1340.3665771000001</v>
      </c>
      <c r="H45">
        <v>1337.7763672000001</v>
      </c>
      <c r="I45">
        <v>1321.4941406</v>
      </c>
      <c r="J45">
        <v>1317.5461425999999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0.54171100000000005</v>
      </c>
      <c r="B46" s="1">
        <f>DATE(2010,5,1) + TIME(13,0,3)</f>
        <v>40299.541701388887</v>
      </c>
      <c r="C46">
        <v>80</v>
      </c>
      <c r="D46">
        <v>49.348716736</v>
      </c>
      <c r="E46">
        <v>50</v>
      </c>
      <c r="F46">
        <v>14.997537613</v>
      </c>
      <c r="G46">
        <v>1340.4078368999999</v>
      </c>
      <c r="H46">
        <v>1337.8305664</v>
      </c>
      <c r="I46">
        <v>1321.4842529</v>
      </c>
      <c r="J46">
        <v>1317.5360106999999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0.56140900000000005</v>
      </c>
      <c r="B47" s="1">
        <f>DATE(2010,5,1) + TIME(13,28,25)</f>
        <v>40299.561400462961</v>
      </c>
      <c r="C47">
        <v>80</v>
      </c>
      <c r="D47">
        <v>50.328426360999998</v>
      </c>
      <c r="E47">
        <v>50</v>
      </c>
      <c r="F47">
        <v>14.997544289</v>
      </c>
      <c r="G47">
        <v>1340.4501952999999</v>
      </c>
      <c r="H47">
        <v>1337.8850098</v>
      </c>
      <c r="I47">
        <v>1321.4750977000001</v>
      </c>
      <c r="J47">
        <v>1317.5266113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0.581515</v>
      </c>
      <c r="B48" s="1">
        <f>DATE(2010,5,1) + TIME(13,57,22)</f>
        <v>40299.581504629627</v>
      </c>
      <c r="C48">
        <v>80</v>
      </c>
      <c r="D48">
        <v>51.307010650999999</v>
      </c>
      <c r="E48">
        <v>50</v>
      </c>
      <c r="F48">
        <v>14.997551917999999</v>
      </c>
      <c r="G48">
        <v>1340.4936522999999</v>
      </c>
      <c r="H48">
        <v>1337.9398193</v>
      </c>
      <c r="I48">
        <v>1321.4667969</v>
      </c>
      <c r="J48">
        <v>1317.5179443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0.60206099999999996</v>
      </c>
      <c r="B49" s="1">
        <f>DATE(2010,5,1) + TIME(14,26,58)</f>
        <v>40299.602060185185</v>
      </c>
      <c r="C49">
        <v>80</v>
      </c>
      <c r="D49">
        <v>52.284824370999999</v>
      </c>
      <c r="E49">
        <v>50</v>
      </c>
      <c r="F49">
        <v>14.997559547</v>
      </c>
      <c r="G49">
        <v>1340.5382079999999</v>
      </c>
      <c r="H49">
        <v>1337.9949951000001</v>
      </c>
      <c r="I49">
        <v>1321.4592285000001</v>
      </c>
      <c r="J49">
        <v>1317.5098877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0.62307299999999999</v>
      </c>
      <c r="B50" s="1">
        <f>DATE(2010,5,1) + TIME(14,57,13)</f>
        <v>40299.623067129629</v>
      </c>
      <c r="C50">
        <v>80</v>
      </c>
      <c r="D50">
        <v>53.261524199999997</v>
      </c>
      <c r="E50">
        <v>50</v>
      </c>
      <c r="F50">
        <v>14.997568129999999</v>
      </c>
      <c r="G50">
        <v>1340.5838623</v>
      </c>
      <c r="H50">
        <v>1338.0504149999999</v>
      </c>
      <c r="I50">
        <v>1321.4522704999999</v>
      </c>
      <c r="J50">
        <v>1317.5025635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0.64458599999999999</v>
      </c>
      <c r="B51" s="1">
        <f>DATE(2010,5,1) + TIME(15,28,12)</f>
        <v>40299.644583333335</v>
      </c>
      <c r="C51">
        <v>80</v>
      </c>
      <c r="D51">
        <v>54.237018585000001</v>
      </c>
      <c r="E51">
        <v>50</v>
      </c>
      <c r="F51">
        <v>14.99757576</v>
      </c>
      <c r="G51">
        <v>1340.6306152</v>
      </c>
      <c r="H51">
        <v>1338.1062012</v>
      </c>
      <c r="I51">
        <v>1321.4459228999999</v>
      </c>
      <c r="J51">
        <v>1317.4959716999999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0.66664000000000001</v>
      </c>
      <c r="B52" s="1">
        <f>DATE(2010,5,1) + TIME(15,59,57)</f>
        <v>40299.666631944441</v>
      </c>
      <c r="C52">
        <v>80</v>
      </c>
      <c r="D52">
        <v>55.211223601999997</v>
      </c>
      <c r="E52">
        <v>50</v>
      </c>
      <c r="F52">
        <v>14.997584343</v>
      </c>
      <c r="G52">
        <v>1340.6783447</v>
      </c>
      <c r="H52">
        <v>1338.1623535000001</v>
      </c>
      <c r="I52">
        <v>1321.4401855000001</v>
      </c>
      <c r="J52">
        <v>1317.4897461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0.68927799999999995</v>
      </c>
      <c r="B53" s="1">
        <f>DATE(2010,5,1) + TIME(16,32,33)</f>
        <v>40299.689270833333</v>
      </c>
      <c r="C53">
        <v>80</v>
      </c>
      <c r="D53">
        <v>56.184032440000003</v>
      </c>
      <c r="E53">
        <v>50</v>
      </c>
      <c r="F53">
        <v>14.99759388</v>
      </c>
      <c r="G53">
        <v>1340.7271728999999</v>
      </c>
      <c r="H53">
        <v>1338.2188721</v>
      </c>
      <c r="I53">
        <v>1321.4350586</v>
      </c>
      <c r="J53">
        <v>1317.4842529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0.71254899999999999</v>
      </c>
      <c r="B54" s="1">
        <f>DATE(2010,5,1) + TIME(17,6,4)</f>
        <v>40299.712546296294</v>
      </c>
      <c r="C54">
        <v>80</v>
      </c>
      <c r="D54">
        <v>57.155334473000003</v>
      </c>
      <c r="E54">
        <v>50</v>
      </c>
      <c r="F54">
        <v>14.997602463</v>
      </c>
      <c r="G54">
        <v>1340.7769774999999</v>
      </c>
      <c r="H54">
        <v>1338.2756348</v>
      </c>
      <c r="I54">
        <v>1321.4304199000001</v>
      </c>
      <c r="J54">
        <v>1317.4792480000001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0.73650700000000002</v>
      </c>
      <c r="B55" s="1">
        <f>DATE(2010,5,1) + TIME(17,40,34)</f>
        <v>40299.736504629633</v>
      </c>
      <c r="C55">
        <v>80</v>
      </c>
      <c r="D55">
        <v>58.125007629000002</v>
      </c>
      <c r="E55">
        <v>50</v>
      </c>
      <c r="F55">
        <v>14.997612</v>
      </c>
      <c r="G55">
        <v>1340.8277588000001</v>
      </c>
      <c r="H55">
        <v>1338.3327637</v>
      </c>
      <c r="I55">
        <v>1321.4262695</v>
      </c>
      <c r="J55">
        <v>1317.4746094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0.76121399999999995</v>
      </c>
      <c r="B56" s="1">
        <f>DATE(2010,5,1) + TIME(18,16,8)</f>
        <v>40299.761203703703</v>
      </c>
      <c r="C56">
        <v>80</v>
      </c>
      <c r="D56">
        <v>59.092903137</v>
      </c>
      <c r="E56">
        <v>50</v>
      </c>
      <c r="F56">
        <v>14.997621536</v>
      </c>
      <c r="G56">
        <v>1340.8796387</v>
      </c>
      <c r="H56">
        <v>1338.3902588000001</v>
      </c>
      <c r="I56">
        <v>1321.4226074000001</v>
      </c>
      <c r="J56">
        <v>1317.4705810999999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0.78674100000000002</v>
      </c>
      <c r="B57" s="1">
        <f>DATE(2010,5,1) + TIME(18,52,54)</f>
        <v>40299.786736111113</v>
      </c>
      <c r="C57">
        <v>80</v>
      </c>
      <c r="D57">
        <v>60.058830260999997</v>
      </c>
      <c r="E57">
        <v>50</v>
      </c>
      <c r="F57">
        <v>14.997632027</v>
      </c>
      <c r="G57">
        <v>1340.9323730000001</v>
      </c>
      <c r="H57">
        <v>1338.4479980000001</v>
      </c>
      <c r="I57">
        <v>1321.4194336</v>
      </c>
      <c r="J57">
        <v>1317.4670410000001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0.81316900000000003</v>
      </c>
      <c r="B58" s="1">
        <f>DATE(2010,5,1) + TIME(19,30,57)</f>
        <v>40299.813159722224</v>
      </c>
      <c r="C58">
        <v>80</v>
      </c>
      <c r="D58">
        <v>61.022064209</v>
      </c>
      <c r="E58">
        <v>50</v>
      </c>
      <c r="F58">
        <v>14.997641563</v>
      </c>
      <c r="G58">
        <v>1340.9862060999999</v>
      </c>
      <c r="H58">
        <v>1338.5061035000001</v>
      </c>
      <c r="I58">
        <v>1321.416626</v>
      </c>
      <c r="J58">
        <v>1317.4637451000001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0.84060500000000005</v>
      </c>
      <c r="B59" s="1">
        <f>DATE(2010,5,1) + TIME(20,10,28)</f>
        <v>40299.840601851851</v>
      </c>
      <c r="C59">
        <v>80</v>
      </c>
      <c r="D59">
        <v>61.983531952</v>
      </c>
      <c r="E59">
        <v>50</v>
      </c>
      <c r="F59">
        <v>14.997653008</v>
      </c>
      <c r="G59">
        <v>1341.0410156</v>
      </c>
      <c r="H59">
        <v>1338.5645752</v>
      </c>
      <c r="I59">
        <v>1321.4144286999999</v>
      </c>
      <c r="J59">
        <v>1317.4610596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0.86914100000000005</v>
      </c>
      <c r="B60" s="1">
        <f>DATE(2010,5,1) + TIME(20,51,33)</f>
        <v>40299.869131944448</v>
      </c>
      <c r="C60">
        <v>80</v>
      </c>
      <c r="D60">
        <v>62.942455291999998</v>
      </c>
      <c r="E60">
        <v>50</v>
      </c>
      <c r="F60">
        <v>14.997663498</v>
      </c>
      <c r="G60">
        <v>1341.0968018000001</v>
      </c>
      <c r="H60">
        <v>1338.6234131000001</v>
      </c>
      <c r="I60">
        <v>1321.4124756000001</v>
      </c>
      <c r="J60">
        <v>1317.4586182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0.898899</v>
      </c>
      <c r="B61" s="1">
        <f>DATE(2010,5,1) + TIME(21,34,24)</f>
        <v>40299.898888888885</v>
      </c>
      <c r="C61">
        <v>80</v>
      </c>
      <c r="D61">
        <v>63.898559570000003</v>
      </c>
      <c r="E61">
        <v>50</v>
      </c>
      <c r="F61">
        <v>14.997674942</v>
      </c>
      <c r="G61">
        <v>1341.1535644999999</v>
      </c>
      <c r="H61">
        <v>1338.6824951000001</v>
      </c>
      <c r="I61">
        <v>1321.4110106999999</v>
      </c>
      <c r="J61">
        <v>1317.4566649999999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0.93002300000000004</v>
      </c>
      <c r="B62" s="1">
        <f>DATE(2010,5,1) + TIME(22,19,13)</f>
        <v>40299.930011574077</v>
      </c>
      <c r="C62">
        <v>80</v>
      </c>
      <c r="D62">
        <v>64.851531981999997</v>
      </c>
      <c r="E62">
        <v>50</v>
      </c>
      <c r="F62">
        <v>14.997686386</v>
      </c>
      <c r="G62">
        <v>1341.2114257999999</v>
      </c>
      <c r="H62">
        <v>1338.7419434000001</v>
      </c>
      <c r="I62">
        <v>1321.4097899999999</v>
      </c>
      <c r="J62">
        <v>1317.4550781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0.96268299999999996</v>
      </c>
      <c r="B63" s="1">
        <f>DATE(2010,5,1) + TIME(23,6,15)</f>
        <v>40299.962673611109</v>
      </c>
      <c r="C63">
        <v>80</v>
      </c>
      <c r="D63">
        <v>65.801185607999997</v>
      </c>
      <c r="E63">
        <v>50</v>
      </c>
      <c r="F63">
        <v>14.99769783</v>
      </c>
      <c r="G63">
        <v>1341.2701416</v>
      </c>
      <c r="H63">
        <v>1338.8016356999999</v>
      </c>
      <c r="I63">
        <v>1321.4090576000001</v>
      </c>
      <c r="J63">
        <v>1317.4537353999999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0.99707500000000004</v>
      </c>
      <c r="B64" s="1">
        <f>DATE(2010,5,1) + TIME(23,55,47)</f>
        <v>40299.997071759259</v>
      </c>
      <c r="C64">
        <v>80</v>
      </c>
      <c r="D64">
        <v>66.746795653999996</v>
      </c>
      <c r="E64">
        <v>50</v>
      </c>
      <c r="F64">
        <v>14.997711182</v>
      </c>
      <c r="G64">
        <v>1341.3299560999999</v>
      </c>
      <c r="H64">
        <v>1338.8615723</v>
      </c>
      <c r="I64">
        <v>1321.4086914</v>
      </c>
      <c r="J64">
        <v>1317.4528809000001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1.0146759999999999</v>
      </c>
      <c r="B65" s="1">
        <f>DATE(2010,5,2) + TIME(0,21,8)</f>
        <v>40300.014675925922</v>
      </c>
      <c r="C65">
        <v>80</v>
      </c>
      <c r="D65">
        <v>67.220481872999997</v>
      </c>
      <c r="E65">
        <v>50</v>
      </c>
      <c r="F65">
        <v>14.997716904000001</v>
      </c>
      <c r="G65">
        <v>1341.4030762</v>
      </c>
      <c r="H65">
        <v>1338.9147949000001</v>
      </c>
      <c r="I65">
        <v>1321.4085693</v>
      </c>
      <c r="J65">
        <v>1317.4523925999999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1.032278</v>
      </c>
      <c r="B66" s="1">
        <f>DATE(2010,5,2) + TIME(0,46,28)</f>
        <v>40300.032268518517</v>
      </c>
      <c r="C66">
        <v>80</v>
      </c>
      <c r="D66">
        <v>67.679672241000006</v>
      </c>
      <c r="E66">
        <v>50</v>
      </c>
      <c r="F66">
        <v>14.997723579000001</v>
      </c>
      <c r="G66">
        <v>1341.4338379000001</v>
      </c>
      <c r="H66">
        <v>1338.9470214999999</v>
      </c>
      <c r="I66">
        <v>1321.4085693</v>
      </c>
      <c r="J66">
        <v>1317.4521483999999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1.049879</v>
      </c>
      <c r="B67" s="1">
        <f>DATE(2010,5,2) + TIME(1,11,49)</f>
        <v>40300.049872685187</v>
      </c>
      <c r="C67">
        <v>80</v>
      </c>
      <c r="D67">
        <v>68.124961853000002</v>
      </c>
      <c r="E67">
        <v>50</v>
      </c>
      <c r="F67">
        <v>14.997729301</v>
      </c>
      <c r="G67">
        <v>1341.4643555</v>
      </c>
      <c r="H67">
        <v>1338.9772949000001</v>
      </c>
      <c r="I67">
        <v>1321.4085693</v>
      </c>
      <c r="J67">
        <v>1317.4519043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1.0674809999999999</v>
      </c>
      <c r="B68" s="1">
        <f>DATE(2010,5,2) + TIME(1,37,10)</f>
        <v>40300.067476851851</v>
      </c>
      <c r="C68">
        <v>80</v>
      </c>
      <c r="D68">
        <v>68.556671143000003</v>
      </c>
      <c r="E68">
        <v>50</v>
      </c>
      <c r="F68">
        <v>14.997735977</v>
      </c>
      <c r="G68">
        <v>1341.4942627</v>
      </c>
      <c r="H68">
        <v>1339.0063477000001</v>
      </c>
      <c r="I68">
        <v>1321.4086914</v>
      </c>
      <c r="J68">
        <v>1317.4517822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1.0850010000000001</v>
      </c>
      <c r="B69" s="1">
        <f>DATE(2010,5,2) + TIME(2,2,24)</f>
        <v>40300.084999999999</v>
      </c>
      <c r="C69">
        <v>80</v>
      </c>
      <c r="D69">
        <v>68.973213196000003</v>
      </c>
      <c r="E69">
        <v>50</v>
      </c>
      <c r="F69">
        <v>14.997741699000001</v>
      </c>
      <c r="G69">
        <v>1341.5236815999999</v>
      </c>
      <c r="H69">
        <v>1339.034668</v>
      </c>
      <c r="I69">
        <v>1321.4089355000001</v>
      </c>
      <c r="J69">
        <v>1317.4517822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1.102446</v>
      </c>
      <c r="B70" s="1">
        <f>DATE(2010,5,2) + TIME(2,27,31)</f>
        <v>40300.102442129632</v>
      </c>
      <c r="C70">
        <v>80</v>
      </c>
      <c r="D70">
        <v>69.375198363999999</v>
      </c>
      <c r="E70">
        <v>50</v>
      </c>
      <c r="F70">
        <v>14.997747421</v>
      </c>
      <c r="G70">
        <v>1341.5522461</v>
      </c>
      <c r="H70">
        <v>1339.0620117000001</v>
      </c>
      <c r="I70">
        <v>1321.4091797000001</v>
      </c>
      <c r="J70">
        <v>1317.4517822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1.119828</v>
      </c>
      <c r="B71" s="1">
        <f>DATE(2010,5,2) + TIME(2,52,33)</f>
        <v>40300.119826388887</v>
      </c>
      <c r="C71">
        <v>80</v>
      </c>
      <c r="D71">
        <v>69.763259887999993</v>
      </c>
      <c r="E71">
        <v>50</v>
      </c>
      <c r="F71">
        <v>14.997754097</v>
      </c>
      <c r="G71">
        <v>1341.5802002</v>
      </c>
      <c r="H71">
        <v>1339.0883789</v>
      </c>
      <c r="I71">
        <v>1321.4095459</v>
      </c>
      <c r="J71">
        <v>1317.4517822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1.1371560000000001</v>
      </c>
      <c r="B72" s="1">
        <f>DATE(2010,5,2) + TIME(3,17,30)</f>
        <v>40300.137152777781</v>
      </c>
      <c r="C72">
        <v>80</v>
      </c>
      <c r="D72">
        <v>70.137908936000002</v>
      </c>
      <c r="E72">
        <v>50</v>
      </c>
      <c r="F72">
        <v>14.997759819000001</v>
      </c>
      <c r="G72">
        <v>1341.6075439000001</v>
      </c>
      <c r="H72">
        <v>1339.1141356999999</v>
      </c>
      <c r="I72">
        <v>1321.4099120999999</v>
      </c>
      <c r="J72">
        <v>1317.4519043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1.154439</v>
      </c>
      <c r="B73" s="1">
        <f>DATE(2010,5,2) + TIME(3,42,23)</f>
        <v>40300.154432870368</v>
      </c>
      <c r="C73">
        <v>80</v>
      </c>
      <c r="D73">
        <v>70.499649047999995</v>
      </c>
      <c r="E73">
        <v>50</v>
      </c>
      <c r="F73">
        <v>14.997765541</v>
      </c>
      <c r="G73">
        <v>1341.6340332</v>
      </c>
      <c r="H73">
        <v>1339.1389160000001</v>
      </c>
      <c r="I73">
        <v>1321.4102783000001</v>
      </c>
      <c r="J73">
        <v>1317.4520264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1.1716880000000001</v>
      </c>
      <c r="B74" s="1">
        <f>DATE(2010,5,2) + TIME(4,7,13)</f>
        <v>40300.171678240738</v>
      </c>
      <c r="C74">
        <v>80</v>
      </c>
      <c r="D74">
        <v>70.849151610999996</v>
      </c>
      <c r="E74">
        <v>50</v>
      </c>
      <c r="F74">
        <v>14.997771263000001</v>
      </c>
      <c r="G74">
        <v>1341.6600341999999</v>
      </c>
      <c r="H74">
        <v>1339.1630858999999</v>
      </c>
      <c r="I74">
        <v>1321.4107666</v>
      </c>
      <c r="J74">
        <v>1317.4522704999999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1.1889110000000001</v>
      </c>
      <c r="B75" s="1">
        <f>DATE(2010,5,2) + TIME(4,32,1)</f>
        <v>40300.188900462963</v>
      </c>
      <c r="C75">
        <v>80</v>
      </c>
      <c r="D75">
        <v>71.186912536999998</v>
      </c>
      <c r="E75">
        <v>50</v>
      </c>
      <c r="F75">
        <v>14.997776985</v>
      </c>
      <c r="G75">
        <v>1341.6853027</v>
      </c>
      <c r="H75">
        <v>1339.1865233999999</v>
      </c>
      <c r="I75">
        <v>1321.4112548999999</v>
      </c>
      <c r="J75">
        <v>1317.4525146000001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1.2061170000000001</v>
      </c>
      <c r="B76" s="1">
        <f>DATE(2010,5,2) + TIME(4,56,48)</f>
        <v>40300.206111111111</v>
      </c>
      <c r="C76">
        <v>80</v>
      </c>
      <c r="D76">
        <v>71.513397217000005</v>
      </c>
      <c r="E76">
        <v>50</v>
      </c>
      <c r="F76">
        <v>14.997782707000001</v>
      </c>
      <c r="G76">
        <v>1341.7100829999999</v>
      </c>
      <c r="H76">
        <v>1339.2092285000001</v>
      </c>
      <c r="I76">
        <v>1321.4117432</v>
      </c>
      <c r="J76">
        <v>1317.4527588000001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1.2233149999999999</v>
      </c>
      <c r="B77" s="1">
        <f>DATE(2010,5,2) + TIME(5,21,34)</f>
        <v>40300.223310185182</v>
      </c>
      <c r="C77">
        <v>80</v>
      </c>
      <c r="D77">
        <v>71.829040527000004</v>
      </c>
      <c r="E77">
        <v>50</v>
      </c>
      <c r="F77">
        <v>14.997787475999999</v>
      </c>
      <c r="G77">
        <v>1341.7341309000001</v>
      </c>
      <c r="H77">
        <v>1339.2312012</v>
      </c>
      <c r="I77">
        <v>1321.4122314000001</v>
      </c>
      <c r="J77">
        <v>1317.4530029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1.2405120000000001</v>
      </c>
      <c r="B78" s="1">
        <f>DATE(2010,5,2) + TIME(5,46,20)</f>
        <v>40300.24050925926</v>
      </c>
      <c r="C78">
        <v>80</v>
      </c>
      <c r="D78">
        <v>72.134254455999994</v>
      </c>
      <c r="E78">
        <v>50</v>
      </c>
      <c r="F78">
        <v>14.997793198</v>
      </c>
      <c r="G78">
        <v>1341.7576904</v>
      </c>
      <c r="H78">
        <v>1339.2526855000001</v>
      </c>
      <c r="I78">
        <v>1321.4128418</v>
      </c>
      <c r="J78">
        <v>1317.4533690999999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1.257709</v>
      </c>
      <c r="B79" s="1">
        <f>DATE(2010,5,2) + TIME(6,11,6)</f>
        <v>40300.257708333331</v>
      </c>
      <c r="C79">
        <v>80</v>
      </c>
      <c r="D79">
        <v>72.429313660000005</v>
      </c>
      <c r="E79">
        <v>50</v>
      </c>
      <c r="F79">
        <v>14.997798919999999</v>
      </c>
      <c r="G79">
        <v>1341.7806396000001</v>
      </c>
      <c r="H79">
        <v>1339.2734375</v>
      </c>
      <c r="I79">
        <v>1321.4133300999999</v>
      </c>
      <c r="J79">
        <v>1317.4536132999999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1.2749060000000001</v>
      </c>
      <c r="B80" s="1">
        <f>DATE(2010,5,2) + TIME(6,35,51)</f>
        <v>40300.274895833332</v>
      </c>
      <c r="C80">
        <v>80</v>
      </c>
      <c r="D80">
        <v>72.714454650999997</v>
      </c>
      <c r="E80">
        <v>50</v>
      </c>
      <c r="F80">
        <v>14.997803687999999</v>
      </c>
      <c r="G80">
        <v>1341.8031006000001</v>
      </c>
      <c r="H80">
        <v>1339.2935791</v>
      </c>
      <c r="I80">
        <v>1321.4139404</v>
      </c>
      <c r="J80">
        <v>1317.4539795000001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1.292103</v>
      </c>
      <c r="B81" s="1">
        <f>DATE(2010,5,2) + TIME(7,0,37)</f>
        <v>40300.292094907411</v>
      </c>
      <c r="C81">
        <v>80</v>
      </c>
      <c r="D81">
        <v>72.989936829000001</v>
      </c>
      <c r="E81">
        <v>50</v>
      </c>
      <c r="F81">
        <v>14.99780941</v>
      </c>
      <c r="G81">
        <v>1341.8250731999999</v>
      </c>
      <c r="H81">
        <v>1339.3132324000001</v>
      </c>
      <c r="I81">
        <v>1321.4145507999999</v>
      </c>
      <c r="J81">
        <v>1317.4543457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1.3092999999999999</v>
      </c>
      <c r="B82" s="1">
        <f>DATE(2010,5,2) + TIME(7,25,23)</f>
        <v>40300.309293981481</v>
      </c>
      <c r="C82">
        <v>80</v>
      </c>
      <c r="D82">
        <v>73.256011963000006</v>
      </c>
      <c r="E82">
        <v>50</v>
      </c>
      <c r="F82">
        <v>14.997814178</v>
      </c>
      <c r="G82">
        <v>1341.8464355000001</v>
      </c>
      <c r="H82">
        <v>1339.3321533000001</v>
      </c>
      <c r="I82">
        <v>1321.4151611</v>
      </c>
      <c r="J82">
        <v>1317.4548339999999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1.326497</v>
      </c>
      <c r="B83" s="1">
        <f>DATE(2010,5,2) + TIME(7,50,9)</f>
        <v>40300.326493055552</v>
      </c>
      <c r="C83">
        <v>80</v>
      </c>
      <c r="D83">
        <v>73.512931824000006</v>
      </c>
      <c r="E83">
        <v>50</v>
      </c>
      <c r="F83">
        <v>14.997819901</v>
      </c>
      <c r="G83">
        <v>1341.8673096</v>
      </c>
      <c r="H83">
        <v>1339.3505858999999</v>
      </c>
      <c r="I83">
        <v>1321.4157714999999</v>
      </c>
      <c r="J83">
        <v>1317.4552002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1.3436939999999999</v>
      </c>
      <c r="B84" s="1">
        <f>DATE(2010,5,2) + TIME(8,14,55)</f>
        <v>40300.343692129631</v>
      </c>
      <c r="C84">
        <v>80</v>
      </c>
      <c r="D84">
        <v>73.760948181000003</v>
      </c>
      <c r="E84">
        <v>50</v>
      </c>
      <c r="F84">
        <v>14.997824669</v>
      </c>
      <c r="G84">
        <v>1341.8875731999999</v>
      </c>
      <c r="H84">
        <v>1339.3684082</v>
      </c>
      <c r="I84">
        <v>1321.4163818</v>
      </c>
      <c r="J84">
        <v>1317.4555664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1.3608910000000001</v>
      </c>
      <c r="B85" s="1">
        <f>DATE(2010,5,2) + TIME(8,39,40)</f>
        <v>40300.360879629632</v>
      </c>
      <c r="C85">
        <v>80</v>
      </c>
      <c r="D85">
        <v>74.000305175999998</v>
      </c>
      <c r="E85">
        <v>50</v>
      </c>
      <c r="F85">
        <v>14.997829437</v>
      </c>
      <c r="G85">
        <v>1341.9073486</v>
      </c>
      <c r="H85">
        <v>1339.3857422000001</v>
      </c>
      <c r="I85">
        <v>1321.4171143000001</v>
      </c>
      <c r="J85">
        <v>1317.4560547000001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1.378088</v>
      </c>
      <c r="B86" s="1">
        <f>DATE(2010,5,2) + TIME(9,4,26)</f>
        <v>40300.378078703703</v>
      </c>
      <c r="C86">
        <v>80</v>
      </c>
      <c r="D86">
        <v>74.231231688999998</v>
      </c>
      <c r="E86">
        <v>50</v>
      </c>
      <c r="F86">
        <v>14.997835158999999</v>
      </c>
      <c r="G86">
        <v>1341.9267577999999</v>
      </c>
      <c r="H86">
        <v>1339.4025879000001</v>
      </c>
      <c r="I86">
        <v>1321.4177245999999</v>
      </c>
      <c r="J86">
        <v>1317.4564209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1.412482</v>
      </c>
      <c r="B87" s="1">
        <f>DATE(2010,5,2) + TIME(9,53,58)</f>
        <v>40300.412476851852</v>
      </c>
      <c r="C87">
        <v>80</v>
      </c>
      <c r="D87">
        <v>74.659492493000002</v>
      </c>
      <c r="E87">
        <v>50</v>
      </c>
      <c r="F87">
        <v>14.997844696</v>
      </c>
      <c r="G87">
        <v>1341.9398193</v>
      </c>
      <c r="H87">
        <v>1339.4219971</v>
      </c>
      <c r="I87">
        <v>1321.4189452999999</v>
      </c>
      <c r="J87">
        <v>1317.4573975000001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1.447001</v>
      </c>
      <c r="B88" s="1">
        <f>DATE(2010,5,2) + TIME(10,43,40)</f>
        <v>40300.44699074074</v>
      </c>
      <c r="C88">
        <v>80</v>
      </c>
      <c r="D88">
        <v>75.059730529999996</v>
      </c>
      <c r="E88">
        <v>50</v>
      </c>
      <c r="F88">
        <v>14.997854233</v>
      </c>
      <c r="G88">
        <v>1341.9759521000001</v>
      </c>
      <c r="H88">
        <v>1339.4511719</v>
      </c>
      <c r="I88">
        <v>1321.4202881000001</v>
      </c>
      <c r="J88">
        <v>1317.4582519999999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1.4818720000000001</v>
      </c>
      <c r="B89" s="1">
        <f>DATE(2010,5,2) + TIME(11,33,53)</f>
        <v>40300.481863425928</v>
      </c>
      <c r="C89">
        <v>80</v>
      </c>
      <c r="D89">
        <v>75.435241699000002</v>
      </c>
      <c r="E89">
        <v>50</v>
      </c>
      <c r="F89">
        <v>14.99786377</v>
      </c>
      <c r="G89">
        <v>1342.0098877</v>
      </c>
      <c r="H89">
        <v>1339.479126</v>
      </c>
      <c r="I89">
        <v>1321.4216309000001</v>
      </c>
      <c r="J89">
        <v>1317.4592285000001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1.517155</v>
      </c>
      <c r="B90" s="1">
        <f>DATE(2010,5,2) + TIME(12,24,42)</f>
        <v>40300.517152777778</v>
      </c>
      <c r="C90">
        <v>80</v>
      </c>
      <c r="D90">
        <v>75.787689209000007</v>
      </c>
      <c r="E90">
        <v>50</v>
      </c>
      <c r="F90">
        <v>14.997872353</v>
      </c>
      <c r="G90">
        <v>1342.0424805</v>
      </c>
      <c r="H90">
        <v>1339.5057373</v>
      </c>
      <c r="I90">
        <v>1321.4228516000001</v>
      </c>
      <c r="J90">
        <v>1317.4602050999999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1.5529090000000001</v>
      </c>
      <c r="B91" s="1">
        <f>DATE(2010,5,2) + TIME(13,16,11)</f>
        <v>40300.552905092591</v>
      </c>
      <c r="C91">
        <v>80</v>
      </c>
      <c r="D91">
        <v>76.118362426999994</v>
      </c>
      <c r="E91">
        <v>50</v>
      </c>
      <c r="F91">
        <v>14.997881889</v>
      </c>
      <c r="G91">
        <v>1342.0734863</v>
      </c>
      <c r="H91">
        <v>1339.5310059000001</v>
      </c>
      <c r="I91">
        <v>1321.4241943</v>
      </c>
      <c r="J91">
        <v>1317.4610596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1.5891919999999999</v>
      </c>
      <c r="B92" s="1">
        <f>DATE(2010,5,2) + TIME(14,8,26)</f>
        <v>40300.589189814818</v>
      </c>
      <c r="C92">
        <v>80</v>
      </c>
      <c r="D92">
        <v>76.428451538000004</v>
      </c>
      <c r="E92">
        <v>50</v>
      </c>
      <c r="F92">
        <v>14.997890472</v>
      </c>
      <c r="G92">
        <v>1342.1031493999999</v>
      </c>
      <c r="H92">
        <v>1339.5546875</v>
      </c>
      <c r="I92">
        <v>1321.4254149999999</v>
      </c>
      <c r="J92">
        <v>1317.4620361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1.6260669999999999</v>
      </c>
      <c r="B93" s="1">
        <f>DATE(2010,5,2) + TIME(15,1,32)</f>
        <v>40300.626064814816</v>
      </c>
      <c r="C93">
        <v>80</v>
      </c>
      <c r="D93">
        <v>76.719078064000001</v>
      </c>
      <c r="E93">
        <v>50</v>
      </c>
      <c r="F93">
        <v>14.997900009</v>
      </c>
      <c r="G93">
        <v>1342.1314697</v>
      </c>
      <c r="H93">
        <v>1339.5770264</v>
      </c>
      <c r="I93">
        <v>1321.4267577999999</v>
      </c>
      <c r="J93">
        <v>1317.4630127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1.6635949999999999</v>
      </c>
      <c r="B94" s="1">
        <f>DATE(2010,5,2) + TIME(15,55,34)</f>
        <v>40300.663587962961</v>
      </c>
      <c r="C94">
        <v>80</v>
      </c>
      <c r="D94">
        <v>76.991256714000002</v>
      </c>
      <c r="E94">
        <v>50</v>
      </c>
      <c r="F94">
        <v>14.997908592</v>
      </c>
      <c r="G94">
        <v>1342.1584473</v>
      </c>
      <c r="H94">
        <v>1339.5980225000001</v>
      </c>
      <c r="I94">
        <v>1321.4279785000001</v>
      </c>
      <c r="J94">
        <v>1317.4639893000001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1.7018470000000001</v>
      </c>
      <c r="B95" s="1">
        <f>DATE(2010,5,2) + TIME(16,50,39)</f>
        <v>40300.701840277776</v>
      </c>
      <c r="C95">
        <v>80</v>
      </c>
      <c r="D95">
        <v>77.245941161999994</v>
      </c>
      <c r="E95">
        <v>50</v>
      </c>
      <c r="F95">
        <v>14.997918129</v>
      </c>
      <c r="G95">
        <v>1342.184082</v>
      </c>
      <c r="H95">
        <v>1339.6177978999999</v>
      </c>
      <c r="I95">
        <v>1321.4293213000001</v>
      </c>
      <c r="J95">
        <v>1317.4649658000001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1.7409079999999999</v>
      </c>
      <c r="B96" s="1">
        <f>DATE(2010,5,2) + TIME(17,46,54)</f>
        <v>40300.740902777776</v>
      </c>
      <c r="C96">
        <v>80</v>
      </c>
      <c r="D96">
        <v>77.484123229999994</v>
      </c>
      <c r="E96">
        <v>50</v>
      </c>
      <c r="F96">
        <v>14.997926712</v>
      </c>
      <c r="G96">
        <v>1342.2086182</v>
      </c>
      <c r="H96">
        <v>1339.6362305</v>
      </c>
      <c r="I96">
        <v>1321.4305420000001</v>
      </c>
      <c r="J96">
        <v>1317.4658202999999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1.780845</v>
      </c>
      <c r="B97" s="1">
        <f>DATE(2010,5,2) + TIME(18,44,25)</f>
        <v>40300.780844907407</v>
      </c>
      <c r="C97">
        <v>80</v>
      </c>
      <c r="D97">
        <v>77.706550598000007</v>
      </c>
      <c r="E97">
        <v>50</v>
      </c>
      <c r="F97">
        <v>14.997935295</v>
      </c>
      <c r="G97">
        <v>1342.2319336</v>
      </c>
      <c r="H97">
        <v>1339.6534423999999</v>
      </c>
      <c r="I97">
        <v>1321.4318848</v>
      </c>
      <c r="J97">
        <v>1317.4667969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1.8217399999999999</v>
      </c>
      <c r="B98" s="1">
        <f>DATE(2010,5,2) + TIME(19,43,18)</f>
        <v>40300.821736111109</v>
      </c>
      <c r="C98">
        <v>80</v>
      </c>
      <c r="D98">
        <v>77.914009093999994</v>
      </c>
      <c r="E98">
        <v>50</v>
      </c>
      <c r="F98">
        <v>14.997944832</v>
      </c>
      <c r="G98">
        <v>1342.2540283000001</v>
      </c>
      <c r="H98">
        <v>1339.6694336</v>
      </c>
      <c r="I98">
        <v>1321.4331055</v>
      </c>
      <c r="J98">
        <v>1317.4676514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1.863685</v>
      </c>
      <c r="B99" s="1">
        <f>DATE(2010,5,2) + TIME(20,43,42)</f>
        <v>40300.863680555558</v>
      </c>
      <c r="C99">
        <v>80</v>
      </c>
      <c r="D99">
        <v>78.107246399000005</v>
      </c>
      <c r="E99">
        <v>50</v>
      </c>
      <c r="F99">
        <v>14.997953415</v>
      </c>
      <c r="G99">
        <v>1342.2750243999999</v>
      </c>
      <c r="H99">
        <v>1339.6842041</v>
      </c>
      <c r="I99">
        <v>1321.4343262</v>
      </c>
      <c r="J99">
        <v>1317.4686279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1.9067799999999999</v>
      </c>
      <c r="B100" s="1">
        <f>DATE(2010,5,2) + TIME(21,45,45)</f>
        <v>40300.906770833331</v>
      </c>
      <c r="C100">
        <v>80</v>
      </c>
      <c r="D100">
        <v>78.286964416999993</v>
      </c>
      <c r="E100">
        <v>50</v>
      </c>
      <c r="F100">
        <v>14.997961997999999</v>
      </c>
      <c r="G100">
        <v>1342.2947998</v>
      </c>
      <c r="H100">
        <v>1339.697876</v>
      </c>
      <c r="I100">
        <v>1321.4354248</v>
      </c>
      <c r="J100">
        <v>1317.4694824000001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1.9511339999999999</v>
      </c>
      <c r="B101" s="1">
        <f>DATE(2010,5,2) + TIME(22,49,38)</f>
        <v>40300.95113425926</v>
      </c>
      <c r="C101">
        <v>80</v>
      </c>
      <c r="D101">
        <v>78.453834533999995</v>
      </c>
      <c r="E101">
        <v>50</v>
      </c>
      <c r="F101">
        <v>14.997970581000001</v>
      </c>
      <c r="G101">
        <v>1342.3134766000001</v>
      </c>
      <c r="H101">
        <v>1339.7104492000001</v>
      </c>
      <c r="I101">
        <v>1321.4366454999999</v>
      </c>
      <c r="J101">
        <v>1317.4703368999999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1.9968699999999999</v>
      </c>
      <c r="B102" s="1">
        <f>DATE(2010,5,2) + TIME(23,55,29)</f>
        <v>40300.996863425928</v>
      </c>
      <c r="C102">
        <v>80</v>
      </c>
      <c r="D102">
        <v>78.608489989999995</v>
      </c>
      <c r="E102">
        <v>50</v>
      </c>
      <c r="F102">
        <v>14.997980117999999</v>
      </c>
      <c r="G102">
        <v>1342.3310547000001</v>
      </c>
      <c r="H102">
        <v>1339.7218018000001</v>
      </c>
      <c r="I102">
        <v>1321.4378661999999</v>
      </c>
      <c r="J102">
        <v>1317.4711914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2.0441210000000001</v>
      </c>
      <c r="B103" s="1">
        <f>DATE(2010,5,3) + TIME(1,3,32)</f>
        <v>40301.044120370374</v>
      </c>
      <c r="C103">
        <v>80</v>
      </c>
      <c r="D103">
        <v>78.751533507999994</v>
      </c>
      <c r="E103">
        <v>50</v>
      </c>
      <c r="F103">
        <v>14.997988701000001</v>
      </c>
      <c r="G103">
        <v>1342.3476562000001</v>
      </c>
      <c r="H103">
        <v>1339.7320557</v>
      </c>
      <c r="I103">
        <v>1321.4389647999999</v>
      </c>
      <c r="J103">
        <v>1317.4720459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2.0928260000000001</v>
      </c>
      <c r="B104" s="1">
        <f>DATE(2010,5,3) + TIME(2,13,40)</f>
        <v>40301.092824074076</v>
      </c>
      <c r="C104">
        <v>80</v>
      </c>
      <c r="D104">
        <v>78.883033752000003</v>
      </c>
      <c r="E104">
        <v>50</v>
      </c>
      <c r="F104">
        <v>14.997998237999999</v>
      </c>
      <c r="G104">
        <v>1342.3630370999999</v>
      </c>
      <c r="H104">
        <v>1339.7412108999999</v>
      </c>
      <c r="I104">
        <v>1321.4400635</v>
      </c>
      <c r="J104">
        <v>1317.4727783000001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2.142973</v>
      </c>
      <c r="B105" s="1">
        <f>DATE(2010,5,3) + TIME(3,25,52)</f>
        <v>40301.142962962964</v>
      </c>
      <c r="C105">
        <v>80</v>
      </c>
      <c r="D105">
        <v>79.003326415999993</v>
      </c>
      <c r="E105">
        <v>50</v>
      </c>
      <c r="F105">
        <v>14.998006821000001</v>
      </c>
      <c r="G105">
        <v>1342.3773193</v>
      </c>
      <c r="H105">
        <v>1339.7492675999999</v>
      </c>
      <c r="I105">
        <v>1321.4411620999999</v>
      </c>
      <c r="J105">
        <v>1317.4736327999999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2.1947019999999999</v>
      </c>
      <c r="B106" s="1">
        <f>DATE(2010,5,3) + TIME(4,40,22)</f>
        <v>40301.194699074076</v>
      </c>
      <c r="C106">
        <v>80</v>
      </c>
      <c r="D106">
        <v>79.113121032999999</v>
      </c>
      <c r="E106">
        <v>50</v>
      </c>
      <c r="F106">
        <v>14.998016356999999</v>
      </c>
      <c r="G106">
        <v>1342.3903809000001</v>
      </c>
      <c r="H106">
        <v>1339.7561035000001</v>
      </c>
      <c r="I106">
        <v>1321.4422606999999</v>
      </c>
      <c r="J106">
        <v>1317.4743652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2.2481520000000002</v>
      </c>
      <c r="B107" s="1">
        <f>DATE(2010,5,3) + TIME(5,57,20)</f>
        <v>40301.248148148145</v>
      </c>
      <c r="C107">
        <v>80</v>
      </c>
      <c r="D107">
        <v>79.213073730000005</v>
      </c>
      <c r="E107">
        <v>50</v>
      </c>
      <c r="F107">
        <v>14.998024940000001</v>
      </c>
      <c r="G107">
        <v>1342.4023437999999</v>
      </c>
      <c r="H107">
        <v>1339.7619629000001</v>
      </c>
      <c r="I107">
        <v>1321.4432373</v>
      </c>
      <c r="J107">
        <v>1317.4750977000001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2.3033769999999998</v>
      </c>
      <c r="B108" s="1">
        <f>DATE(2010,5,3) + TIME(7,16,51)</f>
        <v>40301.303368055553</v>
      </c>
      <c r="C108">
        <v>80</v>
      </c>
      <c r="D108">
        <v>79.303657532000003</v>
      </c>
      <c r="E108">
        <v>50</v>
      </c>
      <c r="F108">
        <v>14.998034476999999</v>
      </c>
      <c r="G108">
        <v>1342.4130858999999</v>
      </c>
      <c r="H108">
        <v>1339.7666016000001</v>
      </c>
      <c r="I108">
        <v>1321.4442139</v>
      </c>
      <c r="J108">
        <v>1317.4758300999999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2.3605550000000002</v>
      </c>
      <c r="B109" s="1">
        <f>DATE(2010,5,3) + TIME(8,39,11)</f>
        <v>40301.360543981478</v>
      </c>
      <c r="C109">
        <v>80</v>
      </c>
      <c r="D109">
        <v>79.385520935000002</v>
      </c>
      <c r="E109">
        <v>50</v>
      </c>
      <c r="F109">
        <v>14.998043060000001</v>
      </c>
      <c r="G109">
        <v>1342.4227295000001</v>
      </c>
      <c r="H109">
        <v>1339.7701416</v>
      </c>
      <c r="I109">
        <v>1321.4451904</v>
      </c>
      <c r="J109">
        <v>1317.4765625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2.4196819999999999</v>
      </c>
      <c r="B110" s="1">
        <f>DATE(2010,5,3) + TIME(10,4,20)</f>
        <v>40301.419675925928</v>
      </c>
      <c r="C110">
        <v>80</v>
      </c>
      <c r="D110">
        <v>79.459060668999996</v>
      </c>
      <c r="E110">
        <v>50</v>
      </c>
      <c r="F110">
        <v>14.998052596999999</v>
      </c>
      <c r="G110">
        <v>1342.4311522999999</v>
      </c>
      <c r="H110">
        <v>1339.7725829999999</v>
      </c>
      <c r="I110">
        <v>1321.4461670000001</v>
      </c>
      <c r="J110">
        <v>1317.4771728999999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2.4499070000000001</v>
      </c>
      <c r="B111" s="1">
        <f>DATE(2010,5,3) + TIME(10,47,51)</f>
        <v>40301.449895833335</v>
      </c>
      <c r="C111">
        <v>80</v>
      </c>
      <c r="D111">
        <v>79.494041443</v>
      </c>
      <c r="E111">
        <v>50</v>
      </c>
      <c r="F111">
        <v>14.998057364999999</v>
      </c>
      <c r="G111">
        <v>1342.440918</v>
      </c>
      <c r="H111">
        <v>1339.7733154</v>
      </c>
      <c r="I111">
        <v>1321.4466553</v>
      </c>
      <c r="J111">
        <v>1317.4775391000001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2.4801319999999998</v>
      </c>
      <c r="B112" s="1">
        <f>DATE(2010,5,3) + TIME(11,31,23)</f>
        <v>40301.480127314811</v>
      </c>
      <c r="C112">
        <v>80</v>
      </c>
      <c r="D112">
        <v>79.526481627999999</v>
      </c>
      <c r="E112">
        <v>50</v>
      </c>
      <c r="F112">
        <v>14.998062134</v>
      </c>
      <c r="G112">
        <v>1342.4437256000001</v>
      </c>
      <c r="H112">
        <v>1339.7739257999999</v>
      </c>
      <c r="I112">
        <v>1321.4471435999999</v>
      </c>
      <c r="J112">
        <v>1317.4779053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2.5103569999999999</v>
      </c>
      <c r="B113" s="1">
        <f>DATE(2010,5,3) + TIME(12,14,54)</f>
        <v>40301.510347222225</v>
      </c>
      <c r="C113">
        <v>80</v>
      </c>
      <c r="D113">
        <v>79.556579589999998</v>
      </c>
      <c r="E113">
        <v>50</v>
      </c>
      <c r="F113">
        <v>14.998066902</v>
      </c>
      <c r="G113">
        <v>1342.4466553</v>
      </c>
      <c r="H113">
        <v>1339.7742920000001</v>
      </c>
      <c r="I113">
        <v>1321.4476318</v>
      </c>
      <c r="J113">
        <v>1317.4781493999999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2.5405820000000001</v>
      </c>
      <c r="B114" s="1">
        <f>DATE(2010,5,3) + TIME(12,58,26)</f>
        <v>40301.540578703702</v>
      </c>
      <c r="C114">
        <v>80</v>
      </c>
      <c r="D114">
        <v>79.584503174000005</v>
      </c>
      <c r="E114">
        <v>50</v>
      </c>
      <c r="F114">
        <v>14.998070716999999</v>
      </c>
      <c r="G114">
        <v>1342.4493408000001</v>
      </c>
      <c r="H114">
        <v>1339.7742920000001</v>
      </c>
      <c r="I114">
        <v>1321.4479980000001</v>
      </c>
      <c r="J114">
        <v>1317.4785156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2.6010330000000002</v>
      </c>
      <c r="B115" s="1">
        <f>DATE(2010,5,3) + TIME(14,25,29)</f>
        <v>40301.601030092592</v>
      </c>
      <c r="C115">
        <v>80</v>
      </c>
      <c r="D115">
        <v>79.632728576999995</v>
      </c>
      <c r="E115">
        <v>50</v>
      </c>
      <c r="F115">
        <v>14.998079300000001</v>
      </c>
      <c r="G115">
        <v>1342.4499512</v>
      </c>
      <c r="H115">
        <v>1339.7742920000001</v>
      </c>
      <c r="I115">
        <v>1321.4488524999999</v>
      </c>
      <c r="J115">
        <v>1317.4790039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2.6615250000000001</v>
      </c>
      <c r="B116" s="1">
        <f>DATE(2010,5,3) + TIME(15,52,35)</f>
        <v>40301.661516203705</v>
      </c>
      <c r="C116">
        <v>80</v>
      </c>
      <c r="D116">
        <v>79.674484253000003</v>
      </c>
      <c r="E116">
        <v>50</v>
      </c>
      <c r="F116">
        <v>14.998087883</v>
      </c>
      <c r="G116">
        <v>1342.4539795000001</v>
      </c>
      <c r="H116">
        <v>1339.7725829999999</v>
      </c>
      <c r="I116">
        <v>1321.4495850000001</v>
      </c>
      <c r="J116">
        <v>1317.4794922000001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2.7222439999999999</v>
      </c>
      <c r="B117" s="1">
        <f>DATE(2010,5,3) + TIME(17,20,1)</f>
        <v>40301.722233796296</v>
      </c>
      <c r="C117">
        <v>80</v>
      </c>
      <c r="D117">
        <v>79.710731506000002</v>
      </c>
      <c r="E117">
        <v>50</v>
      </c>
      <c r="F117">
        <v>14.998096466</v>
      </c>
      <c r="G117">
        <v>1342.4566649999999</v>
      </c>
      <c r="H117">
        <v>1339.7701416</v>
      </c>
      <c r="I117">
        <v>1321.4501952999999</v>
      </c>
      <c r="J117">
        <v>1317.4799805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2.783309</v>
      </c>
      <c r="B118" s="1">
        <f>DATE(2010,5,3) + TIME(18,47,57)</f>
        <v>40301.78329861111</v>
      </c>
      <c r="C118">
        <v>80</v>
      </c>
      <c r="D118">
        <v>79.742218018000003</v>
      </c>
      <c r="E118">
        <v>50</v>
      </c>
      <c r="F118">
        <v>14.998104095</v>
      </c>
      <c r="G118">
        <v>1342.458374</v>
      </c>
      <c r="H118">
        <v>1339.7670897999999</v>
      </c>
      <c r="I118">
        <v>1321.4509277</v>
      </c>
      <c r="J118">
        <v>1317.4804687999999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2.844681</v>
      </c>
      <c r="B119" s="1">
        <f>DATE(2010,5,3) + TIME(20,16,20)</f>
        <v>40301.844675925924</v>
      </c>
      <c r="C119">
        <v>80</v>
      </c>
      <c r="D119">
        <v>79.769538878999995</v>
      </c>
      <c r="E119">
        <v>50</v>
      </c>
      <c r="F119">
        <v>14.998112679</v>
      </c>
      <c r="G119">
        <v>1342.4592285000001</v>
      </c>
      <c r="H119">
        <v>1339.7633057</v>
      </c>
      <c r="I119">
        <v>1321.4515381000001</v>
      </c>
      <c r="J119">
        <v>1317.4808350000001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2.9063880000000002</v>
      </c>
      <c r="B120" s="1">
        <f>DATE(2010,5,3) + TIME(21,45,11)</f>
        <v>40301.906377314815</v>
      </c>
      <c r="C120">
        <v>80</v>
      </c>
      <c r="D120">
        <v>79.793243407999995</v>
      </c>
      <c r="E120">
        <v>50</v>
      </c>
      <c r="F120">
        <v>14.998120308000001</v>
      </c>
      <c r="G120">
        <v>1342.4592285000001</v>
      </c>
      <c r="H120">
        <v>1339.7590332</v>
      </c>
      <c r="I120">
        <v>1321.4521483999999</v>
      </c>
      <c r="J120">
        <v>1317.4812012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2.9685320000000002</v>
      </c>
      <c r="B121" s="1">
        <f>DATE(2010,5,3) + TIME(23,14,41)</f>
        <v>40301.968530092592</v>
      </c>
      <c r="C121">
        <v>80</v>
      </c>
      <c r="D121">
        <v>79.813819885000001</v>
      </c>
      <c r="E121">
        <v>50</v>
      </c>
      <c r="F121">
        <v>14.998127937</v>
      </c>
      <c r="G121">
        <v>1342.4584961</v>
      </c>
      <c r="H121">
        <v>1339.7542725000001</v>
      </c>
      <c r="I121">
        <v>1321.4526367000001</v>
      </c>
      <c r="J121">
        <v>1317.4815673999999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3.0312049999999999</v>
      </c>
      <c r="B122" s="1">
        <f>DATE(2010,5,4) + TIME(0,44,56)</f>
        <v>40302.0312037037</v>
      </c>
      <c r="C122">
        <v>80</v>
      </c>
      <c r="D122">
        <v>79.831680297999995</v>
      </c>
      <c r="E122">
        <v>50</v>
      </c>
      <c r="F122">
        <v>14.998135567</v>
      </c>
      <c r="G122">
        <v>1342.4570312000001</v>
      </c>
      <c r="H122">
        <v>1339.7489014</v>
      </c>
      <c r="I122">
        <v>1321.4532471</v>
      </c>
      <c r="J122">
        <v>1317.4819336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3.0944989999999999</v>
      </c>
      <c r="B123" s="1">
        <f>DATE(2010,5,4) + TIME(2,16,4)</f>
        <v>40302.094490740739</v>
      </c>
      <c r="C123">
        <v>80</v>
      </c>
      <c r="D123">
        <v>79.847206115999995</v>
      </c>
      <c r="E123">
        <v>50</v>
      </c>
      <c r="F123">
        <v>14.998143195999999</v>
      </c>
      <c r="G123">
        <v>1342.4549560999999</v>
      </c>
      <c r="H123">
        <v>1339.7430420000001</v>
      </c>
      <c r="I123">
        <v>1321.4537353999999</v>
      </c>
      <c r="J123">
        <v>1317.4822998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3.1585079999999999</v>
      </c>
      <c r="B124" s="1">
        <f>DATE(2010,5,4) + TIME(3,48,15)</f>
        <v>40302.158506944441</v>
      </c>
      <c r="C124">
        <v>80</v>
      </c>
      <c r="D124">
        <v>79.860694885000001</v>
      </c>
      <c r="E124">
        <v>50</v>
      </c>
      <c r="F124">
        <v>14.998149872000001</v>
      </c>
      <c r="G124">
        <v>1342.4522704999999</v>
      </c>
      <c r="H124">
        <v>1339.7368164</v>
      </c>
      <c r="I124">
        <v>1321.4542236</v>
      </c>
      <c r="J124">
        <v>1317.4825439000001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3.2233309999999999</v>
      </c>
      <c r="B125" s="1">
        <f>DATE(2010,5,4) + TIME(5,21,35)</f>
        <v>40302.223321759258</v>
      </c>
      <c r="C125">
        <v>80</v>
      </c>
      <c r="D125">
        <v>79.872406006000006</v>
      </c>
      <c r="E125">
        <v>50</v>
      </c>
      <c r="F125">
        <v>14.998157501</v>
      </c>
      <c r="G125">
        <v>1342.4489745999999</v>
      </c>
      <c r="H125">
        <v>1339.7301024999999</v>
      </c>
      <c r="I125">
        <v>1321.4547118999999</v>
      </c>
      <c r="J125">
        <v>1317.4829102000001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3.289066</v>
      </c>
      <c r="B126" s="1">
        <f>DATE(2010,5,4) + TIME(6,56,15)</f>
        <v>40302.2890625</v>
      </c>
      <c r="C126">
        <v>80</v>
      </c>
      <c r="D126">
        <v>79.882591247999997</v>
      </c>
      <c r="E126">
        <v>50</v>
      </c>
      <c r="F126">
        <v>14.998165131</v>
      </c>
      <c r="G126">
        <v>1342.4453125</v>
      </c>
      <c r="H126">
        <v>1339.7231445</v>
      </c>
      <c r="I126">
        <v>1321.4552002</v>
      </c>
      <c r="J126">
        <v>1317.4831543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3.355817</v>
      </c>
      <c r="B127" s="1">
        <f>DATE(2010,5,4) + TIME(8,32,22)</f>
        <v>40302.355810185189</v>
      </c>
      <c r="C127">
        <v>80</v>
      </c>
      <c r="D127">
        <v>79.891433715999995</v>
      </c>
      <c r="E127">
        <v>50</v>
      </c>
      <c r="F127">
        <v>14.998171806</v>
      </c>
      <c r="G127">
        <v>1342.4410399999999</v>
      </c>
      <c r="H127">
        <v>1339.7158202999999</v>
      </c>
      <c r="I127">
        <v>1321.4555664</v>
      </c>
      <c r="J127">
        <v>1317.4833983999999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3.4236939999999998</v>
      </c>
      <c r="B128" s="1">
        <f>DATE(2010,5,4) + TIME(10,10,7)</f>
        <v>40302.423692129632</v>
      </c>
      <c r="C128">
        <v>80</v>
      </c>
      <c r="D128">
        <v>79.899108886999997</v>
      </c>
      <c r="E128">
        <v>50</v>
      </c>
      <c r="F128">
        <v>14.998179435999999</v>
      </c>
      <c r="G128">
        <v>1342.4362793</v>
      </c>
      <c r="H128">
        <v>1339.7081298999999</v>
      </c>
      <c r="I128">
        <v>1321.4560547000001</v>
      </c>
      <c r="J128">
        <v>1317.4836425999999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3.492823</v>
      </c>
      <c r="B129" s="1">
        <f>DATE(2010,5,4) + TIME(11,49,39)</f>
        <v>40302.492812500001</v>
      </c>
      <c r="C129">
        <v>80</v>
      </c>
      <c r="D129">
        <v>79.905776978000006</v>
      </c>
      <c r="E129">
        <v>50</v>
      </c>
      <c r="F129">
        <v>14.998186111000001</v>
      </c>
      <c r="G129">
        <v>1342.4310303</v>
      </c>
      <c r="H129">
        <v>1339.7000731999999</v>
      </c>
      <c r="I129">
        <v>1321.4564209</v>
      </c>
      <c r="J129">
        <v>1317.4838867000001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3.563339</v>
      </c>
      <c r="B130" s="1">
        <f>DATE(2010,5,4) + TIME(13,31,12)</f>
        <v>40302.563333333332</v>
      </c>
      <c r="C130">
        <v>80</v>
      </c>
      <c r="D130">
        <v>79.911560058999996</v>
      </c>
      <c r="E130">
        <v>50</v>
      </c>
      <c r="F130">
        <v>14.998193741</v>
      </c>
      <c r="G130">
        <v>1342.4254149999999</v>
      </c>
      <c r="H130">
        <v>1339.6917725000001</v>
      </c>
      <c r="I130">
        <v>1321.4569091999999</v>
      </c>
      <c r="J130">
        <v>1317.4841309000001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3.6353589999999998</v>
      </c>
      <c r="B131" s="1">
        <f>DATE(2010,5,4) + TIME(15,14,54)</f>
        <v>40302.635347222225</v>
      </c>
      <c r="C131">
        <v>80</v>
      </c>
      <c r="D131">
        <v>79.916580199999999</v>
      </c>
      <c r="E131">
        <v>50</v>
      </c>
      <c r="F131">
        <v>14.998200417</v>
      </c>
      <c r="G131">
        <v>1342.4193115</v>
      </c>
      <c r="H131">
        <v>1339.6831055</v>
      </c>
      <c r="I131">
        <v>1321.4572754000001</v>
      </c>
      <c r="J131">
        <v>1317.484375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3.709025</v>
      </c>
      <c r="B132" s="1">
        <f>DATE(2010,5,4) + TIME(17,0,59)</f>
        <v>40302.709016203706</v>
      </c>
      <c r="C132">
        <v>80</v>
      </c>
      <c r="D132">
        <v>79.920928954999994</v>
      </c>
      <c r="E132">
        <v>50</v>
      </c>
      <c r="F132">
        <v>14.998208046</v>
      </c>
      <c r="G132">
        <v>1342.4128418</v>
      </c>
      <c r="H132">
        <v>1339.6740723</v>
      </c>
      <c r="I132">
        <v>1321.4576416</v>
      </c>
      <c r="J132">
        <v>1317.4846190999999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3.7844959999999999</v>
      </c>
      <c r="B133" s="1">
        <f>DATE(2010,5,4) + TIME(18,49,40)</f>
        <v>40302.784490740742</v>
      </c>
      <c r="C133">
        <v>80</v>
      </c>
      <c r="D133">
        <v>79.924697875999996</v>
      </c>
      <c r="E133">
        <v>50</v>
      </c>
      <c r="F133">
        <v>14.998214722</v>
      </c>
      <c r="G133">
        <v>1342.4058838000001</v>
      </c>
      <c r="H133">
        <v>1339.6647949000001</v>
      </c>
      <c r="I133">
        <v>1321.4580077999999</v>
      </c>
      <c r="J133">
        <v>1317.4848632999999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3.8619439999999998</v>
      </c>
      <c r="B134" s="1">
        <f>DATE(2010,5,4) + TIME(20,41,11)</f>
        <v>40302.861932870372</v>
      </c>
      <c r="C134">
        <v>80</v>
      </c>
      <c r="D134">
        <v>79.927963257000002</v>
      </c>
      <c r="E134">
        <v>50</v>
      </c>
      <c r="F134">
        <v>14.998222351000001</v>
      </c>
      <c r="G134">
        <v>1342.3984375</v>
      </c>
      <c r="H134">
        <v>1339.6551514</v>
      </c>
      <c r="I134">
        <v>1321.458374</v>
      </c>
      <c r="J134">
        <v>1317.4849853999999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3.9415589999999998</v>
      </c>
      <c r="B135" s="1">
        <f>DATE(2010,5,4) + TIME(22,35,50)</f>
        <v>40302.941550925927</v>
      </c>
      <c r="C135">
        <v>80</v>
      </c>
      <c r="D135">
        <v>79.930786132999998</v>
      </c>
      <c r="E135">
        <v>50</v>
      </c>
      <c r="F135">
        <v>14.998229027000001</v>
      </c>
      <c r="G135">
        <v>1342.3907471</v>
      </c>
      <c r="H135">
        <v>1339.6452637</v>
      </c>
      <c r="I135">
        <v>1321.4587402</v>
      </c>
      <c r="J135">
        <v>1317.4852295000001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4.0233879999999997</v>
      </c>
      <c r="B136" s="1">
        <f>DATE(2010,5,5) + TIME(0,33,40)</f>
        <v>40303.023379629631</v>
      </c>
      <c r="C136">
        <v>80</v>
      </c>
      <c r="D136">
        <v>79.933219910000005</v>
      </c>
      <c r="E136">
        <v>50</v>
      </c>
      <c r="F136">
        <v>14.998236656</v>
      </c>
      <c r="G136">
        <v>1342.3812256000001</v>
      </c>
      <c r="H136">
        <v>1339.6340332</v>
      </c>
      <c r="I136">
        <v>1321.4591064000001</v>
      </c>
      <c r="J136">
        <v>1317.4854736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4.1075379999999999</v>
      </c>
      <c r="B137" s="1">
        <f>DATE(2010,5,5) + TIME(2,34,51)</f>
        <v>40303.107534722221</v>
      </c>
      <c r="C137">
        <v>80</v>
      </c>
      <c r="D137">
        <v>79.935325622999997</v>
      </c>
      <c r="E137">
        <v>50</v>
      </c>
      <c r="F137">
        <v>14.998244286</v>
      </c>
      <c r="G137">
        <v>1342.3713379000001</v>
      </c>
      <c r="H137">
        <v>1339.6224365</v>
      </c>
      <c r="I137">
        <v>1321.4594727000001</v>
      </c>
      <c r="J137">
        <v>1317.4855957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4.1934290000000001</v>
      </c>
      <c r="B138" s="1">
        <f>DATE(2010,5,5) + TIME(4,38,32)</f>
        <v>40303.193425925929</v>
      </c>
      <c r="C138">
        <v>80</v>
      </c>
      <c r="D138">
        <v>79.937118530000006</v>
      </c>
      <c r="E138">
        <v>50</v>
      </c>
      <c r="F138">
        <v>14.998250961</v>
      </c>
      <c r="G138">
        <v>1342.3610839999999</v>
      </c>
      <c r="H138">
        <v>1339.6104736</v>
      </c>
      <c r="I138">
        <v>1321.4597168</v>
      </c>
      <c r="J138">
        <v>1317.4858397999999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4.2812039999999998</v>
      </c>
      <c r="B139" s="1">
        <f>DATE(2010,5,5) + TIME(6,44,56)</f>
        <v>40303.2812037037</v>
      </c>
      <c r="C139">
        <v>80</v>
      </c>
      <c r="D139">
        <v>79.938659668</v>
      </c>
      <c r="E139">
        <v>50</v>
      </c>
      <c r="F139">
        <v>14.998258591000001</v>
      </c>
      <c r="G139">
        <v>1342.3505858999999</v>
      </c>
      <c r="H139">
        <v>1339.5985106999999</v>
      </c>
      <c r="I139">
        <v>1321.4600829999999</v>
      </c>
      <c r="J139">
        <v>1317.4860839999999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4.3710420000000001</v>
      </c>
      <c r="B140" s="1">
        <f>DATE(2010,5,5) + TIME(8,54,18)</f>
        <v>40303.371041666665</v>
      </c>
      <c r="C140">
        <v>80</v>
      </c>
      <c r="D140">
        <v>79.939987183</v>
      </c>
      <c r="E140">
        <v>50</v>
      </c>
      <c r="F140">
        <v>14.99826622</v>
      </c>
      <c r="G140">
        <v>1342.3398437999999</v>
      </c>
      <c r="H140">
        <v>1339.5861815999999</v>
      </c>
      <c r="I140">
        <v>1321.4604492000001</v>
      </c>
      <c r="J140">
        <v>1317.4862060999999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4.4170109999999996</v>
      </c>
      <c r="B141" s="1">
        <f>DATE(2010,5,5) + TIME(10,0,29)</f>
        <v>40303.417002314818</v>
      </c>
      <c r="C141">
        <v>80</v>
      </c>
      <c r="D141">
        <v>79.940589904999996</v>
      </c>
      <c r="E141">
        <v>50</v>
      </c>
      <c r="F141">
        <v>14.998270035000001</v>
      </c>
      <c r="G141">
        <v>1342.3297118999999</v>
      </c>
      <c r="H141">
        <v>1339.5739745999999</v>
      </c>
      <c r="I141">
        <v>1321.4605713000001</v>
      </c>
      <c r="J141">
        <v>1317.4863281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4.4629799999999999</v>
      </c>
      <c r="B142" s="1">
        <f>DATE(2010,5,5) + TIME(11,6,41)</f>
        <v>40303.46297453704</v>
      </c>
      <c r="C142">
        <v>80</v>
      </c>
      <c r="D142">
        <v>79.941154479999994</v>
      </c>
      <c r="E142">
        <v>50</v>
      </c>
      <c r="F142">
        <v>14.998273849</v>
      </c>
      <c r="G142">
        <v>1342.3234863</v>
      </c>
      <c r="H142">
        <v>1339.5673827999999</v>
      </c>
      <c r="I142">
        <v>1321.4608154</v>
      </c>
      <c r="J142">
        <v>1317.4864502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4.5089490000000003</v>
      </c>
      <c r="B143" s="1">
        <f>DATE(2010,5,5) + TIME(12,12,53)</f>
        <v>40303.508946759262</v>
      </c>
      <c r="C143">
        <v>80</v>
      </c>
      <c r="D143">
        <v>79.941673279</v>
      </c>
      <c r="E143">
        <v>50</v>
      </c>
      <c r="F143">
        <v>14.998277664</v>
      </c>
      <c r="G143">
        <v>1342.317749</v>
      </c>
      <c r="H143">
        <v>1339.5610352000001</v>
      </c>
      <c r="I143">
        <v>1321.4609375</v>
      </c>
      <c r="J143">
        <v>1317.4865723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4.5549169999999997</v>
      </c>
      <c r="B144" s="1">
        <f>DATE(2010,5,5) + TIME(13,19,4)</f>
        <v>40303.554907407408</v>
      </c>
      <c r="C144">
        <v>80</v>
      </c>
      <c r="D144">
        <v>79.942146300999994</v>
      </c>
      <c r="E144">
        <v>50</v>
      </c>
      <c r="F144">
        <v>14.998281478999999</v>
      </c>
      <c r="G144">
        <v>1342.3121338000001</v>
      </c>
      <c r="H144">
        <v>1339.5548096</v>
      </c>
      <c r="I144">
        <v>1321.4611815999999</v>
      </c>
      <c r="J144">
        <v>1317.4866943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4.600886</v>
      </c>
      <c r="B145" s="1">
        <f>DATE(2010,5,5) + TIME(14,25,16)</f>
        <v>40303.60087962963</v>
      </c>
      <c r="C145">
        <v>80</v>
      </c>
      <c r="D145">
        <v>79.942573546999995</v>
      </c>
      <c r="E145">
        <v>50</v>
      </c>
      <c r="F145">
        <v>14.998285294</v>
      </c>
      <c r="G145">
        <v>1342.3065185999999</v>
      </c>
      <c r="H145">
        <v>1339.5485839999999</v>
      </c>
      <c r="I145">
        <v>1321.4613036999999</v>
      </c>
      <c r="J145">
        <v>1317.4868164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4.6468550000000004</v>
      </c>
      <c r="B146" s="1">
        <f>DATE(2010,5,5) + TIME(15,31,28)</f>
        <v>40303.646851851852</v>
      </c>
      <c r="C146">
        <v>80</v>
      </c>
      <c r="D146">
        <v>79.942970275999997</v>
      </c>
      <c r="E146">
        <v>50</v>
      </c>
      <c r="F146">
        <v>14.998289108</v>
      </c>
      <c r="G146">
        <v>1342.3009033000001</v>
      </c>
      <c r="H146">
        <v>1339.5423584</v>
      </c>
      <c r="I146">
        <v>1321.4615478999999</v>
      </c>
      <c r="J146">
        <v>1317.4868164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4.6928239999999999</v>
      </c>
      <c r="B147" s="1">
        <f>DATE(2010,5,5) + TIME(16,37,39)</f>
        <v>40303.692812499998</v>
      </c>
      <c r="C147">
        <v>80</v>
      </c>
      <c r="D147">
        <v>79.943336486999996</v>
      </c>
      <c r="E147">
        <v>50</v>
      </c>
      <c r="F147">
        <v>14.998292922999999</v>
      </c>
      <c r="G147">
        <v>1342.2952881000001</v>
      </c>
      <c r="H147">
        <v>1339.5362548999999</v>
      </c>
      <c r="I147">
        <v>1321.4616699000001</v>
      </c>
      <c r="J147">
        <v>1317.4869385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4.7847609999999996</v>
      </c>
      <c r="B148" s="1">
        <f>DATE(2010,5,5) + TIME(18,50,3)</f>
        <v>40303.784756944442</v>
      </c>
      <c r="C148">
        <v>80</v>
      </c>
      <c r="D148">
        <v>79.943969726999995</v>
      </c>
      <c r="E148">
        <v>50</v>
      </c>
      <c r="F148">
        <v>14.998299598999999</v>
      </c>
      <c r="G148">
        <v>1342.2891846</v>
      </c>
      <c r="H148">
        <v>1339.5301514</v>
      </c>
      <c r="I148">
        <v>1321.4619141000001</v>
      </c>
      <c r="J148">
        <v>1317.4871826000001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4.8768529999999997</v>
      </c>
      <c r="B149" s="1">
        <f>DATE(2010,5,5) + TIME(21,2,40)</f>
        <v>40303.876851851855</v>
      </c>
      <c r="C149">
        <v>80</v>
      </c>
      <c r="D149">
        <v>79.944503784000005</v>
      </c>
      <c r="E149">
        <v>50</v>
      </c>
      <c r="F149">
        <v>14.998306274000001</v>
      </c>
      <c r="G149">
        <v>1342.2783202999999</v>
      </c>
      <c r="H149">
        <v>1339.5181885</v>
      </c>
      <c r="I149">
        <v>1321.4622803</v>
      </c>
      <c r="J149">
        <v>1317.4873047000001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4.9694019999999997</v>
      </c>
      <c r="B150" s="1">
        <f>DATE(2010,5,5) + TIME(23,15,56)</f>
        <v>40303.969398148147</v>
      </c>
      <c r="C150">
        <v>80</v>
      </c>
      <c r="D150">
        <v>79.944961547999995</v>
      </c>
      <c r="E150">
        <v>50</v>
      </c>
      <c r="F150">
        <v>14.998312950000001</v>
      </c>
      <c r="G150">
        <v>1342.2672118999999</v>
      </c>
      <c r="H150">
        <v>1339.5062256000001</v>
      </c>
      <c r="I150">
        <v>1321.4625243999999</v>
      </c>
      <c r="J150">
        <v>1317.4874268000001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5.062557</v>
      </c>
      <c r="B151" s="1">
        <f>DATE(2010,5,6) + TIME(1,30,4)</f>
        <v>40304.0625462963</v>
      </c>
      <c r="C151">
        <v>80</v>
      </c>
      <c r="D151">
        <v>79.945358275999993</v>
      </c>
      <c r="E151">
        <v>50</v>
      </c>
      <c r="F151">
        <v>14.998319626000001</v>
      </c>
      <c r="G151">
        <v>1342.2561035000001</v>
      </c>
      <c r="H151">
        <v>1339.4943848</v>
      </c>
      <c r="I151">
        <v>1321.4627685999999</v>
      </c>
      <c r="J151">
        <v>1317.4875488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5.1564620000000003</v>
      </c>
      <c r="B152" s="1">
        <f>DATE(2010,5,6) + TIME(3,45,18)</f>
        <v>40304.156458333331</v>
      </c>
      <c r="C152">
        <v>80</v>
      </c>
      <c r="D152">
        <v>79.945709229000002</v>
      </c>
      <c r="E152">
        <v>50</v>
      </c>
      <c r="F152">
        <v>14.998326302000001</v>
      </c>
      <c r="G152">
        <v>1342.2451172000001</v>
      </c>
      <c r="H152">
        <v>1339.4825439000001</v>
      </c>
      <c r="I152">
        <v>1321.4630127</v>
      </c>
      <c r="J152">
        <v>1317.487793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5.2512590000000001</v>
      </c>
      <c r="B153" s="1">
        <f>DATE(2010,5,6) + TIME(6,1,48)</f>
        <v>40304.251250000001</v>
      </c>
      <c r="C153">
        <v>80</v>
      </c>
      <c r="D153">
        <v>79.946022033999995</v>
      </c>
      <c r="E153">
        <v>50</v>
      </c>
      <c r="F153">
        <v>14.998332977</v>
      </c>
      <c r="G153">
        <v>1342.2340088000001</v>
      </c>
      <c r="H153">
        <v>1339.4708252</v>
      </c>
      <c r="I153">
        <v>1321.4633789</v>
      </c>
      <c r="J153">
        <v>1317.4879149999999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5.347092</v>
      </c>
      <c r="B154" s="1">
        <f>DATE(2010,5,6) + TIME(8,19,48)</f>
        <v>40304.347083333334</v>
      </c>
      <c r="C154">
        <v>80</v>
      </c>
      <c r="D154">
        <v>79.946296692000004</v>
      </c>
      <c r="E154">
        <v>50</v>
      </c>
      <c r="F154">
        <v>14.998339653</v>
      </c>
      <c r="G154">
        <v>1342.2227783000001</v>
      </c>
      <c r="H154">
        <v>1339.4592285000001</v>
      </c>
      <c r="I154">
        <v>1321.4636230000001</v>
      </c>
      <c r="J154">
        <v>1317.4881591999999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5.4441119999999996</v>
      </c>
      <c r="B155" s="1">
        <f>DATE(2010,5,6) + TIME(10,39,31)</f>
        <v>40304.444108796299</v>
      </c>
      <c r="C155">
        <v>80</v>
      </c>
      <c r="D155">
        <v>79.946540833</v>
      </c>
      <c r="E155">
        <v>50</v>
      </c>
      <c r="F155">
        <v>14.998346329</v>
      </c>
      <c r="G155">
        <v>1342.2116699000001</v>
      </c>
      <c r="H155">
        <v>1339.4475098</v>
      </c>
      <c r="I155">
        <v>1321.4638672000001</v>
      </c>
      <c r="J155">
        <v>1317.4882812000001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5.5424730000000002</v>
      </c>
      <c r="B156" s="1">
        <f>DATE(2010,5,6) + TIME(13,1,9)</f>
        <v>40304.54246527778</v>
      </c>
      <c r="C156">
        <v>80</v>
      </c>
      <c r="D156">
        <v>79.946762085000003</v>
      </c>
      <c r="E156">
        <v>50</v>
      </c>
      <c r="F156">
        <v>14.998352050999999</v>
      </c>
      <c r="G156">
        <v>1342.2005615</v>
      </c>
      <c r="H156">
        <v>1339.4360352000001</v>
      </c>
      <c r="I156">
        <v>1321.4642334</v>
      </c>
      <c r="J156">
        <v>1317.4884033000001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5.6423389999999998</v>
      </c>
      <c r="B157" s="1">
        <f>DATE(2010,5,6) + TIME(15,24,58)</f>
        <v>40304.642337962963</v>
      </c>
      <c r="C157">
        <v>80</v>
      </c>
      <c r="D157">
        <v>79.946952820000007</v>
      </c>
      <c r="E157">
        <v>50</v>
      </c>
      <c r="F157">
        <v>14.998358726999999</v>
      </c>
      <c r="G157">
        <v>1342.1892089999999</v>
      </c>
      <c r="H157">
        <v>1339.4244385</v>
      </c>
      <c r="I157">
        <v>1321.4644774999999</v>
      </c>
      <c r="J157">
        <v>1317.4886475000001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5.7438849999999997</v>
      </c>
      <c r="B158" s="1">
        <f>DATE(2010,5,6) + TIME(17,51,11)</f>
        <v>40304.743877314817</v>
      </c>
      <c r="C158">
        <v>80</v>
      </c>
      <c r="D158">
        <v>79.947135924999998</v>
      </c>
      <c r="E158">
        <v>50</v>
      </c>
      <c r="F158">
        <v>14.998365401999999</v>
      </c>
      <c r="G158">
        <v>1342.1779785000001</v>
      </c>
      <c r="H158">
        <v>1339.4128418</v>
      </c>
      <c r="I158">
        <v>1321.4648437999999</v>
      </c>
      <c r="J158">
        <v>1317.4887695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5.8473259999999998</v>
      </c>
      <c r="B159" s="1">
        <f>DATE(2010,5,6) + TIME(20,20,8)</f>
        <v>40304.847314814811</v>
      </c>
      <c r="C159">
        <v>80</v>
      </c>
      <c r="D159">
        <v>79.947288513000004</v>
      </c>
      <c r="E159">
        <v>50</v>
      </c>
      <c r="F159">
        <v>14.998372077999999</v>
      </c>
      <c r="G159">
        <v>1342.166626</v>
      </c>
      <c r="H159">
        <v>1339.4012451000001</v>
      </c>
      <c r="I159">
        <v>1321.4650879000001</v>
      </c>
      <c r="J159">
        <v>1317.4890137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5.9528239999999997</v>
      </c>
      <c r="B160" s="1">
        <f>DATE(2010,5,6) + TIME(22,52,3)</f>
        <v>40304.9528125</v>
      </c>
      <c r="C160">
        <v>80</v>
      </c>
      <c r="D160">
        <v>79.947433472</v>
      </c>
      <c r="E160">
        <v>50</v>
      </c>
      <c r="F160">
        <v>14.998378754000001</v>
      </c>
      <c r="G160">
        <v>1342.1551514</v>
      </c>
      <c r="H160">
        <v>1339.3896483999999</v>
      </c>
      <c r="I160">
        <v>1321.4654541</v>
      </c>
      <c r="J160">
        <v>1317.4891356999999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6.0605900000000004</v>
      </c>
      <c r="B161" s="1">
        <f>DATE(2010,5,7) + TIME(1,27,14)</f>
        <v>40305.060578703706</v>
      </c>
      <c r="C161">
        <v>80</v>
      </c>
      <c r="D161">
        <v>79.947563170999999</v>
      </c>
      <c r="E161">
        <v>50</v>
      </c>
      <c r="F161">
        <v>14.998385429000001</v>
      </c>
      <c r="G161">
        <v>1342.1435547000001</v>
      </c>
      <c r="H161">
        <v>1339.3779297000001</v>
      </c>
      <c r="I161">
        <v>1321.4656981999999</v>
      </c>
      <c r="J161">
        <v>1317.4893798999999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6.1708530000000001</v>
      </c>
      <c r="B162" s="1">
        <f>DATE(2010,5,7) + TIME(4,6,1)</f>
        <v>40305.170844907407</v>
      </c>
      <c r="C162">
        <v>80</v>
      </c>
      <c r="D162">
        <v>79.947685242000006</v>
      </c>
      <c r="E162">
        <v>50</v>
      </c>
      <c r="F162">
        <v>14.998392105000001</v>
      </c>
      <c r="G162">
        <v>1342.1319579999999</v>
      </c>
      <c r="H162">
        <v>1339.3662108999999</v>
      </c>
      <c r="I162">
        <v>1321.4660644999999</v>
      </c>
      <c r="J162">
        <v>1317.4895019999999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6.2838640000000003</v>
      </c>
      <c r="B163" s="1">
        <f>DATE(2010,5,7) + TIME(6,48,45)</f>
        <v>40305.283854166664</v>
      </c>
      <c r="C163">
        <v>80</v>
      </c>
      <c r="D163">
        <v>79.947792053000001</v>
      </c>
      <c r="E163">
        <v>50</v>
      </c>
      <c r="F163">
        <v>14.998398781000001</v>
      </c>
      <c r="G163">
        <v>1342.1201172000001</v>
      </c>
      <c r="H163">
        <v>1339.3544922000001</v>
      </c>
      <c r="I163">
        <v>1321.4663086</v>
      </c>
      <c r="J163">
        <v>1317.4897461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6.3995509999999998</v>
      </c>
      <c r="B164" s="1">
        <f>DATE(2010,5,7) + TIME(9,35,21)</f>
        <v>40305.399548611109</v>
      </c>
      <c r="C164">
        <v>80</v>
      </c>
      <c r="D164">
        <v>79.947891235</v>
      </c>
      <c r="E164">
        <v>50</v>
      </c>
      <c r="F164">
        <v>14.998405457</v>
      </c>
      <c r="G164">
        <v>1342.1081543</v>
      </c>
      <c r="H164">
        <v>1339.3425293</v>
      </c>
      <c r="I164">
        <v>1321.4666748</v>
      </c>
      <c r="J164">
        <v>1317.4898682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6.5178630000000002</v>
      </c>
      <c r="B165" s="1">
        <f>DATE(2010,5,7) + TIME(12,25,43)</f>
        <v>40305.517858796295</v>
      </c>
      <c r="C165">
        <v>80</v>
      </c>
      <c r="D165">
        <v>79.947982788000004</v>
      </c>
      <c r="E165">
        <v>50</v>
      </c>
      <c r="F165">
        <v>14.998412132</v>
      </c>
      <c r="G165">
        <v>1342.0960693</v>
      </c>
      <c r="H165">
        <v>1339.3306885</v>
      </c>
      <c r="I165">
        <v>1321.4669189000001</v>
      </c>
      <c r="J165">
        <v>1317.4901123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6.6390719999999996</v>
      </c>
      <c r="B166" s="1">
        <f>DATE(2010,5,7) + TIME(15,20,15)</f>
        <v>40305.639062499999</v>
      </c>
      <c r="C166">
        <v>80</v>
      </c>
      <c r="D166">
        <v>79.948066710999996</v>
      </c>
      <c r="E166">
        <v>50</v>
      </c>
      <c r="F166">
        <v>14.998418808</v>
      </c>
      <c r="G166">
        <v>1342.0838623</v>
      </c>
      <c r="H166">
        <v>1339.3186035000001</v>
      </c>
      <c r="I166">
        <v>1321.4672852000001</v>
      </c>
      <c r="J166">
        <v>1317.4903564000001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6.7003310000000003</v>
      </c>
      <c r="B167" s="1">
        <f>DATE(2010,5,7) + TIME(16,48,28)</f>
        <v>40305.700324074074</v>
      </c>
      <c r="C167">
        <v>80</v>
      </c>
      <c r="D167">
        <v>79.948089600000003</v>
      </c>
      <c r="E167">
        <v>50</v>
      </c>
      <c r="F167">
        <v>14.998422623</v>
      </c>
      <c r="G167">
        <v>1342.0722656</v>
      </c>
      <c r="H167">
        <v>1339.3067627</v>
      </c>
      <c r="I167">
        <v>1321.4675293</v>
      </c>
      <c r="J167">
        <v>1317.4904785000001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6.7615910000000001</v>
      </c>
      <c r="B168" s="1">
        <f>DATE(2010,5,7) + TIME(18,16,41)</f>
        <v>40305.76158564815</v>
      </c>
      <c r="C168">
        <v>80</v>
      </c>
      <c r="D168">
        <v>79.948127747000001</v>
      </c>
      <c r="E168">
        <v>50</v>
      </c>
      <c r="F168">
        <v>14.998426436999999</v>
      </c>
      <c r="G168">
        <v>1342.0655518000001</v>
      </c>
      <c r="H168">
        <v>1339.3004149999999</v>
      </c>
      <c r="I168">
        <v>1321.4676514</v>
      </c>
      <c r="J168">
        <v>1317.4906006000001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6.8228499999999999</v>
      </c>
      <c r="B169" s="1">
        <f>DATE(2010,5,7) + TIME(19,44,54)</f>
        <v>40305.822847222225</v>
      </c>
      <c r="C169">
        <v>80</v>
      </c>
      <c r="D169">
        <v>79.948158264</v>
      </c>
      <c r="E169">
        <v>50</v>
      </c>
      <c r="F169">
        <v>14.998429298</v>
      </c>
      <c r="G169">
        <v>1342.0593262</v>
      </c>
      <c r="H169">
        <v>1339.2943115</v>
      </c>
      <c r="I169">
        <v>1321.4678954999999</v>
      </c>
      <c r="J169">
        <v>1317.4907227000001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6.8841089999999996</v>
      </c>
      <c r="B170" s="1">
        <f>DATE(2010,5,7) + TIME(21,13,7)</f>
        <v>40305.884108796294</v>
      </c>
      <c r="C170">
        <v>80</v>
      </c>
      <c r="D170">
        <v>79.948196410999998</v>
      </c>
      <c r="E170">
        <v>50</v>
      </c>
      <c r="F170">
        <v>14.998433113000001</v>
      </c>
      <c r="G170">
        <v>1342.0532227000001</v>
      </c>
      <c r="H170">
        <v>1339.2883300999999</v>
      </c>
      <c r="I170">
        <v>1321.4680175999999</v>
      </c>
      <c r="J170">
        <v>1317.4907227000001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6.9453680000000002</v>
      </c>
      <c r="B171" s="1">
        <f>DATE(2010,5,7) + TIME(22,41,19)</f>
        <v>40305.9453587963</v>
      </c>
      <c r="C171">
        <v>80</v>
      </c>
      <c r="D171">
        <v>79.948226929</v>
      </c>
      <c r="E171">
        <v>50</v>
      </c>
      <c r="F171">
        <v>14.998436928</v>
      </c>
      <c r="G171">
        <v>1342.0471190999999</v>
      </c>
      <c r="H171">
        <v>1339.2823486</v>
      </c>
      <c r="I171">
        <v>1321.4682617000001</v>
      </c>
      <c r="J171">
        <v>1317.4908447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7.0066269999999999</v>
      </c>
      <c r="B172" s="1">
        <f>DATE(2010,5,8) + TIME(0,9,32)</f>
        <v>40306.006620370368</v>
      </c>
      <c r="C172">
        <v>80</v>
      </c>
      <c r="D172">
        <v>79.948257446</v>
      </c>
      <c r="E172">
        <v>50</v>
      </c>
      <c r="F172">
        <v>14.998439789000001</v>
      </c>
      <c r="G172">
        <v>1342.0411377</v>
      </c>
      <c r="H172">
        <v>1339.2764893000001</v>
      </c>
      <c r="I172">
        <v>1321.4683838000001</v>
      </c>
      <c r="J172">
        <v>1317.4909668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7.0678869999999998</v>
      </c>
      <c r="B173" s="1">
        <f>DATE(2010,5,8) + TIME(1,37,45)</f>
        <v>40306.067881944444</v>
      </c>
      <c r="C173">
        <v>80</v>
      </c>
      <c r="D173">
        <v>79.948280334000003</v>
      </c>
      <c r="E173">
        <v>50</v>
      </c>
      <c r="F173">
        <v>14.998443604</v>
      </c>
      <c r="G173">
        <v>1342.0351562000001</v>
      </c>
      <c r="H173">
        <v>1339.2707519999999</v>
      </c>
      <c r="I173">
        <v>1321.4686279</v>
      </c>
      <c r="J173">
        <v>1317.4910889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7.1291460000000004</v>
      </c>
      <c r="B174" s="1">
        <f>DATE(2010,5,8) + TIME(3,5,58)</f>
        <v>40306.129143518519</v>
      </c>
      <c r="C174">
        <v>80</v>
      </c>
      <c r="D174">
        <v>79.948310852000006</v>
      </c>
      <c r="E174">
        <v>50</v>
      </c>
      <c r="F174">
        <v>14.998447418</v>
      </c>
      <c r="G174">
        <v>1342.0291748</v>
      </c>
      <c r="H174">
        <v>1339.2648925999999</v>
      </c>
      <c r="I174">
        <v>1321.46875</v>
      </c>
      <c r="J174">
        <v>1317.4912108999999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7.2516639999999999</v>
      </c>
      <c r="B175" s="1">
        <f>DATE(2010,5,8) + TIME(6,2,23)</f>
        <v>40306.251655092594</v>
      </c>
      <c r="C175">
        <v>80</v>
      </c>
      <c r="D175">
        <v>79.948364257999998</v>
      </c>
      <c r="E175">
        <v>50</v>
      </c>
      <c r="F175">
        <v>14.998453140000001</v>
      </c>
      <c r="G175">
        <v>1342.0229492000001</v>
      </c>
      <c r="H175">
        <v>1339.2591553</v>
      </c>
      <c r="I175">
        <v>1321.4689940999999</v>
      </c>
      <c r="J175">
        <v>1317.4913329999999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7.3743480000000003</v>
      </c>
      <c r="B176" s="1">
        <f>DATE(2010,5,8) + TIME(8,59,3)</f>
        <v>40306.374340277776</v>
      </c>
      <c r="C176">
        <v>80</v>
      </c>
      <c r="D176">
        <v>79.948402404999996</v>
      </c>
      <c r="E176">
        <v>50</v>
      </c>
      <c r="F176">
        <v>14.998459816</v>
      </c>
      <c r="G176">
        <v>1342.0115966999999</v>
      </c>
      <c r="H176">
        <v>1339.2480469</v>
      </c>
      <c r="I176">
        <v>1321.4692382999999</v>
      </c>
      <c r="J176">
        <v>1317.4915771000001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7.4977220000000004</v>
      </c>
      <c r="B177" s="1">
        <f>DATE(2010,5,8) + TIME(11,56,43)</f>
        <v>40306.497719907406</v>
      </c>
      <c r="C177">
        <v>80</v>
      </c>
      <c r="D177">
        <v>79.948440551999994</v>
      </c>
      <c r="E177">
        <v>50</v>
      </c>
      <c r="F177">
        <v>14.998465538</v>
      </c>
      <c r="G177">
        <v>1342.0001221</v>
      </c>
      <c r="H177">
        <v>1339.2370605000001</v>
      </c>
      <c r="I177">
        <v>1321.4696045000001</v>
      </c>
      <c r="J177">
        <v>1317.4916992000001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7.6219919999999997</v>
      </c>
      <c r="B178" s="1">
        <f>DATE(2010,5,8) + TIME(14,55,40)</f>
        <v>40306.621990740743</v>
      </c>
      <c r="C178">
        <v>80</v>
      </c>
      <c r="D178">
        <v>79.948471068999993</v>
      </c>
      <c r="E178">
        <v>50</v>
      </c>
      <c r="F178">
        <v>14.998472214</v>
      </c>
      <c r="G178">
        <v>1341.9887695</v>
      </c>
      <c r="H178">
        <v>1339.2261963000001</v>
      </c>
      <c r="I178">
        <v>1321.4698486</v>
      </c>
      <c r="J178">
        <v>1317.4919434000001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7.7473539999999996</v>
      </c>
      <c r="B179" s="1">
        <f>DATE(2010,5,8) + TIME(17,56,11)</f>
        <v>40306.747349537036</v>
      </c>
      <c r="C179">
        <v>80</v>
      </c>
      <c r="D179">
        <v>79.948501586999996</v>
      </c>
      <c r="E179">
        <v>50</v>
      </c>
      <c r="F179">
        <v>14.998477936</v>
      </c>
      <c r="G179">
        <v>1341.9774170000001</v>
      </c>
      <c r="H179">
        <v>1339.215332</v>
      </c>
      <c r="I179">
        <v>1321.4702147999999</v>
      </c>
      <c r="J179">
        <v>1317.4920654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7.8740110000000003</v>
      </c>
      <c r="B180" s="1">
        <f>DATE(2010,5,8) + TIME(20,58,34)</f>
        <v>40306.87400462963</v>
      </c>
      <c r="C180">
        <v>80</v>
      </c>
      <c r="D180">
        <v>79.948524474999999</v>
      </c>
      <c r="E180">
        <v>50</v>
      </c>
      <c r="F180">
        <v>14.998484612</v>
      </c>
      <c r="G180">
        <v>1341.9660644999999</v>
      </c>
      <c r="H180">
        <v>1339.2045897999999</v>
      </c>
      <c r="I180">
        <v>1321.4705810999999</v>
      </c>
      <c r="J180">
        <v>1317.4923096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8.0021699999999996</v>
      </c>
      <c r="B181" s="1">
        <f>DATE(2010,5,9) + TIME(0,3,7)</f>
        <v>40307.002164351848</v>
      </c>
      <c r="C181">
        <v>80</v>
      </c>
      <c r="D181">
        <v>79.948547363000003</v>
      </c>
      <c r="E181">
        <v>50</v>
      </c>
      <c r="F181">
        <v>14.998490334</v>
      </c>
      <c r="G181">
        <v>1341.9548339999999</v>
      </c>
      <c r="H181">
        <v>1339.1938477000001</v>
      </c>
      <c r="I181">
        <v>1321.4708252</v>
      </c>
      <c r="J181">
        <v>1317.4925536999999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8.1320460000000008</v>
      </c>
      <c r="B182" s="1">
        <f>DATE(2010,5,9) + TIME(3,10,8)</f>
        <v>40307.132037037038</v>
      </c>
      <c r="C182">
        <v>80</v>
      </c>
      <c r="D182">
        <v>79.948570251000007</v>
      </c>
      <c r="E182">
        <v>50</v>
      </c>
      <c r="F182">
        <v>14.998496056</v>
      </c>
      <c r="G182">
        <v>1341.9434814000001</v>
      </c>
      <c r="H182">
        <v>1339.1832274999999</v>
      </c>
      <c r="I182">
        <v>1321.4711914</v>
      </c>
      <c r="J182">
        <v>1317.4927978999999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8.2638630000000006</v>
      </c>
      <c r="B183" s="1">
        <f>DATE(2010,5,9) + TIME(6,19,57)</f>
        <v>40307.263854166667</v>
      </c>
      <c r="C183">
        <v>80</v>
      </c>
      <c r="D183">
        <v>79.94859314</v>
      </c>
      <c r="E183">
        <v>50</v>
      </c>
      <c r="F183">
        <v>14.998502731</v>
      </c>
      <c r="G183">
        <v>1341.932251</v>
      </c>
      <c r="H183">
        <v>1339.1726074000001</v>
      </c>
      <c r="I183">
        <v>1321.4715576000001</v>
      </c>
      <c r="J183">
        <v>1317.4929199000001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8.3978990000000007</v>
      </c>
      <c r="B184" s="1">
        <f>DATE(2010,5,9) + TIME(9,32,58)</f>
        <v>40307.397893518515</v>
      </c>
      <c r="C184">
        <v>80</v>
      </c>
      <c r="D184">
        <v>79.948608398000005</v>
      </c>
      <c r="E184">
        <v>50</v>
      </c>
      <c r="F184">
        <v>14.998508452999999</v>
      </c>
      <c r="G184">
        <v>1341.9208983999999</v>
      </c>
      <c r="H184">
        <v>1339.1619873</v>
      </c>
      <c r="I184">
        <v>1321.4719238</v>
      </c>
      <c r="J184">
        <v>1317.4931641000001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8.5343889999999991</v>
      </c>
      <c r="B185" s="1">
        <f>DATE(2010,5,9) + TIME(12,49,31)</f>
        <v>40307.534386574072</v>
      </c>
      <c r="C185">
        <v>80</v>
      </c>
      <c r="D185">
        <v>79.948623656999999</v>
      </c>
      <c r="E185">
        <v>50</v>
      </c>
      <c r="F185">
        <v>14.998515128999999</v>
      </c>
      <c r="G185">
        <v>1341.9095459</v>
      </c>
      <c r="H185">
        <v>1339.1513672000001</v>
      </c>
      <c r="I185">
        <v>1321.4722899999999</v>
      </c>
      <c r="J185">
        <v>1317.4934082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8.6735889999999998</v>
      </c>
      <c r="B186" s="1">
        <f>DATE(2010,5,9) + TIME(16,9,58)</f>
        <v>40307.673587962963</v>
      </c>
      <c r="C186">
        <v>80</v>
      </c>
      <c r="D186">
        <v>79.948631286999998</v>
      </c>
      <c r="E186">
        <v>50</v>
      </c>
      <c r="F186">
        <v>14.998520851</v>
      </c>
      <c r="G186">
        <v>1341.8980713000001</v>
      </c>
      <c r="H186">
        <v>1339.1407471</v>
      </c>
      <c r="I186">
        <v>1321.4726562000001</v>
      </c>
      <c r="J186">
        <v>1317.4936522999999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8.8157940000000004</v>
      </c>
      <c r="B187" s="1">
        <f>DATE(2010,5,9) + TIME(19,34,44)</f>
        <v>40307.815787037034</v>
      </c>
      <c r="C187">
        <v>80</v>
      </c>
      <c r="D187">
        <v>79.948646545000003</v>
      </c>
      <c r="E187">
        <v>50</v>
      </c>
      <c r="F187">
        <v>14.998527527</v>
      </c>
      <c r="G187">
        <v>1341.8865966999999</v>
      </c>
      <c r="H187">
        <v>1339.1301269999999</v>
      </c>
      <c r="I187">
        <v>1321.4729004000001</v>
      </c>
      <c r="J187">
        <v>1317.4937743999999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8.9613219999999991</v>
      </c>
      <c r="B188" s="1">
        <f>DATE(2010,5,9) + TIME(23,4,18)</f>
        <v>40307.961319444446</v>
      </c>
      <c r="C188">
        <v>80</v>
      </c>
      <c r="D188">
        <v>79.948654175000001</v>
      </c>
      <c r="E188">
        <v>50</v>
      </c>
      <c r="F188">
        <v>14.998533248999999</v>
      </c>
      <c r="G188">
        <v>1341.875</v>
      </c>
      <c r="H188">
        <v>1339.1193848</v>
      </c>
      <c r="I188">
        <v>1321.4732666</v>
      </c>
      <c r="J188">
        <v>1317.4940185999999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9.1096039999999991</v>
      </c>
      <c r="B189" s="1">
        <f>DATE(2010,5,10) + TIME(2,37,49)</f>
        <v>40308.109594907408</v>
      </c>
      <c r="C189">
        <v>80</v>
      </c>
      <c r="D189">
        <v>79.948661803999997</v>
      </c>
      <c r="E189">
        <v>50</v>
      </c>
      <c r="F189">
        <v>14.998539924999999</v>
      </c>
      <c r="G189">
        <v>1341.8632812000001</v>
      </c>
      <c r="H189">
        <v>1339.1086425999999</v>
      </c>
      <c r="I189">
        <v>1321.4736327999999</v>
      </c>
      <c r="J189">
        <v>1317.4942627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9.2608270000000008</v>
      </c>
      <c r="B190" s="1">
        <f>DATE(2010,5,10) + TIME(6,15,35)</f>
        <v>40308.260821759257</v>
      </c>
      <c r="C190">
        <v>80</v>
      </c>
      <c r="D190">
        <v>79.948669433999996</v>
      </c>
      <c r="E190">
        <v>50</v>
      </c>
      <c r="F190">
        <v>14.998546599999999</v>
      </c>
      <c r="G190">
        <v>1341.8515625</v>
      </c>
      <c r="H190">
        <v>1339.0979004000001</v>
      </c>
      <c r="I190">
        <v>1321.4741211</v>
      </c>
      <c r="J190">
        <v>1317.4945068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9.3380709999999993</v>
      </c>
      <c r="B191" s="1">
        <f>DATE(2010,5,10) + TIME(8,6,49)</f>
        <v>40308.338067129633</v>
      </c>
      <c r="C191">
        <v>80</v>
      </c>
      <c r="D191">
        <v>79.948654175000001</v>
      </c>
      <c r="E191">
        <v>50</v>
      </c>
      <c r="F191">
        <v>14.998549461</v>
      </c>
      <c r="G191">
        <v>1341.840332</v>
      </c>
      <c r="H191">
        <v>1339.0874022999999</v>
      </c>
      <c r="I191">
        <v>1321.4743652</v>
      </c>
      <c r="J191">
        <v>1317.4946289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9.4153140000000004</v>
      </c>
      <c r="B192" s="1">
        <f>DATE(2010,5,10) + TIME(9,58,3)</f>
        <v>40308.415312500001</v>
      </c>
      <c r="C192">
        <v>80</v>
      </c>
      <c r="D192">
        <v>79.948661803999997</v>
      </c>
      <c r="E192">
        <v>50</v>
      </c>
      <c r="F192">
        <v>14.998553276000001</v>
      </c>
      <c r="G192">
        <v>1341.8338623</v>
      </c>
      <c r="H192">
        <v>1339.0816649999999</v>
      </c>
      <c r="I192">
        <v>1321.4746094</v>
      </c>
      <c r="J192">
        <v>1317.4948730000001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9.4925580000000007</v>
      </c>
      <c r="B193" s="1">
        <f>DATE(2010,5,10) + TIME(11,49,17)</f>
        <v>40308.49255787037</v>
      </c>
      <c r="C193">
        <v>80</v>
      </c>
      <c r="D193">
        <v>79.948661803999997</v>
      </c>
      <c r="E193">
        <v>50</v>
      </c>
      <c r="F193">
        <v>14.998557091</v>
      </c>
      <c r="G193">
        <v>1341.8277588000001</v>
      </c>
      <c r="H193">
        <v>1339.0761719</v>
      </c>
      <c r="I193">
        <v>1321.4748535000001</v>
      </c>
      <c r="J193">
        <v>1317.4949951000001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9.5698019999999993</v>
      </c>
      <c r="B194" s="1">
        <f>DATE(2010,5,10) + TIME(13,40,30)</f>
        <v>40308.569791666669</v>
      </c>
      <c r="C194">
        <v>80</v>
      </c>
      <c r="D194">
        <v>79.948661803999997</v>
      </c>
      <c r="E194">
        <v>50</v>
      </c>
      <c r="F194">
        <v>14.998559952000001</v>
      </c>
      <c r="G194">
        <v>1341.8217772999999</v>
      </c>
      <c r="H194">
        <v>1339.0706786999999</v>
      </c>
      <c r="I194">
        <v>1321.4749756000001</v>
      </c>
      <c r="J194">
        <v>1317.4951172000001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9.6470450000000003</v>
      </c>
      <c r="B195" s="1">
        <f>DATE(2010,5,10) + TIME(15,31,44)</f>
        <v>40308.647037037037</v>
      </c>
      <c r="C195">
        <v>80</v>
      </c>
      <c r="D195">
        <v>79.948661803999997</v>
      </c>
      <c r="E195">
        <v>50</v>
      </c>
      <c r="F195">
        <v>14.998563766</v>
      </c>
      <c r="G195">
        <v>1341.815918</v>
      </c>
      <c r="H195">
        <v>1339.0654297000001</v>
      </c>
      <c r="I195">
        <v>1321.4752197</v>
      </c>
      <c r="J195">
        <v>1317.4952393000001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9.7242890000000006</v>
      </c>
      <c r="B196" s="1">
        <f>DATE(2010,5,10) + TIME(17,22,58)</f>
        <v>40308.724282407406</v>
      </c>
      <c r="C196">
        <v>80</v>
      </c>
      <c r="D196">
        <v>79.948661803999997</v>
      </c>
      <c r="E196">
        <v>50</v>
      </c>
      <c r="F196">
        <v>14.998566628000001</v>
      </c>
      <c r="G196">
        <v>1341.8100586</v>
      </c>
      <c r="H196">
        <v>1339.0600586</v>
      </c>
      <c r="I196">
        <v>1321.4754639</v>
      </c>
      <c r="J196">
        <v>1317.4953613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9.8015319999999999</v>
      </c>
      <c r="B197" s="1">
        <f>DATE(2010,5,10) + TIME(19,14,12)</f>
        <v>40308.801527777781</v>
      </c>
      <c r="C197">
        <v>80</v>
      </c>
      <c r="D197">
        <v>79.948669433999996</v>
      </c>
      <c r="E197">
        <v>50</v>
      </c>
      <c r="F197">
        <v>14.998570442</v>
      </c>
      <c r="G197">
        <v>1341.8043213000001</v>
      </c>
      <c r="H197">
        <v>1339.0548096</v>
      </c>
      <c r="I197">
        <v>1321.4755858999999</v>
      </c>
      <c r="J197">
        <v>1317.4954834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9.8787760000000002</v>
      </c>
      <c r="B198" s="1">
        <f>DATE(2010,5,10) + TIME(21,5,26)</f>
        <v>40308.87877314815</v>
      </c>
      <c r="C198">
        <v>80</v>
      </c>
      <c r="D198">
        <v>79.948669433999996</v>
      </c>
      <c r="E198">
        <v>50</v>
      </c>
      <c r="F198">
        <v>14.998573303000001</v>
      </c>
      <c r="G198">
        <v>1341.7985839999999</v>
      </c>
      <c r="H198">
        <v>1339.0495605000001</v>
      </c>
      <c r="I198">
        <v>1321.4758300999999</v>
      </c>
      <c r="J198">
        <v>1317.4956055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9.9560189999999995</v>
      </c>
      <c r="B199" s="1">
        <f>DATE(2010,5,10) + TIME(22,56,40)</f>
        <v>40308.956018518518</v>
      </c>
      <c r="C199">
        <v>80</v>
      </c>
      <c r="D199">
        <v>79.948669433999996</v>
      </c>
      <c r="E199">
        <v>50</v>
      </c>
      <c r="F199">
        <v>14.998576163999999</v>
      </c>
      <c r="G199">
        <v>1341.7928466999999</v>
      </c>
      <c r="H199">
        <v>1339.0444336</v>
      </c>
      <c r="I199">
        <v>1321.4759521000001</v>
      </c>
      <c r="J199">
        <v>1317.4957274999999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10.033263</v>
      </c>
      <c r="B200" s="1">
        <f>DATE(2010,5,11) + TIME(0,47,53)</f>
        <v>40309.033252314817</v>
      </c>
      <c r="C200">
        <v>80</v>
      </c>
      <c r="D200">
        <v>79.948669433999996</v>
      </c>
      <c r="E200">
        <v>50</v>
      </c>
      <c r="F200">
        <v>14.998579979000001</v>
      </c>
      <c r="G200">
        <v>1341.7871094</v>
      </c>
      <c r="H200">
        <v>1339.0393065999999</v>
      </c>
      <c r="I200">
        <v>1321.4761963000001</v>
      </c>
      <c r="J200">
        <v>1317.4958495999999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10.110507</v>
      </c>
      <c r="B201" s="1">
        <f>DATE(2010,5,11) + TIME(2,39,7)</f>
        <v>40309.110497685186</v>
      </c>
      <c r="C201">
        <v>80</v>
      </c>
      <c r="D201">
        <v>79.948669433999996</v>
      </c>
      <c r="E201">
        <v>50</v>
      </c>
      <c r="F201">
        <v>14.998582839999999</v>
      </c>
      <c r="G201">
        <v>1341.7814940999999</v>
      </c>
      <c r="H201">
        <v>1339.0343018000001</v>
      </c>
      <c r="I201">
        <v>1321.4764404</v>
      </c>
      <c r="J201">
        <v>1317.4959716999999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10.264994</v>
      </c>
      <c r="B202" s="1">
        <f>DATE(2010,5,11) + TIME(6,21,35)</f>
        <v>40309.264988425923</v>
      </c>
      <c r="C202">
        <v>80</v>
      </c>
      <c r="D202">
        <v>79.948677063000005</v>
      </c>
      <c r="E202">
        <v>50</v>
      </c>
      <c r="F202">
        <v>14.998588562</v>
      </c>
      <c r="G202">
        <v>1341.7755127</v>
      </c>
      <c r="H202">
        <v>1339.0290527</v>
      </c>
      <c r="I202">
        <v>1321.4766846</v>
      </c>
      <c r="J202">
        <v>1317.4962158000001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10.419836999999999</v>
      </c>
      <c r="B203" s="1">
        <f>DATE(2010,5,11) + TIME(10,4,33)</f>
        <v>40309.41982638889</v>
      </c>
      <c r="C203">
        <v>80</v>
      </c>
      <c r="D203">
        <v>79.948677063000005</v>
      </c>
      <c r="E203">
        <v>50</v>
      </c>
      <c r="F203">
        <v>14.998594283999999</v>
      </c>
      <c r="G203">
        <v>1341.7648925999999</v>
      </c>
      <c r="H203">
        <v>1339.0194091999999</v>
      </c>
      <c r="I203">
        <v>1321.4770507999999</v>
      </c>
      <c r="J203">
        <v>1317.4963379000001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10.575768999999999</v>
      </c>
      <c r="B204" s="1">
        <f>DATE(2010,5,11) + TIME(13,49,6)</f>
        <v>40309.57576388889</v>
      </c>
      <c r="C204">
        <v>80</v>
      </c>
      <c r="D204">
        <v>79.948669433999996</v>
      </c>
      <c r="E204">
        <v>50</v>
      </c>
      <c r="F204">
        <v>14.998600006</v>
      </c>
      <c r="G204">
        <v>1341.7539062000001</v>
      </c>
      <c r="H204">
        <v>1339.0096435999999</v>
      </c>
      <c r="I204">
        <v>1321.4774170000001</v>
      </c>
      <c r="J204">
        <v>1317.496582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10.73306</v>
      </c>
      <c r="B205" s="1">
        <f>DATE(2010,5,11) + TIME(17,35,36)</f>
        <v>40309.733055555553</v>
      </c>
      <c r="C205">
        <v>80</v>
      </c>
      <c r="D205">
        <v>79.948669433999996</v>
      </c>
      <c r="E205">
        <v>50</v>
      </c>
      <c r="F205">
        <v>14.998605727999999</v>
      </c>
      <c r="G205">
        <v>1341.7430420000001</v>
      </c>
      <c r="H205">
        <v>1339</v>
      </c>
      <c r="I205">
        <v>1321.4777832</v>
      </c>
      <c r="J205">
        <v>1317.4968262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10.891978999999999</v>
      </c>
      <c r="B206" s="1">
        <f>DATE(2010,5,11) + TIME(21,24,26)</f>
        <v>40309.891967592594</v>
      </c>
      <c r="C206">
        <v>80</v>
      </c>
      <c r="D206">
        <v>79.948661803999997</v>
      </c>
      <c r="E206">
        <v>50</v>
      </c>
      <c r="F206">
        <v>14.99861145</v>
      </c>
      <c r="G206">
        <v>1341.7322998</v>
      </c>
      <c r="H206">
        <v>1338.9903564000001</v>
      </c>
      <c r="I206">
        <v>1321.4781493999999</v>
      </c>
      <c r="J206">
        <v>1317.4970702999999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11.052797999999999</v>
      </c>
      <c r="B207" s="1">
        <f>DATE(2010,5,12) + TIME(1,16,1)</f>
        <v>40310.052789351852</v>
      </c>
      <c r="C207">
        <v>80</v>
      </c>
      <c r="D207">
        <v>79.948654175000001</v>
      </c>
      <c r="E207">
        <v>50</v>
      </c>
      <c r="F207">
        <v>14.998617171999999</v>
      </c>
      <c r="G207">
        <v>1341.7214355000001</v>
      </c>
      <c r="H207">
        <v>1338.9807129000001</v>
      </c>
      <c r="I207">
        <v>1321.4785156</v>
      </c>
      <c r="J207">
        <v>1317.4974365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11.215802999999999</v>
      </c>
      <c r="B208" s="1">
        <f>DATE(2010,5,12) + TIME(5,10,45)</f>
        <v>40310.215798611112</v>
      </c>
      <c r="C208">
        <v>80</v>
      </c>
      <c r="D208">
        <v>79.948654175000001</v>
      </c>
      <c r="E208">
        <v>50</v>
      </c>
      <c r="F208">
        <v>14.998622894</v>
      </c>
      <c r="G208">
        <v>1341.7105713000001</v>
      </c>
      <c r="H208">
        <v>1338.9711914</v>
      </c>
      <c r="I208">
        <v>1321.4790039</v>
      </c>
      <c r="J208">
        <v>1317.4976807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11.381294</v>
      </c>
      <c r="B209" s="1">
        <f>DATE(2010,5,12) + TIME(9,9,3)</f>
        <v>40310.381284722222</v>
      </c>
      <c r="C209">
        <v>80</v>
      </c>
      <c r="D209">
        <v>79.948646545000003</v>
      </c>
      <c r="E209">
        <v>50</v>
      </c>
      <c r="F209">
        <v>14.998628616</v>
      </c>
      <c r="G209">
        <v>1341.6998291</v>
      </c>
      <c r="H209">
        <v>1338.9616699000001</v>
      </c>
      <c r="I209">
        <v>1321.4793701000001</v>
      </c>
      <c r="J209">
        <v>1317.4979248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11.549652</v>
      </c>
      <c r="B210" s="1">
        <f>DATE(2010,5,12) + TIME(13,11,29)</f>
        <v>40310.549641203703</v>
      </c>
      <c r="C210">
        <v>80</v>
      </c>
      <c r="D210">
        <v>79.948638915999993</v>
      </c>
      <c r="E210">
        <v>50</v>
      </c>
      <c r="F210">
        <v>14.998634338</v>
      </c>
      <c r="G210">
        <v>1341.6889647999999</v>
      </c>
      <c r="H210">
        <v>1338.9521483999999</v>
      </c>
      <c r="I210">
        <v>1321.4797363</v>
      </c>
      <c r="J210">
        <v>1317.4981689000001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11.721152999999999</v>
      </c>
      <c r="B211" s="1">
        <f>DATE(2010,5,12) + TIME(17,18,27)</f>
        <v>40310.721145833333</v>
      </c>
      <c r="C211">
        <v>80</v>
      </c>
      <c r="D211">
        <v>79.948631286999998</v>
      </c>
      <c r="E211">
        <v>50</v>
      </c>
      <c r="F211">
        <v>14.99864006</v>
      </c>
      <c r="G211">
        <v>1341.6781006000001</v>
      </c>
      <c r="H211">
        <v>1338.9426269999999</v>
      </c>
      <c r="I211">
        <v>1321.4802245999999</v>
      </c>
      <c r="J211">
        <v>1317.4984131000001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11.896159000000001</v>
      </c>
      <c r="B212" s="1">
        <f>DATE(2010,5,12) + TIME(21,30,28)</f>
        <v>40310.896157407406</v>
      </c>
      <c r="C212">
        <v>80</v>
      </c>
      <c r="D212">
        <v>79.948623656999999</v>
      </c>
      <c r="E212">
        <v>50</v>
      </c>
      <c r="F212">
        <v>14.998645782000001</v>
      </c>
      <c r="G212">
        <v>1341.6671143000001</v>
      </c>
      <c r="H212">
        <v>1338.9331055</v>
      </c>
      <c r="I212">
        <v>1321.4805908000001</v>
      </c>
      <c r="J212">
        <v>1317.4986572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12.075063999999999</v>
      </c>
      <c r="B213" s="1">
        <f>DATE(2010,5,13) + TIME(1,48,5)</f>
        <v>40311.075057870374</v>
      </c>
      <c r="C213">
        <v>80</v>
      </c>
      <c r="D213">
        <v>79.948616028000004</v>
      </c>
      <c r="E213">
        <v>50</v>
      </c>
      <c r="F213">
        <v>14.998651505</v>
      </c>
      <c r="G213">
        <v>1341.6560059000001</v>
      </c>
      <c r="H213">
        <v>1338.9234618999999</v>
      </c>
      <c r="I213">
        <v>1321.4810791</v>
      </c>
      <c r="J213">
        <v>1317.4990233999999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12.257178</v>
      </c>
      <c r="B214" s="1">
        <f>DATE(2010,5,13) + TIME(6,10,20)</f>
        <v>40311.257175925923</v>
      </c>
      <c r="C214">
        <v>80</v>
      </c>
      <c r="D214">
        <v>79.948608398000005</v>
      </c>
      <c r="E214">
        <v>50</v>
      </c>
      <c r="F214">
        <v>14.99865818</v>
      </c>
      <c r="G214">
        <v>1341.6448975000001</v>
      </c>
      <c r="H214">
        <v>1338.9138184000001</v>
      </c>
      <c r="I214">
        <v>1321.4815673999999</v>
      </c>
      <c r="J214">
        <v>1317.4992675999999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12.442220000000001</v>
      </c>
      <c r="B215" s="1">
        <f>DATE(2010,5,13) + TIME(10,36,47)</f>
        <v>40311.442210648151</v>
      </c>
      <c r="C215">
        <v>80</v>
      </c>
      <c r="D215">
        <v>79.948600768999995</v>
      </c>
      <c r="E215">
        <v>50</v>
      </c>
      <c r="F215">
        <v>14.998663902000001</v>
      </c>
      <c r="G215">
        <v>1341.6336670000001</v>
      </c>
      <c r="H215">
        <v>1338.9041748</v>
      </c>
      <c r="I215">
        <v>1321.4819336</v>
      </c>
      <c r="J215">
        <v>1317.4996338000001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12.535259</v>
      </c>
      <c r="B216" s="1">
        <f>DATE(2010,5,13) + TIME(12,50,46)</f>
        <v>40311.535254629627</v>
      </c>
      <c r="C216">
        <v>80</v>
      </c>
      <c r="D216">
        <v>79.948585510000001</v>
      </c>
      <c r="E216">
        <v>50</v>
      </c>
      <c r="F216">
        <v>14.998666762999999</v>
      </c>
      <c r="G216">
        <v>1341.6231689000001</v>
      </c>
      <c r="H216">
        <v>1338.8950195</v>
      </c>
      <c r="I216">
        <v>1321.4822998</v>
      </c>
      <c r="J216">
        <v>1317.4997559000001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12.628297</v>
      </c>
      <c r="B217" s="1">
        <f>DATE(2010,5,13) + TIME(15,4,44)</f>
        <v>40311.628287037034</v>
      </c>
      <c r="C217">
        <v>80</v>
      </c>
      <c r="D217">
        <v>79.948577881000006</v>
      </c>
      <c r="E217">
        <v>50</v>
      </c>
      <c r="F217">
        <v>14.998670578</v>
      </c>
      <c r="G217">
        <v>1341.6170654</v>
      </c>
      <c r="H217">
        <v>1338.8897704999999</v>
      </c>
      <c r="I217">
        <v>1321.4825439000001</v>
      </c>
      <c r="J217">
        <v>1317.5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12.721335</v>
      </c>
      <c r="B218" s="1">
        <f>DATE(2010,5,13) + TIME(17,18,43)</f>
        <v>40311.721331018518</v>
      </c>
      <c r="C218">
        <v>80</v>
      </c>
      <c r="D218">
        <v>79.948570251000007</v>
      </c>
      <c r="E218">
        <v>50</v>
      </c>
      <c r="F218">
        <v>14.998673438999999</v>
      </c>
      <c r="G218">
        <v>1341.6113281</v>
      </c>
      <c r="H218">
        <v>1338.8848877</v>
      </c>
      <c r="I218">
        <v>1321.4829102000001</v>
      </c>
      <c r="J218">
        <v>1317.5001221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12.814373</v>
      </c>
      <c r="B219" s="1">
        <f>DATE(2010,5,13) + TIME(19,32,41)</f>
        <v>40311.814363425925</v>
      </c>
      <c r="C219">
        <v>80</v>
      </c>
      <c r="D219">
        <v>79.948562621999997</v>
      </c>
      <c r="E219">
        <v>50</v>
      </c>
      <c r="F219">
        <v>14.998677254</v>
      </c>
      <c r="G219">
        <v>1341.6058350000001</v>
      </c>
      <c r="H219">
        <v>1338.8801269999999</v>
      </c>
      <c r="I219">
        <v>1321.4831543</v>
      </c>
      <c r="J219">
        <v>1317.5003661999999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12.907411</v>
      </c>
      <c r="B220" s="1">
        <f>DATE(2010,5,13) + TIME(21,46,40)</f>
        <v>40311.907407407409</v>
      </c>
      <c r="C220">
        <v>80</v>
      </c>
      <c r="D220">
        <v>79.948562621999997</v>
      </c>
      <c r="E220">
        <v>50</v>
      </c>
      <c r="F220">
        <v>14.998680115000001</v>
      </c>
      <c r="G220">
        <v>1341.6003418</v>
      </c>
      <c r="H220">
        <v>1338.8753661999999</v>
      </c>
      <c r="I220">
        <v>1321.4833983999999</v>
      </c>
      <c r="J220">
        <v>1317.5004882999999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13.000449</v>
      </c>
      <c r="B221" s="1">
        <f>DATE(2010,5,14) + TIME(0,0,38)</f>
        <v>40312.000439814816</v>
      </c>
      <c r="C221">
        <v>80</v>
      </c>
      <c r="D221">
        <v>79.948554993000002</v>
      </c>
      <c r="E221">
        <v>50</v>
      </c>
      <c r="F221">
        <v>14.998682976</v>
      </c>
      <c r="G221">
        <v>1341.5948486</v>
      </c>
      <c r="H221">
        <v>1338.8707274999999</v>
      </c>
      <c r="I221">
        <v>1321.4836425999999</v>
      </c>
      <c r="J221">
        <v>1317.5006103999999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13.093488000000001</v>
      </c>
      <c r="B222" s="1">
        <f>DATE(2010,5,14) + TIME(2,14,37)</f>
        <v>40312.0934837963</v>
      </c>
      <c r="C222">
        <v>80</v>
      </c>
      <c r="D222">
        <v>79.948547363000003</v>
      </c>
      <c r="E222">
        <v>50</v>
      </c>
      <c r="F222">
        <v>14.998685837</v>
      </c>
      <c r="G222">
        <v>1341.5893555</v>
      </c>
      <c r="H222">
        <v>1338.8660889</v>
      </c>
      <c r="I222">
        <v>1321.4838867000001</v>
      </c>
      <c r="J222">
        <v>1317.5007324000001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13.186526000000001</v>
      </c>
      <c r="B223" s="1">
        <f>DATE(2010,5,14) + TIME(4,28,35)</f>
        <v>40312.186516203707</v>
      </c>
      <c r="C223">
        <v>80</v>
      </c>
      <c r="D223">
        <v>79.948547363000003</v>
      </c>
      <c r="E223">
        <v>50</v>
      </c>
      <c r="F223">
        <v>14.998688698</v>
      </c>
      <c r="G223">
        <v>1341.5839844</v>
      </c>
      <c r="H223">
        <v>1338.8614502</v>
      </c>
      <c r="I223">
        <v>1321.4840088000001</v>
      </c>
      <c r="J223">
        <v>1317.5009766000001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13.279564000000001</v>
      </c>
      <c r="B224" s="1">
        <f>DATE(2010,5,14) + TIME(6,42,34)</f>
        <v>40312.279560185183</v>
      </c>
      <c r="C224">
        <v>80</v>
      </c>
      <c r="D224">
        <v>79.948539733999993</v>
      </c>
      <c r="E224">
        <v>50</v>
      </c>
      <c r="F224">
        <v>14.998692513</v>
      </c>
      <c r="G224">
        <v>1341.5786132999999</v>
      </c>
      <c r="H224">
        <v>1338.8568115</v>
      </c>
      <c r="I224">
        <v>1321.4842529</v>
      </c>
      <c r="J224">
        <v>1317.5010986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13.46564</v>
      </c>
      <c r="B225" s="1">
        <f>DATE(2010,5,14) + TIME(11,10,31)</f>
        <v>40312.465636574074</v>
      </c>
      <c r="C225">
        <v>80</v>
      </c>
      <c r="D225">
        <v>79.948539733999993</v>
      </c>
      <c r="E225">
        <v>50</v>
      </c>
      <c r="F225">
        <v>14.998697281</v>
      </c>
      <c r="G225">
        <v>1341.5729980000001</v>
      </c>
      <c r="H225">
        <v>1338.8520507999999</v>
      </c>
      <c r="I225">
        <v>1321.4846190999999</v>
      </c>
      <c r="J225">
        <v>1317.5012207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13.651778</v>
      </c>
      <c r="B226" s="1">
        <f>DATE(2010,5,14) + TIME(15,38,33)</f>
        <v>40312.651770833334</v>
      </c>
      <c r="C226">
        <v>80</v>
      </c>
      <c r="D226">
        <v>79.948532103999995</v>
      </c>
      <c r="E226">
        <v>50</v>
      </c>
      <c r="F226">
        <v>14.998703002999999</v>
      </c>
      <c r="G226">
        <v>1341.5627440999999</v>
      </c>
      <c r="H226">
        <v>1338.8433838000001</v>
      </c>
      <c r="I226">
        <v>1321.4849853999999</v>
      </c>
      <c r="J226">
        <v>1317.5015868999999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13.839172</v>
      </c>
      <c r="B227" s="1">
        <f>DATE(2010,5,14) + TIME(20,8,24)</f>
        <v>40312.839166666665</v>
      </c>
      <c r="C227">
        <v>80</v>
      </c>
      <c r="D227">
        <v>79.948524474999999</v>
      </c>
      <c r="E227">
        <v>50</v>
      </c>
      <c r="F227">
        <v>14.998707770999999</v>
      </c>
      <c r="G227">
        <v>1341.5524902</v>
      </c>
      <c r="H227">
        <v>1338.8347168</v>
      </c>
      <c r="I227">
        <v>1321.4854736</v>
      </c>
      <c r="J227">
        <v>1317.5018310999999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14.028168000000001</v>
      </c>
      <c r="B228" s="1">
        <f>DATE(2010,5,15) + TIME(0,40,33)</f>
        <v>40313.02815972222</v>
      </c>
      <c r="C228">
        <v>80</v>
      </c>
      <c r="D228">
        <v>79.948509216000005</v>
      </c>
      <c r="E228">
        <v>50</v>
      </c>
      <c r="F228">
        <v>14.998713493</v>
      </c>
      <c r="G228">
        <v>1341.5421143000001</v>
      </c>
      <c r="H228">
        <v>1338.8259277</v>
      </c>
      <c r="I228">
        <v>1321.4859618999999</v>
      </c>
      <c r="J228">
        <v>1317.5020752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14.219104</v>
      </c>
      <c r="B229" s="1">
        <f>DATE(2010,5,15) + TIME(5,15,30)</f>
        <v>40313.219097222223</v>
      </c>
      <c r="C229">
        <v>80</v>
      </c>
      <c r="D229">
        <v>79.948501586999996</v>
      </c>
      <c r="E229">
        <v>50</v>
      </c>
      <c r="F229">
        <v>14.998719214999999</v>
      </c>
      <c r="G229">
        <v>1341.5318603999999</v>
      </c>
      <c r="H229">
        <v>1338.8172606999999</v>
      </c>
      <c r="I229">
        <v>1321.4864502</v>
      </c>
      <c r="J229">
        <v>1317.5024414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14.412328</v>
      </c>
      <c r="B230" s="1">
        <f>DATE(2010,5,15) + TIME(9,53,45)</f>
        <v>40313.412326388891</v>
      </c>
      <c r="C230">
        <v>80</v>
      </c>
      <c r="D230">
        <v>79.948486328000001</v>
      </c>
      <c r="E230">
        <v>50</v>
      </c>
      <c r="F230">
        <v>14.998723984</v>
      </c>
      <c r="G230">
        <v>1341.5216064000001</v>
      </c>
      <c r="H230">
        <v>1338.8085937999999</v>
      </c>
      <c r="I230">
        <v>1321.4869385</v>
      </c>
      <c r="J230">
        <v>1317.5026855000001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14.608200999999999</v>
      </c>
      <c r="B231" s="1">
        <f>DATE(2010,5,15) + TIME(14,35,48)</f>
        <v>40313.608194444445</v>
      </c>
      <c r="C231">
        <v>80</v>
      </c>
      <c r="D231">
        <v>79.948478699000006</v>
      </c>
      <c r="E231">
        <v>50</v>
      </c>
      <c r="F231">
        <v>14.998729706000001</v>
      </c>
      <c r="G231">
        <v>1341.5112305</v>
      </c>
      <c r="H231">
        <v>1338.8000488</v>
      </c>
      <c r="I231">
        <v>1321.4874268000001</v>
      </c>
      <c r="J231">
        <v>1317.5030518000001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14.807123000000001</v>
      </c>
      <c r="B232" s="1">
        <f>DATE(2010,5,15) + TIME(19,22,15)</f>
        <v>40313.807118055556</v>
      </c>
      <c r="C232">
        <v>80</v>
      </c>
      <c r="D232">
        <v>79.948463439999998</v>
      </c>
      <c r="E232">
        <v>50</v>
      </c>
      <c r="F232">
        <v>14.998735428</v>
      </c>
      <c r="G232">
        <v>1341.5009766000001</v>
      </c>
      <c r="H232">
        <v>1338.7913818</v>
      </c>
      <c r="I232">
        <v>1321.4879149999999</v>
      </c>
      <c r="J232">
        <v>1317.503418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15.009547</v>
      </c>
      <c r="B233" s="1">
        <f>DATE(2010,5,16) + TIME(0,13,44)</f>
        <v>40314.00953703704</v>
      </c>
      <c r="C233">
        <v>80</v>
      </c>
      <c r="D233">
        <v>79.948448181000003</v>
      </c>
      <c r="E233">
        <v>50</v>
      </c>
      <c r="F233">
        <v>14.998741150000001</v>
      </c>
      <c r="G233">
        <v>1341.4907227000001</v>
      </c>
      <c r="H233">
        <v>1338.7828368999999</v>
      </c>
      <c r="I233">
        <v>1321.4884033000001</v>
      </c>
      <c r="J233">
        <v>1317.5036620999999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15.215844000000001</v>
      </c>
      <c r="B234" s="1">
        <f>DATE(2010,5,16) + TIME(5,10,48)</f>
        <v>40314.215833333335</v>
      </c>
      <c r="C234">
        <v>80</v>
      </c>
      <c r="D234">
        <v>79.948440551999994</v>
      </c>
      <c r="E234">
        <v>50</v>
      </c>
      <c r="F234">
        <v>14.998746872</v>
      </c>
      <c r="G234">
        <v>1341.4802245999999</v>
      </c>
      <c r="H234">
        <v>1338.7741699000001</v>
      </c>
      <c r="I234">
        <v>1321.4888916</v>
      </c>
      <c r="J234">
        <v>1317.5040283000001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15.426481000000001</v>
      </c>
      <c r="B235" s="1">
        <f>DATE(2010,5,16) + TIME(10,14,7)</f>
        <v>40314.426469907405</v>
      </c>
      <c r="C235">
        <v>80</v>
      </c>
      <c r="D235">
        <v>79.948425293</v>
      </c>
      <c r="E235">
        <v>50</v>
      </c>
      <c r="F235">
        <v>14.998752594000001</v>
      </c>
      <c r="G235">
        <v>1341.4698486</v>
      </c>
      <c r="H235">
        <v>1338.7655029</v>
      </c>
      <c r="I235">
        <v>1321.4893798999999</v>
      </c>
      <c r="J235">
        <v>1317.5043945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15.640375000000001</v>
      </c>
      <c r="B236" s="1">
        <f>DATE(2010,5,16) + TIME(15,22,8)</f>
        <v>40314.640370370369</v>
      </c>
      <c r="C236">
        <v>80</v>
      </c>
      <c r="D236">
        <v>79.948410034000005</v>
      </c>
      <c r="E236">
        <v>50</v>
      </c>
      <c r="F236">
        <v>14.998758316</v>
      </c>
      <c r="G236">
        <v>1341.4592285000001</v>
      </c>
      <c r="H236">
        <v>1338.7567139</v>
      </c>
      <c r="I236">
        <v>1321.4899902</v>
      </c>
      <c r="J236">
        <v>1317.5047606999999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15.74873</v>
      </c>
      <c r="B237" s="1">
        <f>DATE(2010,5,16) + TIME(17,58,10)</f>
        <v>40314.748726851853</v>
      </c>
      <c r="C237">
        <v>80</v>
      </c>
      <c r="D237">
        <v>79.948394774999997</v>
      </c>
      <c r="E237">
        <v>50</v>
      </c>
      <c r="F237">
        <v>14.998761177</v>
      </c>
      <c r="G237">
        <v>1341.4493408000001</v>
      </c>
      <c r="H237">
        <v>1338.7484131000001</v>
      </c>
      <c r="I237">
        <v>1321.4903564000001</v>
      </c>
      <c r="J237">
        <v>1317.5050048999999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15.857085</v>
      </c>
      <c r="B238" s="1">
        <f>DATE(2010,5,16) + TIME(20,34,12)</f>
        <v>40314.857083333336</v>
      </c>
      <c r="C238">
        <v>80</v>
      </c>
      <c r="D238">
        <v>79.948387146000002</v>
      </c>
      <c r="E238">
        <v>50</v>
      </c>
      <c r="F238">
        <v>14.998764037999999</v>
      </c>
      <c r="G238">
        <v>1341.4436035000001</v>
      </c>
      <c r="H238">
        <v>1338.7436522999999</v>
      </c>
      <c r="I238">
        <v>1321.4907227000001</v>
      </c>
      <c r="J238">
        <v>1317.5051269999999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15.965439</v>
      </c>
      <c r="B239" s="1">
        <f>DATE(2010,5,16) + TIME(23,10,13)</f>
        <v>40314.965428240743</v>
      </c>
      <c r="C239">
        <v>80</v>
      </c>
      <c r="D239">
        <v>79.948379517000006</v>
      </c>
      <c r="E239">
        <v>50</v>
      </c>
      <c r="F239">
        <v>14.998766899</v>
      </c>
      <c r="G239">
        <v>1341.4382324000001</v>
      </c>
      <c r="H239">
        <v>1338.7392577999999</v>
      </c>
      <c r="I239">
        <v>1321.4909668</v>
      </c>
      <c r="J239">
        <v>1317.5053711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16.073793999999999</v>
      </c>
      <c r="B240" s="1">
        <f>DATE(2010,5,17) + TIME(1,46,15)</f>
        <v>40315.073784722219</v>
      </c>
      <c r="C240">
        <v>80</v>
      </c>
      <c r="D240">
        <v>79.948371886999993</v>
      </c>
      <c r="E240">
        <v>50</v>
      </c>
      <c r="F240">
        <v>14.998770714000001</v>
      </c>
      <c r="G240">
        <v>1341.4328613</v>
      </c>
      <c r="H240">
        <v>1338.7348632999999</v>
      </c>
      <c r="I240">
        <v>1321.4913329999999</v>
      </c>
      <c r="J240">
        <v>1317.5056152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16.182148000000002</v>
      </c>
      <c r="B241" s="1">
        <f>DATE(2010,5,17) + TIME(4,22,17)</f>
        <v>40315.182141203702</v>
      </c>
      <c r="C241">
        <v>80</v>
      </c>
      <c r="D241">
        <v>79.948364257999998</v>
      </c>
      <c r="E241">
        <v>50</v>
      </c>
      <c r="F241">
        <v>14.998773575</v>
      </c>
      <c r="G241">
        <v>1341.4276123</v>
      </c>
      <c r="H241">
        <v>1338.7304687999999</v>
      </c>
      <c r="I241">
        <v>1321.4915771000001</v>
      </c>
      <c r="J241">
        <v>1317.5057373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16.290503000000001</v>
      </c>
      <c r="B242" s="1">
        <f>DATE(2010,5,17) + TIME(6,58,19)</f>
        <v>40315.290497685186</v>
      </c>
      <c r="C242">
        <v>80</v>
      </c>
      <c r="D242">
        <v>79.948356627999999</v>
      </c>
      <c r="E242">
        <v>50</v>
      </c>
      <c r="F242">
        <v>14.998776436</v>
      </c>
      <c r="G242">
        <v>1341.4224853999999</v>
      </c>
      <c r="H242">
        <v>1338.7261963000001</v>
      </c>
      <c r="I242">
        <v>1321.4918213000001</v>
      </c>
      <c r="J242">
        <v>1317.5059814000001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16.398857</v>
      </c>
      <c r="B243" s="1">
        <f>DATE(2010,5,17) + TIME(9,34,21)</f>
        <v>40315.398854166669</v>
      </c>
      <c r="C243">
        <v>80</v>
      </c>
      <c r="D243">
        <v>79.948348999000004</v>
      </c>
      <c r="E243">
        <v>50</v>
      </c>
      <c r="F243">
        <v>14.998779297</v>
      </c>
      <c r="G243">
        <v>1341.4172363</v>
      </c>
      <c r="H243">
        <v>1338.7219238</v>
      </c>
      <c r="I243">
        <v>1321.4920654</v>
      </c>
      <c r="J243">
        <v>1317.5061035000001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16.507211999999999</v>
      </c>
      <c r="B244" s="1">
        <f>DATE(2010,5,17) + TIME(12,10,23)</f>
        <v>40315.507210648146</v>
      </c>
      <c r="C244">
        <v>80</v>
      </c>
      <c r="D244">
        <v>79.948341369999994</v>
      </c>
      <c r="E244">
        <v>50</v>
      </c>
      <c r="F244">
        <v>14.998782157999999</v>
      </c>
      <c r="G244">
        <v>1341.4121094</v>
      </c>
      <c r="H244">
        <v>1338.7177733999999</v>
      </c>
      <c r="I244">
        <v>1321.4924315999999</v>
      </c>
      <c r="J244">
        <v>1317.5062256000001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16.615566999999999</v>
      </c>
      <c r="B245" s="1">
        <f>DATE(2010,5,17) + TIME(14,46,24)</f>
        <v>40315.615555555552</v>
      </c>
      <c r="C245">
        <v>80</v>
      </c>
      <c r="D245">
        <v>79.948333739999995</v>
      </c>
      <c r="E245">
        <v>50</v>
      </c>
      <c r="F245">
        <v>14.998785019</v>
      </c>
      <c r="G245">
        <v>1341.4071045000001</v>
      </c>
      <c r="H245">
        <v>1338.713501</v>
      </c>
      <c r="I245">
        <v>1321.4926757999999</v>
      </c>
      <c r="J245">
        <v>1317.5064697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16.723921000000001</v>
      </c>
      <c r="B246" s="1">
        <f>DATE(2010,5,17) + TIME(17,22,26)</f>
        <v>40315.723912037036</v>
      </c>
      <c r="C246">
        <v>80</v>
      </c>
      <c r="D246">
        <v>79.948326111</v>
      </c>
      <c r="E246">
        <v>50</v>
      </c>
      <c r="F246">
        <v>14.99878788</v>
      </c>
      <c r="G246">
        <v>1341.4019774999999</v>
      </c>
      <c r="H246">
        <v>1338.7093506000001</v>
      </c>
      <c r="I246">
        <v>1321.4929199000001</v>
      </c>
      <c r="J246">
        <v>1317.5065918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16.832276</v>
      </c>
      <c r="B247" s="1">
        <f>DATE(2010,5,17) + TIME(19,58,28)</f>
        <v>40315.832268518519</v>
      </c>
      <c r="C247">
        <v>80</v>
      </c>
      <c r="D247">
        <v>79.948318481000001</v>
      </c>
      <c r="E247">
        <v>50</v>
      </c>
      <c r="F247">
        <v>14.998790741000001</v>
      </c>
      <c r="G247">
        <v>1341.3969727000001</v>
      </c>
      <c r="H247">
        <v>1338.7053223</v>
      </c>
      <c r="I247">
        <v>1321.4931641000001</v>
      </c>
      <c r="J247">
        <v>1317.5068358999999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16.940629999999999</v>
      </c>
      <c r="B248" s="1">
        <f>DATE(2010,5,17) + TIME(22,34,30)</f>
        <v>40315.940625000003</v>
      </c>
      <c r="C248">
        <v>80</v>
      </c>
      <c r="D248">
        <v>79.948318481000001</v>
      </c>
      <c r="E248">
        <v>50</v>
      </c>
      <c r="F248">
        <v>14.998793601999999</v>
      </c>
      <c r="G248">
        <v>1341.3919678</v>
      </c>
      <c r="H248">
        <v>1338.7011719</v>
      </c>
      <c r="I248">
        <v>1321.4935303</v>
      </c>
      <c r="J248">
        <v>1317.5069579999999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17.157340000000001</v>
      </c>
      <c r="B249" s="1">
        <f>DATE(2010,5,18) + TIME(3,46,34)</f>
        <v>40316.157337962963</v>
      </c>
      <c r="C249">
        <v>80</v>
      </c>
      <c r="D249">
        <v>79.948318481000001</v>
      </c>
      <c r="E249">
        <v>50</v>
      </c>
      <c r="F249">
        <v>14.998798369999999</v>
      </c>
      <c r="G249">
        <v>1341.3865966999999</v>
      </c>
      <c r="H249">
        <v>1338.6968993999999</v>
      </c>
      <c r="I249">
        <v>1321.4938964999999</v>
      </c>
      <c r="J249">
        <v>1317.5072021000001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17.374153</v>
      </c>
      <c r="B250" s="1">
        <f>DATE(2010,5,18) + TIME(8,58,46)</f>
        <v>40316.374143518522</v>
      </c>
      <c r="C250">
        <v>80</v>
      </c>
      <c r="D250">
        <v>79.948303222999996</v>
      </c>
      <c r="E250">
        <v>50</v>
      </c>
      <c r="F250">
        <v>14.998803139</v>
      </c>
      <c r="G250">
        <v>1341.3770752</v>
      </c>
      <c r="H250">
        <v>1338.6892089999999</v>
      </c>
      <c r="I250">
        <v>1321.4942627</v>
      </c>
      <c r="J250">
        <v>1317.5075684000001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17.592739999999999</v>
      </c>
      <c r="B251" s="1">
        <f>DATE(2010,5,18) + TIME(14,13,32)</f>
        <v>40316.592731481483</v>
      </c>
      <c r="C251">
        <v>80</v>
      </c>
      <c r="D251">
        <v>79.948287964000002</v>
      </c>
      <c r="E251">
        <v>50</v>
      </c>
      <c r="F251">
        <v>14.998807907</v>
      </c>
      <c r="G251">
        <v>1341.3674315999999</v>
      </c>
      <c r="H251">
        <v>1338.6812743999999</v>
      </c>
      <c r="I251">
        <v>1321.4948730000001</v>
      </c>
      <c r="J251">
        <v>1317.5078125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17.813528999999999</v>
      </c>
      <c r="B252" s="1">
        <f>DATE(2010,5,18) + TIME(19,31,28)</f>
        <v>40316.813518518517</v>
      </c>
      <c r="C252">
        <v>80</v>
      </c>
      <c r="D252">
        <v>79.948280334000003</v>
      </c>
      <c r="E252">
        <v>50</v>
      </c>
      <c r="F252">
        <v>14.998813629000001</v>
      </c>
      <c r="G252">
        <v>1341.3577881000001</v>
      </c>
      <c r="H252">
        <v>1338.6734618999999</v>
      </c>
      <c r="I252">
        <v>1321.4953613</v>
      </c>
      <c r="J252">
        <v>1317.5081786999999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18.036943999999998</v>
      </c>
      <c r="B253" s="1">
        <f>DATE(2010,5,19) + TIME(0,53,11)</f>
        <v>40317.036932870367</v>
      </c>
      <c r="C253">
        <v>80</v>
      </c>
      <c r="D253">
        <v>79.948265075999998</v>
      </c>
      <c r="E253">
        <v>50</v>
      </c>
      <c r="F253">
        <v>14.998818397999999</v>
      </c>
      <c r="G253">
        <v>1341.3481445</v>
      </c>
      <c r="H253">
        <v>1338.6656493999999</v>
      </c>
      <c r="I253">
        <v>1321.4959716999999</v>
      </c>
      <c r="J253">
        <v>1317.5085449000001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18.263428999999999</v>
      </c>
      <c r="B254" s="1">
        <f>DATE(2010,5,19) + TIME(6,19,20)</f>
        <v>40317.263425925928</v>
      </c>
      <c r="C254">
        <v>80</v>
      </c>
      <c r="D254">
        <v>79.948249817000004</v>
      </c>
      <c r="E254">
        <v>50</v>
      </c>
      <c r="F254">
        <v>14.99882412</v>
      </c>
      <c r="G254">
        <v>1341.3383789</v>
      </c>
      <c r="H254">
        <v>1338.6578368999999</v>
      </c>
      <c r="I254">
        <v>1321.496582</v>
      </c>
      <c r="J254">
        <v>1317.5089111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18.493463999999999</v>
      </c>
      <c r="B255" s="1">
        <f>DATE(2010,5,19) + TIME(11,50,35)</f>
        <v>40317.493460648147</v>
      </c>
      <c r="C255">
        <v>80</v>
      </c>
      <c r="D255">
        <v>79.948234557999996</v>
      </c>
      <c r="E255">
        <v>50</v>
      </c>
      <c r="F255">
        <v>14.998828888</v>
      </c>
      <c r="G255">
        <v>1341.3287353999999</v>
      </c>
      <c r="H255">
        <v>1338.6500243999999</v>
      </c>
      <c r="I255">
        <v>1321.4970702999999</v>
      </c>
      <c r="J255">
        <v>1317.5092772999999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18.727606999999999</v>
      </c>
      <c r="B256" s="1">
        <f>DATE(2010,5,19) + TIME(17,27,45)</f>
        <v>40317.72760416667</v>
      </c>
      <c r="C256">
        <v>80</v>
      </c>
      <c r="D256">
        <v>79.948226929</v>
      </c>
      <c r="E256">
        <v>50</v>
      </c>
      <c r="F256">
        <v>14.998834609999999</v>
      </c>
      <c r="G256">
        <v>1341.3189697</v>
      </c>
      <c r="H256">
        <v>1338.6422118999999</v>
      </c>
      <c r="I256">
        <v>1321.4976807</v>
      </c>
      <c r="J256">
        <v>1317.5097656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18.966311000000001</v>
      </c>
      <c r="B257" s="1">
        <f>DATE(2010,5,19) + TIME(23,11,29)</f>
        <v>40317.966307870367</v>
      </c>
      <c r="C257">
        <v>80</v>
      </c>
      <c r="D257">
        <v>79.948211670000006</v>
      </c>
      <c r="E257">
        <v>50</v>
      </c>
      <c r="F257">
        <v>14.998839378</v>
      </c>
      <c r="G257">
        <v>1341.3092041</v>
      </c>
      <c r="H257">
        <v>1338.6343993999999</v>
      </c>
      <c r="I257">
        <v>1321.4982910000001</v>
      </c>
      <c r="J257">
        <v>1317.5101318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19.210146000000002</v>
      </c>
      <c r="B258" s="1">
        <f>DATE(2010,5,20) + TIME(5,2,36)</f>
        <v>40318.210138888891</v>
      </c>
      <c r="C258">
        <v>80</v>
      </c>
      <c r="D258">
        <v>79.948196410999998</v>
      </c>
      <c r="E258">
        <v>50</v>
      </c>
      <c r="F258">
        <v>14.9988451</v>
      </c>
      <c r="G258">
        <v>1341.2993164</v>
      </c>
      <c r="H258">
        <v>1338.6264647999999</v>
      </c>
      <c r="I258">
        <v>1321.4989014</v>
      </c>
      <c r="J258">
        <v>1317.5104980000001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19.458317999999998</v>
      </c>
      <c r="B259" s="1">
        <f>DATE(2010,5,20) + TIME(10,59,58)</f>
        <v>40318.458310185182</v>
      </c>
      <c r="C259">
        <v>80</v>
      </c>
      <c r="D259">
        <v>79.948181152000004</v>
      </c>
      <c r="E259">
        <v>50</v>
      </c>
      <c r="F259">
        <v>14.998850822</v>
      </c>
      <c r="G259">
        <v>1341.2893065999999</v>
      </c>
      <c r="H259">
        <v>1338.6185303</v>
      </c>
      <c r="I259">
        <v>1321.4995117000001</v>
      </c>
      <c r="J259">
        <v>1317.5108643000001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19.582502999999999</v>
      </c>
      <c r="B260" s="1">
        <f>DATE(2010,5,20) + TIME(13,58,48)</f>
        <v>40318.582499999997</v>
      </c>
      <c r="C260">
        <v>80</v>
      </c>
      <c r="D260">
        <v>79.948158264</v>
      </c>
      <c r="E260">
        <v>50</v>
      </c>
      <c r="F260">
        <v>14.998853683</v>
      </c>
      <c r="G260">
        <v>1341.2799072</v>
      </c>
      <c r="H260">
        <v>1338.6109618999999</v>
      </c>
      <c r="I260">
        <v>1321.5</v>
      </c>
      <c r="J260">
        <v>1317.5112305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19.706420000000001</v>
      </c>
      <c r="B261" s="1">
        <f>DATE(2010,5,20) + TIME(16,57,14)</f>
        <v>40318.706412037034</v>
      </c>
      <c r="C261">
        <v>80</v>
      </c>
      <c r="D261">
        <v>79.948150635000005</v>
      </c>
      <c r="E261">
        <v>50</v>
      </c>
      <c r="F261">
        <v>14.998856544000001</v>
      </c>
      <c r="G261">
        <v>1341.2744141000001</v>
      </c>
      <c r="H261">
        <v>1338.6065673999999</v>
      </c>
      <c r="I261">
        <v>1321.5004882999999</v>
      </c>
      <c r="J261">
        <v>1317.5114745999999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19.830202</v>
      </c>
      <c r="B262" s="1">
        <f>DATE(2010,5,20) + TIME(19,55,29)</f>
        <v>40318.830196759256</v>
      </c>
      <c r="C262">
        <v>80</v>
      </c>
      <c r="D262">
        <v>79.948143005000006</v>
      </c>
      <c r="E262">
        <v>50</v>
      </c>
      <c r="F262">
        <v>14.998859405999999</v>
      </c>
      <c r="G262">
        <v>1341.2694091999999</v>
      </c>
      <c r="H262">
        <v>1338.6025391000001</v>
      </c>
      <c r="I262">
        <v>1321.5008545000001</v>
      </c>
      <c r="J262">
        <v>1317.5117187999999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19.953876000000001</v>
      </c>
      <c r="B263" s="1">
        <f>DATE(2010,5,20) + TIME(22,53,34)</f>
        <v>40318.953865740739</v>
      </c>
      <c r="C263">
        <v>80</v>
      </c>
      <c r="D263">
        <v>79.948135375999996</v>
      </c>
      <c r="E263">
        <v>50</v>
      </c>
      <c r="F263">
        <v>14.998862267</v>
      </c>
      <c r="G263">
        <v>1341.2644043</v>
      </c>
      <c r="H263">
        <v>1338.5986327999999</v>
      </c>
      <c r="I263">
        <v>1321.5012207</v>
      </c>
      <c r="J263">
        <v>1317.5119629000001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20.077506</v>
      </c>
      <c r="B264" s="1">
        <f>DATE(2010,5,21) + TIME(1,51,36)</f>
        <v>40319.077499999999</v>
      </c>
      <c r="C264">
        <v>80</v>
      </c>
      <c r="D264">
        <v>79.948127747000001</v>
      </c>
      <c r="E264">
        <v>50</v>
      </c>
      <c r="F264">
        <v>14.998865128</v>
      </c>
      <c r="G264">
        <v>1341.2595214999999</v>
      </c>
      <c r="H264">
        <v>1338.5947266000001</v>
      </c>
      <c r="I264">
        <v>1321.5014647999999</v>
      </c>
      <c r="J264">
        <v>1317.512207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20.201135000000001</v>
      </c>
      <c r="B265" s="1">
        <f>DATE(2010,5,21) + TIME(4,49,38)</f>
        <v>40319.20113425926</v>
      </c>
      <c r="C265">
        <v>80</v>
      </c>
      <c r="D265">
        <v>79.948120117000002</v>
      </c>
      <c r="E265">
        <v>50</v>
      </c>
      <c r="F265">
        <v>14.998867989000001</v>
      </c>
      <c r="G265">
        <v>1341.2546387</v>
      </c>
      <c r="H265">
        <v>1338.5908202999999</v>
      </c>
      <c r="I265">
        <v>1321.5018310999999</v>
      </c>
      <c r="J265">
        <v>1317.5123291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20.324763999999998</v>
      </c>
      <c r="B266" s="1">
        <f>DATE(2010,5,21) + TIME(7,47,39)</f>
        <v>40319.324756944443</v>
      </c>
      <c r="C266">
        <v>80</v>
      </c>
      <c r="D266">
        <v>79.948112488000007</v>
      </c>
      <c r="E266">
        <v>50</v>
      </c>
      <c r="F266">
        <v>14.998870849999999</v>
      </c>
      <c r="G266">
        <v>1341.2498779</v>
      </c>
      <c r="H266">
        <v>1338.5869141000001</v>
      </c>
      <c r="I266">
        <v>1321.5020752</v>
      </c>
      <c r="J266">
        <v>1317.5125731999999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20.448394</v>
      </c>
      <c r="B267" s="1">
        <f>DATE(2010,5,21) + TIME(10,45,41)</f>
        <v>40319.448391203703</v>
      </c>
      <c r="C267">
        <v>80</v>
      </c>
      <c r="D267">
        <v>79.948104857999994</v>
      </c>
      <c r="E267">
        <v>50</v>
      </c>
      <c r="F267">
        <v>14.998873711</v>
      </c>
      <c r="G267">
        <v>1341.2449951000001</v>
      </c>
      <c r="H267">
        <v>1338.5831298999999</v>
      </c>
      <c r="I267">
        <v>1321.5024414</v>
      </c>
      <c r="J267">
        <v>1317.5128173999999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20.572023000000002</v>
      </c>
      <c r="B268" s="1">
        <f>DATE(2010,5,21) + TIME(13,43,42)</f>
        <v>40319.572013888886</v>
      </c>
      <c r="C268">
        <v>80</v>
      </c>
      <c r="D268">
        <v>79.948097228999998</v>
      </c>
      <c r="E268">
        <v>50</v>
      </c>
      <c r="F268">
        <v>14.998876572</v>
      </c>
      <c r="G268">
        <v>1341.2402344</v>
      </c>
      <c r="H268">
        <v>1338.5793457</v>
      </c>
      <c r="I268">
        <v>1321.5028076000001</v>
      </c>
      <c r="J268">
        <v>1317.5129394999999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20.695653</v>
      </c>
      <c r="B269" s="1">
        <f>DATE(2010,5,21) + TIME(16,41,44)</f>
        <v>40319.695648148147</v>
      </c>
      <c r="C269">
        <v>80</v>
      </c>
      <c r="D269">
        <v>79.948089600000003</v>
      </c>
      <c r="E269">
        <v>50</v>
      </c>
      <c r="F269">
        <v>14.998879433000001</v>
      </c>
      <c r="G269">
        <v>1341.2354736</v>
      </c>
      <c r="H269">
        <v>1338.5755615</v>
      </c>
      <c r="I269">
        <v>1321.5030518000001</v>
      </c>
      <c r="J269">
        <v>1317.5131836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20.942912</v>
      </c>
      <c r="B270" s="1">
        <f>DATE(2010,5,21) + TIME(22,37,47)</f>
        <v>40319.94290509259</v>
      </c>
      <c r="C270">
        <v>80</v>
      </c>
      <c r="D270">
        <v>79.948089600000003</v>
      </c>
      <c r="E270">
        <v>50</v>
      </c>
      <c r="F270">
        <v>14.998883247</v>
      </c>
      <c r="G270">
        <v>1341.2303466999999</v>
      </c>
      <c r="H270">
        <v>1338.5715332</v>
      </c>
      <c r="I270">
        <v>1321.5035399999999</v>
      </c>
      <c r="J270">
        <v>1317.5134277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21.190708000000001</v>
      </c>
      <c r="B271" s="1">
        <f>DATE(2010,5,22) + TIME(4,34,37)</f>
        <v>40320.190706018519</v>
      </c>
      <c r="C271">
        <v>80</v>
      </c>
      <c r="D271">
        <v>79.948081970000004</v>
      </c>
      <c r="E271">
        <v>50</v>
      </c>
      <c r="F271">
        <v>14.998888016</v>
      </c>
      <c r="G271">
        <v>1341.2214355000001</v>
      </c>
      <c r="H271">
        <v>1338.5644531</v>
      </c>
      <c r="I271">
        <v>1321.5040283000001</v>
      </c>
      <c r="J271">
        <v>1317.5137939000001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21.440362</v>
      </c>
      <c r="B272" s="1">
        <f>DATE(2010,5,22) + TIME(10,34,7)</f>
        <v>40320.440358796295</v>
      </c>
      <c r="C272">
        <v>80</v>
      </c>
      <c r="D272">
        <v>79.948066710999996</v>
      </c>
      <c r="E272">
        <v>50</v>
      </c>
      <c r="F272">
        <v>14.998893738</v>
      </c>
      <c r="G272">
        <v>1341.2121582</v>
      </c>
      <c r="H272">
        <v>1338.557251</v>
      </c>
      <c r="I272">
        <v>1321.5047606999999</v>
      </c>
      <c r="J272">
        <v>1317.5141602000001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21.692339</v>
      </c>
      <c r="B273" s="1">
        <f>DATE(2010,5,22) + TIME(16,36,58)</f>
        <v>40320.692337962966</v>
      </c>
      <c r="C273">
        <v>80</v>
      </c>
      <c r="D273">
        <v>79.948051453000005</v>
      </c>
      <c r="E273">
        <v>50</v>
      </c>
      <c r="F273">
        <v>14.998898506</v>
      </c>
      <c r="G273">
        <v>1341.2030029</v>
      </c>
      <c r="H273">
        <v>1338.5500488</v>
      </c>
      <c r="I273">
        <v>1321.5053711</v>
      </c>
      <c r="J273">
        <v>1317.5146483999999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21.947101</v>
      </c>
      <c r="B274" s="1">
        <f>DATE(2010,5,22) + TIME(22,43,49)</f>
        <v>40320.947094907409</v>
      </c>
      <c r="C274">
        <v>80</v>
      </c>
      <c r="D274">
        <v>79.948043823000006</v>
      </c>
      <c r="E274">
        <v>50</v>
      </c>
      <c r="F274">
        <v>14.998903275</v>
      </c>
      <c r="G274">
        <v>1341.1938477000001</v>
      </c>
      <c r="H274">
        <v>1338.5428466999999</v>
      </c>
      <c r="I274">
        <v>1321.5059814000001</v>
      </c>
      <c r="J274">
        <v>1317.5150146000001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22.205159999999999</v>
      </c>
      <c r="B275" s="1">
        <f>DATE(2010,5,23) + TIME(4,55,25)</f>
        <v>40321.205150462964</v>
      </c>
      <c r="C275">
        <v>80</v>
      </c>
      <c r="D275">
        <v>79.948028563999998</v>
      </c>
      <c r="E275">
        <v>50</v>
      </c>
      <c r="F275">
        <v>14.998908043</v>
      </c>
      <c r="G275">
        <v>1341.1846923999999</v>
      </c>
      <c r="H275">
        <v>1338.5356445</v>
      </c>
      <c r="I275">
        <v>1321.5067139</v>
      </c>
      <c r="J275">
        <v>1317.5155029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22.467064000000001</v>
      </c>
      <c r="B276" s="1">
        <f>DATE(2010,5,23) + TIME(11,12,34)</f>
        <v>40321.467060185183</v>
      </c>
      <c r="C276">
        <v>80</v>
      </c>
      <c r="D276">
        <v>79.948013306000007</v>
      </c>
      <c r="E276">
        <v>50</v>
      </c>
      <c r="F276">
        <v>14.998912811</v>
      </c>
      <c r="G276">
        <v>1341.1754149999999</v>
      </c>
      <c r="H276">
        <v>1338.5284423999999</v>
      </c>
      <c r="I276">
        <v>1321.5074463000001</v>
      </c>
      <c r="J276">
        <v>1317.5158690999999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22.733487</v>
      </c>
      <c r="B277" s="1">
        <f>DATE(2010,5,23) + TIME(17,36,13)</f>
        <v>40321.733483796299</v>
      </c>
      <c r="C277">
        <v>80</v>
      </c>
      <c r="D277">
        <v>79.947998046999999</v>
      </c>
      <c r="E277">
        <v>50</v>
      </c>
      <c r="F277">
        <v>14.998918532999999</v>
      </c>
      <c r="G277">
        <v>1341.1661377</v>
      </c>
      <c r="H277">
        <v>1338.5212402</v>
      </c>
      <c r="I277">
        <v>1321.5080565999999</v>
      </c>
      <c r="J277">
        <v>1317.5163574000001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23.005009000000001</v>
      </c>
      <c r="B278" s="1">
        <f>DATE(2010,5,24) + TIME(0,7,12)</f>
        <v>40322.004999999997</v>
      </c>
      <c r="C278">
        <v>80</v>
      </c>
      <c r="D278">
        <v>79.947990417</v>
      </c>
      <c r="E278">
        <v>50</v>
      </c>
      <c r="F278">
        <v>14.998923302</v>
      </c>
      <c r="G278">
        <v>1341.1568603999999</v>
      </c>
      <c r="H278">
        <v>1338.5139160000001</v>
      </c>
      <c r="I278">
        <v>1321.5087891000001</v>
      </c>
      <c r="J278">
        <v>1317.5168457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23.143646</v>
      </c>
      <c r="B279" s="1">
        <f>DATE(2010,5,24) + TIME(3,26,51)</f>
        <v>40322.143645833334</v>
      </c>
      <c r="C279">
        <v>80</v>
      </c>
      <c r="D279">
        <v>79.947967528999996</v>
      </c>
      <c r="E279">
        <v>50</v>
      </c>
      <c r="F279">
        <v>14.998926163</v>
      </c>
      <c r="G279">
        <v>1341.1481934000001</v>
      </c>
      <c r="H279">
        <v>1338.5070800999999</v>
      </c>
      <c r="I279">
        <v>1321.5093993999999</v>
      </c>
      <c r="J279">
        <v>1317.5172118999999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23.282284000000001</v>
      </c>
      <c r="B280" s="1">
        <f>DATE(2010,5,24) + TIME(6,46,29)</f>
        <v>40322.282280092593</v>
      </c>
      <c r="C280">
        <v>80</v>
      </c>
      <c r="D280">
        <v>79.947959900000001</v>
      </c>
      <c r="E280">
        <v>50</v>
      </c>
      <c r="F280">
        <v>14.998929977</v>
      </c>
      <c r="G280">
        <v>1341.1429443</v>
      </c>
      <c r="H280">
        <v>1338.5030518000001</v>
      </c>
      <c r="I280">
        <v>1321.5098877</v>
      </c>
      <c r="J280">
        <v>1317.5174560999999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23.420921</v>
      </c>
      <c r="B281" s="1">
        <f>DATE(2010,5,24) + TIME(10,6,7)</f>
        <v>40322.420914351853</v>
      </c>
      <c r="C281">
        <v>80</v>
      </c>
      <c r="D281">
        <v>79.947952271000005</v>
      </c>
      <c r="E281">
        <v>50</v>
      </c>
      <c r="F281">
        <v>14.998932838</v>
      </c>
      <c r="G281">
        <v>1341.1380615</v>
      </c>
      <c r="H281">
        <v>1338.4992675999999</v>
      </c>
      <c r="I281">
        <v>1321.5102539</v>
      </c>
      <c r="J281">
        <v>1317.5177002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23.559557999999999</v>
      </c>
      <c r="B282" s="1">
        <f>DATE(2010,5,24) + TIME(13,25,45)</f>
        <v>40322.559548611112</v>
      </c>
      <c r="C282">
        <v>80</v>
      </c>
      <c r="D282">
        <v>79.947944641000007</v>
      </c>
      <c r="E282">
        <v>50</v>
      </c>
      <c r="F282">
        <v>14.998935699</v>
      </c>
      <c r="G282">
        <v>1341.1333007999999</v>
      </c>
      <c r="H282">
        <v>1338.4956055</v>
      </c>
      <c r="I282">
        <v>1321.5106201000001</v>
      </c>
      <c r="J282">
        <v>1317.5179443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23.698194999999998</v>
      </c>
      <c r="B283" s="1">
        <f>DATE(2010,5,24) + TIME(16,45,24)</f>
        <v>40322.698194444441</v>
      </c>
      <c r="C283">
        <v>80</v>
      </c>
      <c r="D283">
        <v>79.947937011999997</v>
      </c>
      <c r="E283">
        <v>50</v>
      </c>
      <c r="F283">
        <v>14.998938559999999</v>
      </c>
      <c r="G283">
        <v>1341.1285399999999</v>
      </c>
      <c r="H283">
        <v>1338.4919434000001</v>
      </c>
      <c r="I283">
        <v>1321.5109863</v>
      </c>
      <c r="J283">
        <v>1317.5181885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23.836832000000001</v>
      </c>
      <c r="B284" s="1">
        <f>DATE(2010,5,24) + TIME(20,5,2)</f>
        <v>40322.836828703701</v>
      </c>
      <c r="C284">
        <v>80</v>
      </c>
      <c r="D284">
        <v>79.947929381999998</v>
      </c>
      <c r="E284">
        <v>50</v>
      </c>
      <c r="F284">
        <v>14.998940468000001</v>
      </c>
      <c r="G284">
        <v>1341.1239014</v>
      </c>
      <c r="H284">
        <v>1338.4882812000001</v>
      </c>
      <c r="I284">
        <v>1321.5113524999999</v>
      </c>
      <c r="J284">
        <v>1317.5184326000001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23.975470000000001</v>
      </c>
      <c r="B285" s="1">
        <f>DATE(2010,5,24) + TIME(23,24,40)</f>
        <v>40322.975462962961</v>
      </c>
      <c r="C285">
        <v>80</v>
      </c>
      <c r="D285">
        <v>79.947921753000003</v>
      </c>
      <c r="E285">
        <v>50</v>
      </c>
      <c r="F285">
        <v>14.998943328999999</v>
      </c>
      <c r="G285">
        <v>1341.1192627</v>
      </c>
      <c r="H285">
        <v>1338.4846190999999</v>
      </c>
      <c r="I285">
        <v>1321.5117187999999</v>
      </c>
      <c r="J285">
        <v>1317.5186768000001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24.114107000000001</v>
      </c>
      <c r="B286" s="1">
        <f>DATE(2010,5,25) + TIME(2,44,18)</f>
        <v>40323.11409722222</v>
      </c>
      <c r="C286">
        <v>80</v>
      </c>
      <c r="D286">
        <v>79.947914123999993</v>
      </c>
      <c r="E286">
        <v>50</v>
      </c>
      <c r="F286">
        <v>14.99894619</v>
      </c>
      <c r="G286">
        <v>1341.114624</v>
      </c>
      <c r="H286">
        <v>1338.4810791</v>
      </c>
      <c r="I286">
        <v>1321.5120850000001</v>
      </c>
      <c r="J286">
        <v>1317.5189209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24.252744</v>
      </c>
      <c r="B287" s="1">
        <f>DATE(2010,5,25) + TIME(6,3,57)</f>
        <v>40323.252743055556</v>
      </c>
      <c r="C287">
        <v>80</v>
      </c>
      <c r="D287">
        <v>79.947906493999994</v>
      </c>
      <c r="E287">
        <v>50</v>
      </c>
      <c r="F287">
        <v>14.998949051</v>
      </c>
      <c r="G287">
        <v>1341.1101074000001</v>
      </c>
      <c r="H287">
        <v>1338.4775391000001</v>
      </c>
      <c r="I287">
        <v>1321.5124512</v>
      </c>
      <c r="J287">
        <v>1317.5191649999999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24.391380999999999</v>
      </c>
      <c r="B288" s="1">
        <f>DATE(2010,5,25) + TIME(9,23,35)</f>
        <v>40323.391377314816</v>
      </c>
      <c r="C288">
        <v>80</v>
      </c>
      <c r="D288">
        <v>79.947898864999999</v>
      </c>
      <c r="E288">
        <v>50</v>
      </c>
      <c r="F288">
        <v>14.998951912000001</v>
      </c>
      <c r="G288">
        <v>1341.1054687999999</v>
      </c>
      <c r="H288">
        <v>1338.473999</v>
      </c>
      <c r="I288">
        <v>1321.5128173999999</v>
      </c>
      <c r="J288">
        <v>1317.5194091999999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24.530017999999998</v>
      </c>
      <c r="B289" s="1">
        <f>DATE(2010,5,25) + TIME(12,43,13)</f>
        <v>40323.530011574076</v>
      </c>
      <c r="C289">
        <v>80</v>
      </c>
      <c r="D289">
        <v>79.947891235</v>
      </c>
      <c r="E289">
        <v>50</v>
      </c>
      <c r="F289">
        <v>14.998953819</v>
      </c>
      <c r="G289">
        <v>1341.1009521000001</v>
      </c>
      <c r="H289">
        <v>1338.4704589999999</v>
      </c>
      <c r="I289">
        <v>1321.5131836</v>
      </c>
      <c r="J289">
        <v>1317.5196533000001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24.668655999999999</v>
      </c>
      <c r="B290" s="1">
        <f>DATE(2010,5,25) + TIME(16,2,51)</f>
        <v>40323.668645833335</v>
      </c>
      <c r="C290">
        <v>80</v>
      </c>
      <c r="D290">
        <v>79.947883606000005</v>
      </c>
      <c r="E290">
        <v>50</v>
      </c>
      <c r="F290">
        <v>14.998956679999999</v>
      </c>
      <c r="G290">
        <v>1341.0964355000001</v>
      </c>
      <c r="H290">
        <v>1338.4669189000001</v>
      </c>
      <c r="I290">
        <v>1321.5135498</v>
      </c>
      <c r="J290">
        <v>1317.5198975000001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24.807293000000001</v>
      </c>
      <c r="B291" s="1">
        <f>DATE(2010,5,25) + TIME(19,22,30)</f>
        <v>40323.807291666664</v>
      </c>
      <c r="C291">
        <v>80</v>
      </c>
      <c r="D291">
        <v>79.947883606000005</v>
      </c>
      <c r="E291">
        <v>50</v>
      </c>
      <c r="F291">
        <v>14.998959541</v>
      </c>
      <c r="G291">
        <v>1341.0920410000001</v>
      </c>
      <c r="H291">
        <v>1338.463501</v>
      </c>
      <c r="I291">
        <v>1321.5140381000001</v>
      </c>
      <c r="J291">
        <v>1317.5201416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24.945930000000001</v>
      </c>
      <c r="B292" s="1">
        <f>DATE(2010,5,25) + TIME(22,42,8)</f>
        <v>40323.945925925924</v>
      </c>
      <c r="C292">
        <v>80</v>
      </c>
      <c r="D292">
        <v>79.947875976999995</v>
      </c>
      <c r="E292">
        <v>50</v>
      </c>
      <c r="F292">
        <v>14.998962402</v>
      </c>
      <c r="G292">
        <v>1341.0875243999999</v>
      </c>
      <c r="H292">
        <v>1338.4600829999999</v>
      </c>
      <c r="I292">
        <v>1321.5144043</v>
      </c>
      <c r="J292">
        <v>1317.5203856999999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25.084567</v>
      </c>
      <c r="B293" s="1">
        <f>DATE(2010,5,26) + TIME(2,1,46)</f>
        <v>40324.084560185183</v>
      </c>
      <c r="C293">
        <v>80</v>
      </c>
      <c r="D293">
        <v>79.947868346999996</v>
      </c>
      <c r="E293">
        <v>50</v>
      </c>
      <c r="F293">
        <v>14.99896431</v>
      </c>
      <c r="G293">
        <v>1341.0831298999999</v>
      </c>
      <c r="H293">
        <v>1338.4566649999999</v>
      </c>
      <c r="I293">
        <v>1321.5147704999999</v>
      </c>
      <c r="J293">
        <v>1317.5206298999999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25.361841999999999</v>
      </c>
      <c r="B294" s="1">
        <f>DATE(2010,5,26) + TIME(8,41,3)</f>
        <v>40324.361840277779</v>
      </c>
      <c r="C294">
        <v>80</v>
      </c>
      <c r="D294">
        <v>79.947868346999996</v>
      </c>
      <c r="E294">
        <v>50</v>
      </c>
      <c r="F294">
        <v>14.998969078</v>
      </c>
      <c r="G294">
        <v>1341.0782471</v>
      </c>
      <c r="H294">
        <v>1338.4528809000001</v>
      </c>
      <c r="I294">
        <v>1321.5152588000001</v>
      </c>
      <c r="J294">
        <v>1317.520874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25.639744</v>
      </c>
      <c r="B295" s="1">
        <f>DATE(2010,5,26) + TIME(15,21,13)</f>
        <v>40324.639733796299</v>
      </c>
      <c r="C295">
        <v>80</v>
      </c>
      <c r="D295">
        <v>79.947860718000001</v>
      </c>
      <c r="E295">
        <v>50</v>
      </c>
      <c r="F295">
        <v>14.998972892999999</v>
      </c>
      <c r="G295">
        <v>1341.0698242000001</v>
      </c>
      <c r="H295">
        <v>1338.4465332</v>
      </c>
      <c r="I295">
        <v>1321.5158690999999</v>
      </c>
      <c r="J295">
        <v>1317.5213623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25.920598999999999</v>
      </c>
      <c r="B296" s="1">
        <f>DATE(2010,5,26) + TIME(22,5,39)</f>
        <v>40324.920590277776</v>
      </c>
      <c r="C296">
        <v>80</v>
      </c>
      <c r="D296">
        <v>79.947853088000002</v>
      </c>
      <c r="E296">
        <v>50</v>
      </c>
      <c r="F296">
        <v>14.998977661</v>
      </c>
      <c r="G296">
        <v>1341.0612793</v>
      </c>
      <c r="H296">
        <v>1338.4399414</v>
      </c>
      <c r="I296">
        <v>1321.5166016000001</v>
      </c>
      <c r="J296">
        <v>1317.5218506000001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26.204944999999999</v>
      </c>
      <c r="B297" s="1">
        <f>DATE(2010,5,27) + TIME(4,55,7)</f>
        <v>40325.204942129632</v>
      </c>
      <c r="C297">
        <v>80</v>
      </c>
      <c r="D297">
        <v>79.947837829999997</v>
      </c>
      <c r="E297">
        <v>50</v>
      </c>
      <c r="F297">
        <v>14.99898243</v>
      </c>
      <c r="G297">
        <v>1341.0526123</v>
      </c>
      <c r="H297">
        <v>1338.4332274999999</v>
      </c>
      <c r="I297">
        <v>1321.5174560999999</v>
      </c>
      <c r="J297">
        <v>1317.5223389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26.493352000000002</v>
      </c>
      <c r="B298" s="1">
        <f>DATE(2010,5,27) + TIME(11,50,25)</f>
        <v>40325.493344907409</v>
      </c>
      <c r="C298">
        <v>80</v>
      </c>
      <c r="D298">
        <v>79.947830199999999</v>
      </c>
      <c r="E298">
        <v>50</v>
      </c>
      <c r="F298">
        <v>14.998987198</v>
      </c>
      <c r="G298">
        <v>1341.0439452999999</v>
      </c>
      <c r="H298">
        <v>1338.4266356999999</v>
      </c>
      <c r="I298">
        <v>1321.5181885</v>
      </c>
      <c r="J298">
        <v>1317.5228271000001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26.786439000000001</v>
      </c>
      <c r="B299" s="1">
        <f>DATE(2010,5,27) + TIME(18,52,28)</f>
        <v>40325.786435185182</v>
      </c>
      <c r="C299">
        <v>80</v>
      </c>
      <c r="D299">
        <v>79.947814941000004</v>
      </c>
      <c r="E299">
        <v>50</v>
      </c>
      <c r="F299">
        <v>14.998991966</v>
      </c>
      <c r="G299">
        <v>1341.0352783000001</v>
      </c>
      <c r="H299">
        <v>1338.4199219</v>
      </c>
      <c r="I299">
        <v>1321.519043</v>
      </c>
      <c r="J299">
        <v>1317.5233154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27.084955999999998</v>
      </c>
      <c r="B300" s="1">
        <f>DATE(2010,5,28) + TIME(2,2,20)</f>
        <v>40326.084953703707</v>
      </c>
      <c r="C300">
        <v>80</v>
      </c>
      <c r="D300">
        <v>79.947807311999995</v>
      </c>
      <c r="E300">
        <v>50</v>
      </c>
      <c r="F300">
        <v>14.998997687999999</v>
      </c>
      <c r="G300">
        <v>1341.0264893000001</v>
      </c>
      <c r="H300">
        <v>1338.4132079999999</v>
      </c>
      <c r="I300">
        <v>1321.5197754000001</v>
      </c>
      <c r="J300">
        <v>1317.5238036999999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27.389565999999999</v>
      </c>
      <c r="B301" s="1">
        <f>DATE(2010,5,28) + TIME(9,20,58)</f>
        <v>40326.389560185184</v>
      </c>
      <c r="C301">
        <v>80</v>
      </c>
      <c r="D301">
        <v>79.947792053000001</v>
      </c>
      <c r="E301">
        <v>50</v>
      </c>
      <c r="F301">
        <v>14.999002457</v>
      </c>
      <c r="G301">
        <v>1341.0175781</v>
      </c>
      <c r="H301">
        <v>1338.4064940999999</v>
      </c>
      <c r="I301">
        <v>1321.5206298999999</v>
      </c>
      <c r="J301">
        <v>1317.5244141000001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27.543551999999998</v>
      </c>
      <c r="B302" s="1">
        <f>DATE(2010,5,28) + TIME(13,2,42)</f>
        <v>40326.543541666666</v>
      </c>
      <c r="C302">
        <v>80</v>
      </c>
      <c r="D302">
        <v>79.947776794000006</v>
      </c>
      <c r="E302">
        <v>50</v>
      </c>
      <c r="F302">
        <v>14.999005318</v>
      </c>
      <c r="G302">
        <v>1341.0093993999999</v>
      </c>
      <c r="H302">
        <v>1338.4001464999999</v>
      </c>
      <c r="I302">
        <v>1321.5213623</v>
      </c>
      <c r="J302">
        <v>1317.5247803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27.697538000000002</v>
      </c>
      <c r="B303" s="1">
        <f>DATE(2010,5,28) + TIME(16,44,27)</f>
        <v>40326.697534722225</v>
      </c>
      <c r="C303">
        <v>80</v>
      </c>
      <c r="D303">
        <v>79.947761536000002</v>
      </c>
      <c r="E303">
        <v>50</v>
      </c>
      <c r="F303">
        <v>14.999008179</v>
      </c>
      <c r="G303">
        <v>1341.0043945</v>
      </c>
      <c r="H303">
        <v>1338.3963623</v>
      </c>
      <c r="I303">
        <v>1321.5218506000001</v>
      </c>
      <c r="J303">
        <v>1317.5251464999999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27.851524000000001</v>
      </c>
      <c r="B304" s="1">
        <f>DATE(2010,5,28) + TIME(20,26,11)</f>
        <v>40326.8515162037</v>
      </c>
      <c r="C304">
        <v>80</v>
      </c>
      <c r="D304">
        <v>79.947753906000003</v>
      </c>
      <c r="E304">
        <v>50</v>
      </c>
      <c r="F304">
        <v>14.999011039999999</v>
      </c>
      <c r="G304">
        <v>1340.9997559000001</v>
      </c>
      <c r="H304">
        <v>1338.3928223</v>
      </c>
      <c r="I304">
        <v>1321.5223389</v>
      </c>
      <c r="J304">
        <v>1317.5255127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28.005351000000001</v>
      </c>
      <c r="B305" s="1">
        <f>DATE(2010,5,29) + TIME(0,7,42)</f>
        <v>40327.005347222221</v>
      </c>
      <c r="C305">
        <v>80</v>
      </c>
      <c r="D305">
        <v>79.947753906000003</v>
      </c>
      <c r="E305">
        <v>50</v>
      </c>
      <c r="F305">
        <v>14.999013901</v>
      </c>
      <c r="G305">
        <v>1340.9952393000001</v>
      </c>
      <c r="H305">
        <v>1338.3894043</v>
      </c>
      <c r="I305">
        <v>1321.5228271000001</v>
      </c>
      <c r="J305">
        <v>1317.5257568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28.159002999999998</v>
      </c>
      <c r="B306" s="1">
        <f>DATE(2010,5,29) + TIME(3,48,57)</f>
        <v>40327.158993055556</v>
      </c>
      <c r="C306">
        <v>80</v>
      </c>
      <c r="D306">
        <v>79.947746276999993</v>
      </c>
      <c r="E306">
        <v>50</v>
      </c>
      <c r="F306">
        <v>14.999016762</v>
      </c>
      <c r="G306">
        <v>1340.9908447</v>
      </c>
      <c r="H306">
        <v>1338.3859863</v>
      </c>
      <c r="I306">
        <v>1321.5231934000001</v>
      </c>
      <c r="J306">
        <v>1317.526001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28.312549000000001</v>
      </c>
      <c r="B307" s="1">
        <f>DATE(2010,5,29) + TIME(7,30,4)</f>
        <v>40327.3125462963</v>
      </c>
      <c r="C307">
        <v>80</v>
      </c>
      <c r="D307">
        <v>79.947738646999994</v>
      </c>
      <c r="E307">
        <v>50</v>
      </c>
      <c r="F307">
        <v>14.999018669</v>
      </c>
      <c r="G307">
        <v>1340.9864502</v>
      </c>
      <c r="H307">
        <v>1338.3826904</v>
      </c>
      <c r="I307">
        <v>1321.5236815999999</v>
      </c>
      <c r="J307">
        <v>1317.5262451000001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28.466090000000001</v>
      </c>
      <c r="B308" s="1">
        <f>DATE(2010,5,29) + TIME(11,11,10)</f>
        <v>40327.466087962966</v>
      </c>
      <c r="C308">
        <v>80</v>
      </c>
      <c r="D308">
        <v>79.947731017999999</v>
      </c>
      <c r="E308">
        <v>50</v>
      </c>
      <c r="F308">
        <v>14.99902153</v>
      </c>
      <c r="G308">
        <v>1340.9820557</v>
      </c>
      <c r="H308">
        <v>1338.3792725000001</v>
      </c>
      <c r="I308">
        <v>1321.5240478999999</v>
      </c>
      <c r="J308">
        <v>1317.5266113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28.619631999999999</v>
      </c>
      <c r="B309" s="1">
        <f>DATE(2010,5,29) + TIME(14,52,16)</f>
        <v>40327.619629629633</v>
      </c>
      <c r="C309">
        <v>80</v>
      </c>
      <c r="D309">
        <v>79.947723389000004</v>
      </c>
      <c r="E309">
        <v>50</v>
      </c>
      <c r="F309">
        <v>14.999024391000001</v>
      </c>
      <c r="G309">
        <v>1340.9776611</v>
      </c>
      <c r="H309">
        <v>1338.3759766000001</v>
      </c>
      <c r="I309">
        <v>1321.5245361</v>
      </c>
      <c r="J309">
        <v>1317.5268555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28.773173</v>
      </c>
      <c r="B310" s="1">
        <f>DATE(2010,5,29) + TIME(18,33,22)</f>
        <v>40327.7731712963</v>
      </c>
      <c r="C310">
        <v>80</v>
      </c>
      <c r="D310">
        <v>79.947723389000004</v>
      </c>
      <c r="E310">
        <v>50</v>
      </c>
      <c r="F310">
        <v>14.999027251999999</v>
      </c>
      <c r="G310">
        <v>1340.9733887</v>
      </c>
      <c r="H310">
        <v>1338.3726807</v>
      </c>
      <c r="I310">
        <v>1321.5249022999999</v>
      </c>
      <c r="J310">
        <v>1317.5270995999999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28.926714</v>
      </c>
      <c r="B311" s="1">
        <f>DATE(2010,5,29) + TIME(22,14,28)</f>
        <v>40327.926712962966</v>
      </c>
      <c r="C311">
        <v>80</v>
      </c>
      <c r="D311">
        <v>79.947715759000005</v>
      </c>
      <c r="E311">
        <v>50</v>
      </c>
      <c r="F311">
        <v>14.999029159999999</v>
      </c>
      <c r="G311">
        <v>1340.9691161999999</v>
      </c>
      <c r="H311">
        <v>1338.3693848</v>
      </c>
      <c r="I311">
        <v>1321.5253906</v>
      </c>
      <c r="J311">
        <v>1317.5273437999999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29.080255999999999</v>
      </c>
      <c r="B312" s="1">
        <f>DATE(2010,5,30) + TIME(1,55,34)</f>
        <v>40328.080254629633</v>
      </c>
      <c r="C312">
        <v>80</v>
      </c>
      <c r="D312">
        <v>79.947708129999995</v>
      </c>
      <c r="E312">
        <v>50</v>
      </c>
      <c r="F312">
        <v>14.999032021</v>
      </c>
      <c r="G312">
        <v>1340.9648437999999</v>
      </c>
      <c r="H312">
        <v>1338.3662108999999</v>
      </c>
      <c r="I312">
        <v>1321.5257568</v>
      </c>
      <c r="J312">
        <v>1317.5275879000001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29.233796999999999</v>
      </c>
      <c r="B313" s="1">
        <f>DATE(2010,5,30) + TIME(5,36,40)</f>
        <v>40328.233796296299</v>
      </c>
      <c r="C313">
        <v>80</v>
      </c>
      <c r="D313">
        <v>79.947700499999996</v>
      </c>
      <c r="E313">
        <v>50</v>
      </c>
      <c r="F313">
        <v>14.999034882</v>
      </c>
      <c r="G313">
        <v>1340.9605713000001</v>
      </c>
      <c r="H313">
        <v>1338.3629149999999</v>
      </c>
      <c r="I313">
        <v>1321.5262451000001</v>
      </c>
      <c r="J313">
        <v>1317.5279541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29.387338</v>
      </c>
      <c r="B314" s="1">
        <f>DATE(2010,5,30) + TIME(9,17,46)</f>
        <v>40328.387337962966</v>
      </c>
      <c r="C314">
        <v>80</v>
      </c>
      <c r="D314">
        <v>79.947700499999996</v>
      </c>
      <c r="E314">
        <v>50</v>
      </c>
      <c r="F314">
        <v>14.999036789</v>
      </c>
      <c r="G314">
        <v>1340.9562988</v>
      </c>
      <c r="H314">
        <v>1338.3597411999999</v>
      </c>
      <c r="I314">
        <v>1321.5267334</v>
      </c>
      <c r="J314">
        <v>1317.5281981999999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29.694420999999998</v>
      </c>
      <c r="B315" s="1">
        <f>DATE(2010,5,30) + TIME(16,39,57)</f>
        <v>40328.694409722222</v>
      </c>
      <c r="C315">
        <v>80</v>
      </c>
      <c r="D315">
        <v>79.947700499999996</v>
      </c>
      <c r="E315">
        <v>50</v>
      </c>
      <c r="F315">
        <v>14.999041557</v>
      </c>
      <c r="G315">
        <v>1340.9516602000001</v>
      </c>
      <c r="H315">
        <v>1338.3562012</v>
      </c>
      <c r="I315">
        <v>1321.5272216999999</v>
      </c>
      <c r="J315">
        <v>1317.5285644999999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30.001856</v>
      </c>
      <c r="B316" s="1">
        <f>DATE(2010,5,31) + TIME(0,2,40)</f>
        <v>40329.001851851855</v>
      </c>
      <c r="C316">
        <v>80</v>
      </c>
      <c r="D316">
        <v>79.947692871000001</v>
      </c>
      <c r="E316">
        <v>50</v>
      </c>
      <c r="F316">
        <v>14.999045371999999</v>
      </c>
      <c r="G316">
        <v>1340.9437256000001</v>
      </c>
      <c r="H316">
        <v>1338.3502197</v>
      </c>
      <c r="I316">
        <v>1321.5279541</v>
      </c>
      <c r="J316">
        <v>1317.5290527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30.312488999999999</v>
      </c>
      <c r="B317" s="1">
        <f>DATE(2010,5,31) + TIME(7,29,59)</f>
        <v>40329.312488425923</v>
      </c>
      <c r="C317">
        <v>80</v>
      </c>
      <c r="D317">
        <v>79.947685242000006</v>
      </c>
      <c r="E317">
        <v>50</v>
      </c>
      <c r="F317">
        <v>14.99905014</v>
      </c>
      <c r="G317">
        <v>1340.9355469</v>
      </c>
      <c r="H317">
        <v>1338.3439940999999</v>
      </c>
      <c r="I317">
        <v>1321.5289307</v>
      </c>
      <c r="J317">
        <v>1317.5295410000001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30.626950000000001</v>
      </c>
      <c r="B318" s="1">
        <f>DATE(2010,5,31) + TIME(15,2,48)</f>
        <v>40329.626944444448</v>
      </c>
      <c r="C318">
        <v>80</v>
      </c>
      <c r="D318">
        <v>79.947677612000007</v>
      </c>
      <c r="E318">
        <v>50</v>
      </c>
      <c r="F318">
        <v>14.999054909</v>
      </c>
      <c r="G318">
        <v>1340.9272461</v>
      </c>
      <c r="H318">
        <v>1338.3377685999999</v>
      </c>
      <c r="I318">
        <v>1321.5297852000001</v>
      </c>
      <c r="J318">
        <v>1317.5301514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30.945888</v>
      </c>
      <c r="B319" s="1">
        <f>DATE(2010,5,31) + TIME(22,42,4)</f>
        <v>40329.945879629631</v>
      </c>
      <c r="C319">
        <v>80</v>
      </c>
      <c r="D319">
        <v>79.947669982999997</v>
      </c>
      <c r="E319">
        <v>50</v>
      </c>
      <c r="F319">
        <v>14.999059677</v>
      </c>
      <c r="G319">
        <v>1340.9189452999999</v>
      </c>
      <c r="H319">
        <v>1338.331543</v>
      </c>
      <c r="I319">
        <v>1321.5306396000001</v>
      </c>
      <c r="J319">
        <v>1317.5307617000001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31</v>
      </c>
      <c r="B320" s="1">
        <f>DATE(2010,6,1) + TIME(0,0,0)</f>
        <v>40330</v>
      </c>
      <c r="C320">
        <v>80</v>
      </c>
      <c r="D320">
        <v>79.947654724000003</v>
      </c>
      <c r="E320">
        <v>50</v>
      </c>
      <c r="F320">
        <v>14.999060631000001</v>
      </c>
      <c r="G320">
        <v>1340.9128418</v>
      </c>
      <c r="H320">
        <v>1338.3270264</v>
      </c>
      <c r="I320">
        <v>1321.5310059000001</v>
      </c>
      <c r="J320">
        <v>1317.5310059000001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31.324104999999999</v>
      </c>
      <c r="B321" s="1">
        <f>DATE(2010,6,1) + TIME(7,46,42)</f>
        <v>40330.324097222219</v>
      </c>
      <c r="C321">
        <v>80</v>
      </c>
      <c r="D321">
        <v>79.947654724000003</v>
      </c>
      <c r="E321">
        <v>50</v>
      </c>
      <c r="F321">
        <v>14.999065398999999</v>
      </c>
      <c r="G321">
        <v>1340.9089355000001</v>
      </c>
      <c r="H321">
        <v>1338.3239745999999</v>
      </c>
      <c r="I321">
        <v>1321.5318603999999</v>
      </c>
      <c r="J321">
        <v>1317.5314940999999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31.655387000000001</v>
      </c>
      <c r="B322" s="1">
        <f>DATE(2010,6,1) + TIME(15,43,45)</f>
        <v>40330.655381944445</v>
      </c>
      <c r="C322">
        <v>80</v>
      </c>
      <c r="D322">
        <v>79.947647094999994</v>
      </c>
      <c r="E322">
        <v>50</v>
      </c>
      <c r="F322">
        <v>14.999070167999999</v>
      </c>
      <c r="G322">
        <v>1340.9007568</v>
      </c>
      <c r="H322">
        <v>1338.3178711</v>
      </c>
      <c r="I322">
        <v>1321.5327147999999</v>
      </c>
      <c r="J322">
        <v>1317.5319824000001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31.82414</v>
      </c>
      <c r="B323" s="1">
        <f>DATE(2010,6,1) + TIME(19,46,45)</f>
        <v>40330.824131944442</v>
      </c>
      <c r="C323">
        <v>80</v>
      </c>
      <c r="D323">
        <v>79.947631835999999</v>
      </c>
      <c r="E323">
        <v>50</v>
      </c>
      <c r="F323">
        <v>14.999073029</v>
      </c>
      <c r="G323">
        <v>1340.8929443</v>
      </c>
      <c r="H323">
        <v>1338.3120117000001</v>
      </c>
      <c r="I323">
        <v>1321.5335693</v>
      </c>
      <c r="J323">
        <v>1317.5324707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31.992894</v>
      </c>
      <c r="B324" s="1">
        <f>DATE(2010,6,1) + TIME(23,49,46)</f>
        <v>40330.992893518516</v>
      </c>
      <c r="C324">
        <v>80</v>
      </c>
      <c r="D324">
        <v>79.947624207000004</v>
      </c>
      <c r="E324">
        <v>50</v>
      </c>
      <c r="F324">
        <v>14.99907589</v>
      </c>
      <c r="G324">
        <v>1340.8883057</v>
      </c>
      <c r="H324">
        <v>1338.3084716999999</v>
      </c>
      <c r="I324">
        <v>1321.5341797000001</v>
      </c>
      <c r="J324">
        <v>1317.5329589999999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32.161648</v>
      </c>
      <c r="B325" s="1">
        <f>DATE(2010,6,2) + TIME(3,52,46)</f>
        <v>40331.161643518521</v>
      </c>
      <c r="C325">
        <v>80</v>
      </c>
      <c r="D325">
        <v>79.947616577000005</v>
      </c>
      <c r="E325">
        <v>50</v>
      </c>
      <c r="F325">
        <v>14.999078751000001</v>
      </c>
      <c r="G325">
        <v>1340.8839111</v>
      </c>
      <c r="H325">
        <v>1338.3051757999999</v>
      </c>
      <c r="I325">
        <v>1321.534668</v>
      </c>
      <c r="J325">
        <v>1317.5332031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32.330171999999997</v>
      </c>
      <c r="B326" s="1">
        <f>DATE(2010,6,2) + TIME(7,55,26)</f>
        <v>40331.33016203704</v>
      </c>
      <c r="C326">
        <v>80</v>
      </c>
      <c r="D326">
        <v>79.947608947999996</v>
      </c>
      <c r="E326">
        <v>50</v>
      </c>
      <c r="F326">
        <v>14.999081611999999</v>
      </c>
      <c r="G326">
        <v>1340.8795166</v>
      </c>
      <c r="H326">
        <v>1338.3018798999999</v>
      </c>
      <c r="I326">
        <v>1321.5351562000001</v>
      </c>
      <c r="J326">
        <v>1317.5335693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32.498415999999999</v>
      </c>
      <c r="B327" s="1">
        <f>DATE(2010,6,2) + TIME(11,57,43)</f>
        <v>40331.498414351852</v>
      </c>
      <c r="C327">
        <v>80</v>
      </c>
      <c r="D327">
        <v>79.947608947999996</v>
      </c>
      <c r="E327">
        <v>50</v>
      </c>
      <c r="F327">
        <v>14.999083518999999</v>
      </c>
      <c r="G327">
        <v>1340.8752440999999</v>
      </c>
      <c r="H327">
        <v>1338.2987060999999</v>
      </c>
      <c r="I327">
        <v>1321.5356445</v>
      </c>
      <c r="J327">
        <v>1317.5339355000001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32.666463999999998</v>
      </c>
      <c r="B328" s="1">
        <f>DATE(2010,6,2) + TIME(15,59,42)</f>
        <v>40331.666458333333</v>
      </c>
      <c r="C328">
        <v>80</v>
      </c>
      <c r="D328">
        <v>79.947601317999997</v>
      </c>
      <c r="E328">
        <v>50</v>
      </c>
      <c r="F328">
        <v>14.99908638</v>
      </c>
      <c r="G328">
        <v>1340.8710937999999</v>
      </c>
      <c r="H328">
        <v>1338.2955322</v>
      </c>
      <c r="I328">
        <v>1321.5361327999999</v>
      </c>
      <c r="J328">
        <v>1317.5341797000001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32.834394000000003</v>
      </c>
      <c r="B329" s="1">
        <f>DATE(2010,6,2) + TIME(20,1,31)</f>
        <v>40331.834386574075</v>
      </c>
      <c r="C329">
        <v>80</v>
      </c>
      <c r="D329">
        <v>79.947593689000001</v>
      </c>
      <c r="E329">
        <v>50</v>
      </c>
      <c r="F329">
        <v>14.999089241</v>
      </c>
      <c r="G329">
        <v>1340.8669434000001</v>
      </c>
      <c r="H329">
        <v>1338.2923584</v>
      </c>
      <c r="I329">
        <v>1321.5366211</v>
      </c>
      <c r="J329">
        <v>1317.5345459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33.002321999999999</v>
      </c>
      <c r="B330" s="1">
        <f>DATE(2010,6,3) + TIME(0,3,20)</f>
        <v>40332.002314814818</v>
      </c>
      <c r="C330">
        <v>80</v>
      </c>
      <c r="D330">
        <v>79.947593689000001</v>
      </c>
      <c r="E330">
        <v>50</v>
      </c>
      <c r="F330">
        <v>14.999092102000001</v>
      </c>
      <c r="G330">
        <v>1340.862793</v>
      </c>
      <c r="H330">
        <v>1338.2891846</v>
      </c>
      <c r="I330">
        <v>1321.5371094</v>
      </c>
      <c r="J330">
        <v>1317.5347899999999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33.170248999999998</v>
      </c>
      <c r="B331" s="1">
        <f>DATE(2010,6,3) + TIME(4,5,9)</f>
        <v>40332.170243055552</v>
      </c>
      <c r="C331">
        <v>80</v>
      </c>
      <c r="D331">
        <v>79.947586060000006</v>
      </c>
      <c r="E331">
        <v>50</v>
      </c>
      <c r="F331">
        <v>14.999094009</v>
      </c>
      <c r="G331">
        <v>1340.8586425999999</v>
      </c>
      <c r="H331">
        <v>1338.2860106999999</v>
      </c>
      <c r="I331">
        <v>1321.5377197</v>
      </c>
      <c r="J331">
        <v>1317.5351562000001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33.338177000000002</v>
      </c>
      <c r="B332" s="1">
        <f>DATE(2010,6,3) + TIME(8,6,58)</f>
        <v>40332.338171296295</v>
      </c>
      <c r="C332">
        <v>80</v>
      </c>
      <c r="D332">
        <v>79.947586060000006</v>
      </c>
      <c r="E332">
        <v>50</v>
      </c>
      <c r="F332">
        <v>14.999096870000001</v>
      </c>
      <c r="G332">
        <v>1340.8544922000001</v>
      </c>
      <c r="H332">
        <v>1338.2829589999999</v>
      </c>
      <c r="I332">
        <v>1321.5382079999999</v>
      </c>
      <c r="J332">
        <v>1317.5354004000001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33.506104999999998</v>
      </c>
      <c r="B333" s="1">
        <f>DATE(2010,6,3) + TIME(12,8,47)</f>
        <v>40332.506099537037</v>
      </c>
      <c r="C333">
        <v>80</v>
      </c>
      <c r="D333">
        <v>79.947578429999993</v>
      </c>
      <c r="E333">
        <v>50</v>
      </c>
      <c r="F333">
        <v>14.999098778</v>
      </c>
      <c r="G333">
        <v>1340.8503418</v>
      </c>
      <c r="H333">
        <v>1338.2799072</v>
      </c>
      <c r="I333">
        <v>1321.5386963000001</v>
      </c>
      <c r="J333">
        <v>1317.5357666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33.674031999999997</v>
      </c>
      <c r="B334" s="1">
        <f>DATE(2010,6,3) + TIME(16,10,36)</f>
        <v>40332.674027777779</v>
      </c>
      <c r="C334">
        <v>80</v>
      </c>
      <c r="D334">
        <v>79.947578429999993</v>
      </c>
      <c r="E334">
        <v>50</v>
      </c>
      <c r="F334">
        <v>14.999101638999999</v>
      </c>
      <c r="G334">
        <v>1340.8463135</v>
      </c>
      <c r="H334">
        <v>1338.2768555</v>
      </c>
      <c r="I334">
        <v>1321.5391846</v>
      </c>
      <c r="J334">
        <v>1317.5360106999999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33.84196</v>
      </c>
      <c r="B335" s="1">
        <f>DATE(2010,6,3) + TIME(20,12,25)</f>
        <v>40332.841956018521</v>
      </c>
      <c r="C335">
        <v>80</v>
      </c>
      <c r="D335">
        <v>79.947570800999998</v>
      </c>
      <c r="E335">
        <v>50</v>
      </c>
      <c r="F335">
        <v>14.9991045</v>
      </c>
      <c r="G335">
        <v>1340.8422852000001</v>
      </c>
      <c r="H335">
        <v>1338.2738036999999</v>
      </c>
      <c r="I335">
        <v>1321.5396728999999</v>
      </c>
      <c r="J335">
        <v>1317.5363769999999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34.009887999999997</v>
      </c>
      <c r="B336" s="1">
        <f>DATE(2010,6,4) + TIME(0,14,14)</f>
        <v>40333.009884259256</v>
      </c>
      <c r="C336">
        <v>80</v>
      </c>
      <c r="D336">
        <v>79.947570800999998</v>
      </c>
      <c r="E336">
        <v>50</v>
      </c>
      <c r="F336">
        <v>14.999106406999999</v>
      </c>
      <c r="G336">
        <v>1340.8382568</v>
      </c>
      <c r="H336">
        <v>1338.2707519999999</v>
      </c>
      <c r="I336">
        <v>1321.5401611</v>
      </c>
      <c r="J336">
        <v>1317.5367432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34.345742999999999</v>
      </c>
      <c r="B337" s="1">
        <f>DATE(2010,6,4) + TIME(8,17,52)</f>
        <v>40333.34574074074</v>
      </c>
      <c r="C337">
        <v>80</v>
      </c>
      <c r="D337">
        <v>79.947570800999998</v>
      </c>
      <c r="E337">
        <v>50</v>
      </c>
      <c r="F337">
        <v>14.999110222000001</v>
      </c>
      <c r="G337">
        <v>1340.8338623</v>
      </c>
      <c r="H337">
        <v>1338.2674560999999</v>
      </c>
      <c r="I337">
        <v>1321.5407714999999</v>
      </c>
      <c r="J337">
        <v>1317.5371094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34.682023000000001</v>
      </c>
      <c r="B338" s="1">
        <f>DATE(2010,6,4) + TIME(16,22,6)</f>
        <v>40333.682013888887</v>
      </c>
      <c r="C338">
        <v>80</v>
      </c>
      <c r="D338">
        <v>79.947570800999998</v>
      </c>
      <c r="E338">
        <v>50</v>
      </c>
      <c r="F338">
        <v>14.999114990000001</v>
      </c>
      <c r="G338">
        <v>1340.8261719</v>
      </c>
      <c r="H338">
        <v>1338.2617187999999</v>
      </c>
      <c r="I338">
        <v>1321.541626</v>
      </c>
      <c r="J338">
        <v>1317.5375977000001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35.022067999999997</v>
      </c>
      <c r="B339" s="1">
        <f>DATE(2010,6,5) + TIME(0,31,46)</f>
        <v>40334.022060185183</v>
      </c>
      <c r="C339">
        <v>80</v>
      </c>
      <c r="D339">
        <v>79.947563170999999</v>
      </c>
      <c r="E339">
        <v>50</v>
      </c>
      <c r="F339">
        <v>14.999119758999999</v>
      </c>
      <c r="G339">
        <v>1340.8183594</v>
      </c>
      <c r="H339">
        <v>1338.2558594</v>
      </c>
      <c r="I339">
        <v>1321.5427245999999</v>
      </c>
      <c r="J339">
        <v>1317.5383300999999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35.366594999999997</v>
      </c>
      <c r="B340" s="1">
        <f>DATE(2010,6,5) + TIME(8,47,53)</f>
        <v>40334.366585648146</v>
      </c>
      <c r="C340">
        <v>80</v>
      </c>
      <c r="D340">
        <v>79.947555542000003</v>
      </c>
      <c r="E340">
        <v>50</v>
      </c>
      <c r="F340">
        <v>14.999123573</v>
      </c>
      <c r="G340">
        <v>1340.8104248</v>
      </c>
      <c r="H340">
        <v>1338.25</v>
      </c>
      <c r="I340">
        <v>1321.5437012</v>
      </c>
      <c r="J340">
        <v>1317.5389404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35.716349000000001</v>
      </c>
      <c r="B341" s="1">
        <f>DATE(2010,6,5) + TIME(17,11,32)</f>
        <v>40334.71634259259</v>
      </c>
      <c r="C341">
        <v>80</v>
      </c>
      <c r="D341">
        <v>79.947555542000003</v>
      </c>
      <c r="E341">
        <v>50</v>
      </c>
      <c r="F341">
        <v>14.999128342000001</v>
      </c>
      <c r="G341">
        <v>1340.8024902</v>
      </c>
      <c r="H341">
        <v>1338.2441406</v>
      </c>
      <c r="I341">
        <v>1321.5447998</v>
      </c>
      <c r="J341">
        <v>1317.5395507999999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36.072119999999998</v>
      </c>
      <c r="B342" s="1">
        <f>DATE(2010,6,6) + TIME(1,43,51)</f>
        <v>40335.072118055556</v>
      </c>
      <c r="C342">
        <v>80</v>
      </c>
      <c r="D342">
        <v>79.947547912999994</v>
      </c>
      <c r="E342">
        <v>50</v>
      </c>
      <c r="F342">
        <v>14.999133110000001</v>
      </c>
      <c r="G342">
        <v>1340.7945557</v>
      </c>
      <c r="H342">
        <v>1338.2381591999999</v>
      </c>
      <c r="I342">
        <v>1321.5458983999999</v>
      </c>
      <c r="J342">
        <v>1317.5402832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36.434902999999998</v>
      </c>
      <c r="B343" s="1">
        <f>DATE(2010,6,6) + TIME(10,26,15)</f>
        <v>40335.434895833336</v>
      </c>
      <c r="C343">
        <v>80</v>
      </c>
      <c r="D343">
        <v>79.947540282999995</v>
      </c>
      <c r="E343">
        <v>50</v>
      </c>
      <c r="F343">
        <v>14.999137878000001</v>
      </c>
      <c r="G343">
        <v>1340.786499</v>
      </c>
      <c r="H343">
        <v>1338.2321777</v>
      </c>
      <c r="I343">
        <v>1321.5469971</v>
      </c>
      <c r="J343">
        <v>1317.5410156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36.617770999999998</v>
      </c>
      <c r="B344" s="1">
        <f>DATE(2010,6,6) + TIME(14,49,35)</f>
        <v>40335.617766203701</v>
      </c>
      <c r="C344">
        <v>80</v>
      </c>
      <c r="D344">
        <v>79.947525024000001</v>
      </c>
      <c r="E344">
        <v>50</v>
      </c>
      <c r="F344">
        <v>14.999140739</v>
      </c>
      <c r="G344">
        <v>1340.7790527</v>
      </c>
      <c r="H344">
        <v>1338.2266846</v>
      </c>
      <c r="I344">
        <v>1321.5478516000001</v>
      </c>
      <c r="J344">
        <v>1317.5415039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36.800638999999997</v>
      </c>
      <c r="B345" s="1">
        <f>DATE(2010,6,6) + TIME(19,12,55)</f>
        <v>40335.800636574073</v>
      </c>
      <c r="C345">
        <v>80</v>
      </c>
      <c r="D345">
        <v>79.947517395000006</v>
      </c>
      <c r="E345">
        <v>50</v>
      </c>
      <c r="F345">
        <v>14.9991436</v>
      </c>
      <c r="G345">
        <v>1340.7745361</v>
      </c>
      <c r="H345">
        <v>1338.2233887</v>
      </c>
      <c r="I345">
        <v>1321.5485839999999</v>
      </c>
      <c r="J345">
        <v>1317.5419922000001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36.983507000000003</v>
      </c>
      <c r="B346" s="1">
        <f>DATE(2010,6,6) + TIME(23,36,14)</f>
        <v>40335.983495370368</v>
      </c>
      <c r="C346">
        <v>80</v>
      </c>
      <c r="D346">
        <v>79.947509765999996</v>
      </c>
      <c r="E346">
        <v>50</v>
      </c>
      <c r="F346">
        <v>14.999146461</v>
      </c>
      <c r="G346">
        <v>1340.7703856999999</v>
      </c>
      <c r="H346">
        <v>1338.2202147999999</v>
      </c>
      <c r="I346">
        <v>1321.5491943</v>
      </c>
      <c r="J346">
        <v>1317.5423584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37.166373999999998</v>
      </c>
      <c r="B347" s="1">
        <f>DATE(2010,6,7) + TIME(3,59,34)</f>
        <v>40336.166365740741</v>
      </c>
      <c r="C347">
        <v>80</v>
      </c>
      <c r="D347">
        <v>79.947509765999996</v>
      </c>
      <c r="E347">
        <v>50</v>
      </c>
      <c r="F347">
        <v>14.999149322999999</v>
      </c>
      <c r="G347">
        <v>1340.7662353999999</v>
      </c>
      <c r="H347">
        <v>1338.2171631000001</v>
      </c>
      <c r="I347">
        <v>1321.5498047000001</v>
      </c>
      <c r="J347">
        <v>1317.5427245999999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37.349241999999997</v>
      </c>
      <c r="B348" s="1">
        <f>DATE(2010,6,7) + TIME(8,22,54)</f>
        <v>40336.349236111113</v>
      </c>
      <c r="C348">
        <v>80</v>
      </c>
      <c r="D348">
        <v>79.947502135999997</v>
      </c>
      <c r="E348">
        <v>50</v>
      </c>
      <c r="F348">
        <v>14.999152184</v>
      </c>
      <c r="G348">
        <v>1340.762207</v>
      </c>
      <c r="H348">
        <v>1338.2141113</v>
      </c>
      <c r="I348">
        <v>1321.5504149999999</v>
      </c>
      <c r="J348">
        <v>1317.5430908000001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37.532110000000003</v>
      </c>
      <c r="B349" s="1">
        <f>DATE(2010,6,7) + TIME(12,46,14)</f>
        <v>40336.532106481478</v>
      </c>
      <c r="C349">
        <v>80</v>
      </c>
      <c r="D349">
        <v>79.947502135999997</v>
      </c>
      <c r="E349">
        <v>50</v>
      </c>
      <c r="F349">
        <v>14.999155045</v>
      </c>
      <c r="G349">
        <v>1340.7581786999999</v>
      </c>
      <c r="H349">
        <v>1338.2110596</v>
      </c>
      <c r="I349">
        <v>1321.5510254000001</v>
      </c>
      <c r="J349">
        <v>1317.543457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37.714955000000003</v>
      </c>
      <c r="B350" s="1">
        <f>DATE(2010,6,7) + TIME(17,9,32)</f>
        <v>40336.714953703704</v>
      </c>
      <c r="C350">
        <v>80</v>
      </c>
      <c r="D350">
        <v>79.947494507000002</v>
      </c>
      <c r="E350">
        <v>50</v>
      </c>
      <c r="F350">
        <v>14.999156952</v>
      </c>
      <c r="G350">
        <v>1340.7541504000001</v>
      </c>
      <c r="H350">
        <v>1338.2081298999999</v>
      </c>
      <c r="I350">
        <v>1321.5515137</v>
      </c>
      <c r="J350">
        <v>1317.5438231999999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37.897799999999997</v>
      </c>
      <c r="B351" s="1">
        <f>DATE(2010,6,7) + TIME(21,32,49)</f>
        <v>40336.897789351853</v>
      </c>
      <c r="C351">
        <v>80</v>
      </c>
      <c r="D351">
        <v>79.947494507000002</v>
      </c>
      <c r="E351">
        <v>50</v>
      </c>
      <c r="F351">
        <v>14.999159813</v>
      </c>
      <c r="G351">
        <v>1340.7501221</v>
      </c>
      <c r="H351">
        <v>1338.2052002</v>
      </c>
      <c r="I351">
        <v>1321.552124</v>
      </c>
      <c r="J351">
        <v>1317.5441894999999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38.080643999999999</v>
      </c>
      <c r="B352" s="1">
        <f>DATE(2010,6,8) + TIME(1,56,7)</f>
        <v>40337.080636574072</v>
      </c>
      <c r="C352">
        <v>80</v>
      </c>
      <c r="D352">
        <v>79.947486877000003</v>
      </c>
      <c r="E352">
        <v>50</v>
      </c>
      <c r="F352">
        <v>14.99916172</v>
      </c>
      <c r="G352">
        <v>1340.7462158000001</v>
      </c>
      <c r="H352">
        <v>1338.2021483999999</v>
      </c>
      <c r="I352">
        <v>1321.5527344</v>
      </c>
      <c r="J352">
        <v>1317.5445557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38.263489</v>
      </c>
      <c r="B353" s="1">
        <f>DATE(2010,6,8) + TIME(6,19,25)</f>
        <v>40337.263483796298</v>
      </c>
      <c r="C353">
        <v>80</v>
      </c>
      <c r="D353">
        <v>79.947486877000003</v>
      </c>
      <c r="E353">
        <v>50</v>
      </c>
      <c r="F353">
        <v>14.999164581</v>
      </c>
      <c r="G353">
        <v>1340.7423096</v>
      </c>
      <c r="H353">
        <v>1338.1992187999999</v>
      </c>
      <c r="I353">
        <v>1321.5532227000001</v>
      </c>
      <c r="J353">
        <v>1317.5449219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38.446334</v>
      </c>
      <c r="B354" s="1">
        <f>DATE(2010,6,8) + TIME(10,42,43)</f>
        <v>40337.446331018517</v>
      </c>
      <c r="C354">
        <v>80</v>
      </c>
      <c r="D354">
        <v>79.947486877000003</v>
      </c>
      <c r="E354">
        <v>50</v>
      </c>
      <c r="F354">
        <v>14.999167441999999</v>
      </c>
      <c r="G354">
        <v>1340.7382812000001</v>
      </c>
      <c r="H354">
        <v>1338.1962891000001</v>
      </c>
      <c r="I354">
        <v>1321.5538329999999</v>
      </c>
      <c r="J354">
        <v>1317.5451660000001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38.629179000000001</v>
      </c>
      <c r="B355" s="1">
        <f>DATE(2010,6,8) + TIME(15,6,1)</f>
        <v>40337.629178240742</v>
      </c>
      <c r="C355">
        <v>80</v>
      </c>
      <c r="D355">
        <v>79.947479247999993</v>
      </c>
      <c r="E355">
        <v>50</v>
      </c>
      <c r="F355">
        <v>14.999169350000001</v>
      </c>
      <c r="G355">
        <v>1340.734375</v>
      </c>
      <c r="H355">
        <v>1338.1934814000001</v>
      </c>
      <c r="I355">
        <v>1321.5544434000001</v>
      </c>
      <c r="J355">
        <v>1317.5455322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38.812024000000001</v>
      </c>
      <c r="B356" s="1">
        <f>DATE(2010,6,8) + TIME(19,29,18)</f>
        <v>40337.812013888892</v>
      </c>
      <c r="C356">
        <v>80</v>
      </c>
      <c r="D356">
        <v>79.947479247999993</v>
      </c>
      <c r="E356">
        <v>50</v>
      </c>
      <c r="F356">
        <v>14.999172210999999</v>
      </c>
      <c r="G356">
        <v>1340.7305908000001</v>
      </c>
      <c r="H356">
        <v>1338.1905518000001</v>
      </c>
      <c r="I356">
        <v>1321.5550536999999</v>
      </c>
      <c r="J356">
        <v>1317.5458983999999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38.994869000000001</v>
      </c>
      <c r="B357" s="1">
        <f>DATE(2010,6,8) + TIME(23,52,36)</f>
        <v>40337.99486111111</v>
      </c>
      <c r="C357">
        <v>80</v>
      </c>
      <c r="D357">
        <v>79.947479247999993</v>
      </c>
      <c r="E357">
        <v>50</v>
      </c>
      <c r="F357">
        <v>14.999174117999999</v>
      </c>
      <c r="G357">
        <v>1340.7266846</v>
      </c>
      <c r="H357">
        <v>1338.1876221</v>
      </c>
      <c r="I357">
        <v>1321.5555420000001</v>
      </c>
      <c r="J357">
        <v>1317.5462646000001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39.360557999999997</v>
      </c>
      <c r="B358" s="1">
        <f>DATE(2010,6,9) + TIME(8,39,12)</f>
        <v>40338.360555555555</v>
      </c>
      <c r="C358">
        <v>80</v>
      </c>
      <c r="D358">
        <v>79.947486877000003</v>
      </c>
      <c r="E358">
        <v>50</v>
      </c>
      <c r="F358">
        <v>14.999177933</v>
      </c>
      <c r="G358">
        <v>1340.7224120999999</v>
      </c>
      <c r="H358">
        <v>1338.1844481999999</v>
      </c>
      <c r="I358">
        <v>1321.5562743999999</v>
      </c>
      <c r="J358">
        <v>1317.5467529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39.727124000000003</v>
      </c>
      <c r="B359" s="1">
        <f>DATE(2010,6,9) + TIME(17,27,3)</f>
        <v>40338.727118055554</v>
      </c>
      <c r="C359">
        <v>80</v>
      </c>
      <c r="D359">
        <v>79.947486877000003</v>
      </c>
      <c r="E359">
        <v>50</v>
      </c>
      <c r="F359">
        <v>14.999182701000001</v>
      </c>
      <c r="G359">
        <v>1340.7150879000001</v>
      </c>
      <c r="H359">
        <v>1338.1790771000001</v>
      </c>
      <c r="I359">
        <v>1321.5573730000001</v>
      </c>
      <c r="J359">
        <v>1317.5473632999999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40.098315999999997</v>
      </c>
      <c r="B360" s="1">
        <f>DATE(2010,6,10) + TIME(2,21,34)</f>
        <v>40339.098310185182</v>
      </c>
      <c r="C360">
        <v>80</v>
      </c>
      <c r="D360">
        <v>79.947486877000003</v>
      </c>
      <c r="E360">
        <v>50</v>
      </c>
      <c r="F360">
        <v>14.999187469000001</v>
      </c>
      <c r="G360">
        <v>1340.7076416</v>
      </c>
      <c r="H360">
        <v>1338.1734618999999</v>
      </c>
      <c r="I360">
        <v>1321.5584716999999</v>
      </c>
      <c r="J360">
        <v>1317.5480957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40.474960000000003</v>
      </c>
      <c r="B361" s="1">
        <f>DATE(2010,6,10) + TIME(11,23,56)</f>
        <v>40339.474953703706</v>
      </c>
      <c r="C361">
        <v>80</v>
      </c>
      <c r="D361">
        <v>79.947479247999993</v>
      </c>
      <c r="E361">
        <v>50</v>
      </c>
      <c r="F361">
        <v>14.999191284</v>
      </c>
      <c r="G361">
        <v>1340.6999512</v>
      </c>
      <c r="H361">
        <v>1338.1678466999999</v>
      </c>
      <c r="I361">
        <v>1321.5596923999999</v>
      </c>
      <c r="J361">
        <v>1317.5488281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40.857936000000002</v>
      </c>
      <c r="B362" s="1">
        <f>DATE(2010,6,10) + TIME(20,35,25)</f>
        <v>40339.857928240737</v>
      </c>
      <c r="C362">
        <v>80</v>
      </c>
      <c r="D362">
        <v>79.947479247999993</v>
      </c>
      <c r="E362">
        <v>50</v>
      </c>
      <c r="F362">
        <v>14.999196053</v>
      </c>
      <c r="G362">
        <v>1340.6923827999999</v>
      </c>
      <c r="H362">
        <v>1338.1621094</v>
      </c>
      <c r="I362">
        <v>1321.5609131000001</v>
      </c>
      <c r="J362">
        <v>1317.5496826000001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41.248221999999998</v>
      </c>
      <c r="B363" s="1">
        <f>DATE(2010,6,11) + TIME(5,57,26)</f>
        <v>40340.248217592591</v>
      </c>
      <c r="C363">
        <v>80</v>
      </c>
      <c r="D363">
        <v>79.947479247999993</v>
      </c>
      <c r="E363">
        <v>50</v>
      </c>
      <c r="F363">
        <v>14.999200821000001</v>
      </c>
      <c r="G363">
        <v>1340.6845702999999</v>
      </c>
      <c r="H363">
        <v>1338.1563721</v>
      </c>
      <c r="I363">
        <v>1321.5622559000001</v>
      </c>
      <c r="J363">
        <v>1317.5504149999999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41.446573999999998</v>
      </c>
      <c r="B364" s="1">
        <f>DATE(2010,6,11) + TIME(10,43,4)</f>
        <v>40340.446574074071</v>
      </c>
      <c r="C364">
        <v>80</v>
      </c>
      <c r="D364">
        <v>79.947463988999999</v>
      </c>
      <c r="E364">
        <v>50</v>
      </c>
      <c r="F364">
        <v>14.999203681999999</v>
      </c>
      <c r="G364">
        <v>1340.6774902</v>
      </c>
      <c r="H364">
        <v>1338.1511230000001</v>
      </c>
      <c r="I364">
        <v>1321.5633545000001</v>
      </c>
      <c r="J364">
        <v>1317.5511475000001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41.643729</v>
      </c>
      <c r="B365" s="1">
        <f>DATE(2010,6,11) + TIME(15,26,58)</f>
        <v>40340.643726851849</v>
      </c>
      <c r="C365">
        <v>80</v>
      </c>
      <c r="D365">
        <v>79.947456360000004</v>
      </c>
      <c r="E365">
        <v>50</v>
      </c>
      <c r="F365">
        <v>14.999206543</v>
      </c>
      <c r="G365">
        <v>1340.6730957</v>
      </c>
      <c r="H365">
        <v>1338.1478271000001</v>
      </c>
      <c r="I365">
        <v>1321.5640868999999</v>
      </c>
      <c r="J365">
        <v>1317.5516356999999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41.840471999999998</v>
      </c>
      <c r="B366" s="1">
        <f>DATE(2010,6,11) + TIME(20,10,16)</f>
        <v>40340.840462962966</v>
      </c>
      <c r="C366">
        <v>80</v>
      </c>
      <c r="D366">
        <v>79.947456360000004</v>
      </c>
      <c r="E366">
        <v>50</v>
      </c>
      <c r="F366">
        <v>14.999209404</v>
      </c>
      <c r="G366">
        <v>1340.6690673999999</v>
      </c>
      <c r="H366">
        <v>1338.1447754000001</v>
      </c>
      <c r="I366">
        <v>1321.5648193</v>
      </c>
      <c r="J366">
        <v>1317.5520019999999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42.036897000000003</v>
      </c>
      <c r="B367" s="1">
        <f>DATE(2010,6,12) + TIME(0,53,7)</f>
        <v>40341.036886574075</v>
      </c>
      <c r="C367">
        <v>80</v>
      </c>
      <c r="D367">
        <v>79.947456360000004</v>
      </c>
      <c r="E367">
        <v>50</v>
      </c>
      <c r="F367">
        <v>14.999212265000001</v>
      </c>
      <c r="G367">
        <v>1340.6651611</v>
      </c>
      <c r="H367">
        <v>1338.1418457</v>
      </c>
      <c r="I367">
        <v>1321.5654297000001</v>
      </c>
      <c r="J367">
        <v>1317.5524902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42.233111999999998</v>
      </c>
      <c r="B368" s="1">
        <f>DATE(2010,6,12) + TIME(5,35,40)</f>
        <v>40341.233101851853</v>
      </c>
      <c r="C368">
        <v>80</v>
      </c>
      <c r="D368">
        <v>79.947448730000005</v>
      </c>
      <c r="E368">
        <v>50</v>
      </c>
      <c r="F368">
        <v>14.999215125999999</v>
      </c>
      <c r="G368">
        <v>1340.6612548999999</v>
      </c>
      <c r="H368">
        <v>1338.1389160000001</v>
      </c>
      <c r="I368">
        <v>1321.5661620999999</v>
      </c>
      <c r="J368">
        <v>1317.5528564000001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42.429197000000002</v>
      </c>
      <c r="B369" s="1">
        <f>DATE(2010,6,12) + TIME(10,18,2)</f>
        <v>40341.429189814815</v>
      </c>
      <c r="C369">
        <v>80</v>
      </c>
      <c r="D369">
        <v>79.947448730000005</v>
      </c>
      <c r="E369">
        <v>50</v>
      </c>
      <c r="F369">
        <v>14.999217033000001</v>
      </c>
      <c r="G369">
        <v>1340.6573486</v>
      </c>
      <c r="H369">
        <v>1338.1361084</v>
      </c>
      <c r="I369">
        <v>1321.5667725000001</v>
      </c>
      <c r="J369">
        <v>1317.5532227000001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42.625283000000003</v>
      </c>
      <c r="B370" s="1">
        <f>DATE(2010,6,12) + TIME(15,0,24)</f>
        <v>40341.625277777777</v>
      </c>
      <c r="C370">
        <v>80</v>
      </c>
      <c r="D370">
        <v>79.947448730000005</v>
      </c>
      <c r="E370">
        <v>50</v>
      </c>
      <c r="F370">
        <v>14.999219893999999</v>
      </c>
      <c r="G370">
        <v>1340.6535644999999</v>
      </c>
      <c r="H370">
        <v>1338.1331786999999</v>
      </c>
      <c r="I370">
        <v>1321.5673827999999</v>
      </c>
      <c r="J370">
        <v>1317.5535889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42.821368</v>
      </c>
      <c r="B371" s="1">
        <f>DATE(2010,6,12) + TIME(19,42,46)</f>
        <v>40341.82136574074</v>
      </c>
      <c r="C371">
        <v>80</v>
      </c>
      <c r="D371">
        <v>79.947448730000005</v>
      </c>
      <c r="E371">
        <v>50</v>
      </c>
      <c r="F371">
        <v>14.999222755</v>
      </c>
      <c r="G371">
        <v>1340.6496582</v>
      </c>
      <c r="H371">
        <v>1338.1303711</v>
      </c>
      <c r="I371">
        <v>1321.5681152</v>
      </c>
      <c r="J371">
        <v>1317.5540771000001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43.017453000000003</v>
      </c>
      <c r="B372" s="1">
        <f>DATE(2010,6,13) + TIME(0,25,7)</f>
        <v>40342.017442129632</v>
      </c>
      <c r="C372">
        <v>80</v>
      </c>
      <c r="D372">
        <v>79.947448730000005</v>
      </c>
      <c r="E372">
        <v>50</v>
      </c>
      <c r="F372">
        <v>14.999224663</v>
      </c>
      <c r="G372">
        <v>1340.645874</v>
      </c>
      <c r="H372">
        <v>1338.1275635</v>
      </c>
      <c r="I372">
        <v>1321.5687256000001</v>
      </c>
      <c r="J372">
        <v>1317.5544434000001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43.213538999999997</v>
      </c>
      <c r="B373" s="1">
        <f>DATE(2010,6,13) + TIME(5,7,29)</f>
        <v>40342.213530092595</v>
      </c>
      <c r="C373">
        <v>80</v>
      </c>
      <c r="D373">
        <v>79.947448730000005</v>
      </c>
      <c r="E373">
        <v>50</v>
      </c>
      <c r="F373">
        <v>14.999227524</v>
      </c>
      <c r="G373">
        <v>1340.6420897999999</v>
      </c>
      <c r="H373">
        <v>1338.1247559000001</v>
      </c>
      <c r="I373">
        <v>1321.5693358999999</v>
      </c>
      <c r="J373">
        <v>1317.5548096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43.409624000000001</v>
      </c>
      <c r="B374" s="1">
        <f>DATE(2010,6,13) + TIME(9,49,51)</f>
        <v>40342.409618055557</v>
      </c>
      <c r="C374">
        <v>80</v>
      </c>
      <c r="D374">
        <v>79.947448730000005</v>
      </c>
      <c r="E374">
        <v>50</v>
      </c>
      <c r="F374">
        <v>14.999230385000001</v>
      </c>
      <c r="G374">
        <v>1340.6384277</v>
      </c>
      <c r="H374">
        <v>1338.1219481999999</v>
      </c>
      <c r="I374">
        <v>1321.5700684000001</v>
      </c>
      <c r="J374">
        <v>1317.5552978999999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43.605708999999997</v>
      </c>
      <c r="B375" s="1">
        <f>DATE(2010,6,13) + TIME(14,32,13)</f>
        <v>40342.605706018519</v>
      </c>
      <c r="C375">
        <v>80</v>
      </c>
      <c r="D375">
        <v>79.947448730000005</v>
      </c>
      <c r="E375">
        <v>50</v>
      </c>
      <c r="F375">
        <v>14.999232292</v>
      </c>
      <c r="G375">
        <v>1340.6346435999999</v>
      </c>
      <c r="H375">
        <v>1338.1191406</v>
      </c>
      <c r="I375">
        <v>1321.5706786999999</v>
      </c>
      <c r="J375">
        <v>1317.5556641000001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43.997880000000002</v>
      </c>
      <c r="B376" s="1">
        <f>DATE(2010,6,13) + TIME(23,56,56)</f>
        <v>40342.997870370367</v>
      </c>
      <c r="C376">
        <v>80</v>
      </c>
      <c r="D376">
        <v>79.947456360000004</v>
      </c>
      <c r="E376">
        <v>50</v>
      </c>
      <c r="F376">
        <v>14.999236107</v>
      </c>
      <c r="G376">
        <v>1340.6304932</v>
      </c>
      <c r="H376">
        <v>1338.1159668</v>
      </c>
      <c r="I376">
        <v>1321.5715332</v>
      </c>
      <c r="J376">
        <v>1317.5561522999999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44.390281000000002</v>
      </c>
      <c r="B377" s="1">
        <f>DATE(2010,6,14) + TIME(9,22,0)</f>
        <v>40343.390277777777</v>
      </c>
      <c r="C377">
        <v>80</v>
      </c>
      <c r="D377">
        <v>79.947456360000004</v>
      </c>
      <c r="E377">
        <v>50</v>
      </c>
      <c r="F377">
        <v>14.999240875</v>
      </c>
      <c r="G377">
        <v>1340.6234131000001</v>
      </c>
      <c r="H377">
        <v>1338.1108397999999</v>
      </c>
      <c r="I377">
        <v>1321.5727539</v>
      </c>
      <c r="J377">
        <v>1317.5568848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44.786617999999997</v>
      </c>
      <c r="B378" s="1">
        <f>DATE(2010,6,14) + TIME(18,52,43)</f>
        <v>40343.786608796298</v>
      </c>
      <c r="C378">
        <v>80</v>
      </c>
      <c r="D378">
        <v>79.947463988999999</v>
      </c>
      <c r="E378">
        <v>50</v>
      </c>
      <c r="F378">
        <v>14.999244689999999</v>
      </c>
      <c r="G378">
        <v>1340.6160889</v>
      </c>
      <c r="H378">
        <v>1338.1054687999999</v>
      </c>
      <c r="I378">
        <v>1321.5740966999999</v>
      </c>
      <c r="J378">
        <v>1317.5577393000001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45.187764999999999</v>
      </c>
      <c r="B379" s="1">
        <f>DATE(2010,6,15) + TIME(4,30,22)</f>
        <v>40344.187754629631</v>
      </c>
      <c r="C379">
        <v>80</v>
      </c>
      <c r="D379">
        <v>79.947463988999999</v>
      </c>
      <c r="E379">
        <v>50</v>
      </c>
      <c r="F379">
        <v>14.999249458</v>
      </c>
      <c r="G379">
        <v>1340.6087646000001</v>
      </c>
      <c r="H379">
        <v>1338.1000977000001</v>
      </c>
      <c r="I379">
        <v>1321.5754394999999</v>
      </c>
      <c r="J379">
        <v>1317.5585937999999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45.594650999999999</v>
      </c>
      <c r="B380" s="1">
        <f>DATE(2010,6,15) + TIME(14,16,17)</f>
        <v>40344.594641203701</v>
      </c>
      <c r="C380">
        <v>80</v>
      </c>
      <c r="D380">
        <v>79.947463988999999</v>
      </c>
      <c r="E380">
        <v>50</v>
      </c>
      <c r="F380">
        <v>14.999254227</v>
      </c>
      <c r="G380">
        <v>1340.6014404</v>
      </c>
      <c r="H380">
        <v>1338.0946045000001</v>
      </c>
      <c r="I380">
        <v>1321.5767822</v>
      </c>
      <c r="J380">
        <v>1317.5594481999999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46.008243</v>
      </c>
      <c r="B381" s="1">
        <f>DATE(2010,6,16) + TIME(0,11,52)</f>
        <v>40345.008240740739</v>
      </c>
      <c r="C381">
        <v>80</v>
      </c>
      <c r="D381">
        <v>79.947463988999999</v>
      </c>
      <c r="E381">
        <v>50</v>
      </c>
      <c r="F381">
        <v>14.999258995</v>
      </c>
      <c r="G381">
        <v>1340.5939940999999</v>
      </c>
      <c r="H381">
        <v>1338.0891113</v>
      </c>
      <c r="I381">
        <v>1321.5782471</v>
      </c>
      <c r="J381">
        <v>1317.5603027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46.429577000000002</v>
      </c>
      <c r="B382" s="1">
        <f>DATE(2010,6,16) + TIME(10,18,35)</f>
        <v>40345.429571759261</v>
      </c>
      <c r="C382">
        <v>80</v>
      </c>
      <c r="D382">
        <v>79.947463988999999</v>
      </c>
      <c r="E382">
        <v>50</v>
      </c>
      <c r="F382">
        <v>14.999263763</v>
      </c>
      <c r="G382">
        <v>1340.5865478999999</v>
      </c>
      <c r="H382">
        <v>1338.0836182</v>
      </c>
      <c r="I382">
        <v>1321.5797118999999</v>
      </c>
      <c r="J382">
        <v>1317.5611572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46.640788000000001</v>
      </c>
      <c r="B383" s="1">
        <f>DATE(2010,6,16) + TIME(15,22,44)</f>
        <v>40345.640787037039</v>
      </c>
      <c r="C383">
        <v>80</v>
      </c>
      <c r="D383">
        <v>79.947448730000005</v>
      </c>
      <c r="E383">
        <v>50</v>
      </c>
      <c r="F383">
        <v>14.999266624000001</v>
      </c>
      <c r="G383">
        <v>1340.5797118999999</v>
      </c>
      <c r="H383">
        <v>1338.0786132999999</v>
      </c>
      <c r="I383">
        <v>1321.5809326000001</v>
      </c>
      <c r="J383">
        <v>1317.5620117000001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46.851998999999999</v>
      </c>
      <c r="B384" s="1">
        <f>DATE(2010,6,16) + TIME(20,26,52)</f>
        <v>40345.851990740739</v>
      </c>
      <c r="C384">
        <v>80</v>
      </c>
      <c r="D384">
        <v>79.947448730000005</v>
      </c>
      <c r="E384">
        <v>50</v>
      </c>
      <c r="F384">
        <v>14.999269484999999</v>
      </c>
      <c r="G384">
        <v>1340.5754394999999</v>
      </c>
      <c r="H384">
        <v>1338.0754394999999</v>
      </c>
      <c r="I384">
        <v>1321.5819091999999</v>
      </c>
      <c r="J384">
        <v>1317.5625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47.063209999999998</v>
      </c>
      <c r="B385" s="1">
        <f>DATE(2010,6,17) + TIME(1,31,1)</f>
        <v>40346.063206018516</v>
      </c>
      <c r="C385">
        <v>80</v>
      </c>
      <c r="D385">
        <v>79.947441100999995</v>
      </c>
      <c r="E385">
        <v>50</v>
      </c>
      <c r="F385">
        <v>14.999272346</v>
      </c>
      <c r="G385">
        <v>1340.5715332</v>
      </c>
      <c r="H385">
        <v>1338.0725098</v>
      </c>
      <c r="I385">
        <v>1321.5827637</v>
      </c>
      <c r="J385">
        <v>1317.5629882999999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47.274419999999999</v>
      </c>
      <c r="B386" s="1">
        <f>DATE(2010,6,17) + TIME(6,35,9)</f>
        <v>40346.274409722224</v>
      </c>
      <c r="C386">
        <v>80</v>
      </c>
      <c r="D386">
        <v>79.947441100999995</v>
      </c>
      <c r="E386">
        <v>50</v>
      </c>
      <c r="F386">
        <v>14.999275208</v>
      </c>
      <c r="G386">
        <v>1340.567749</v>
      </c>
      <c r="H386">
        <v>1338.0697021000001</v>
      </c>
      <c r="I386">
        <v>1321.5834961</v>
      </c>
      <c r="J386">
        <v>1317.5634766000001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47.485455000000002</v>
      </c>
      <c r="B387" s="1">
        <f>DATE(2010,6,17) + TIME(11,39,3)</f>
        <v>40346.485451388886</v>
      </c>
      <c r="C387">
        <v>80</v>
      </c>
      <c r="D387">
        <v>79.947441100999995</v>
      </c>
      <c r="E387">
        <v>50</v>
      </c>
      <c r="F387">
        <v>14.999278069000001</v>
      </c>
      <c r="G387">
        <v>1340.5639647999999</v>
      </c>
      <c r="H387">
        <v>1338.0668945</v>
      </c>
      <c r="I387">
        <v>1321.5842285000001</v>
      </c>
      <c r="J387">
        <v>1317.5639647999999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47.696353000000002</v>
      </c>
      <c r="B388" s="1">
        <f>DATE(2010,6,17) + TIME(16,42,44)</f>
        <v>40346.696342592593</v>
      </c>
      <c r="C388">
        <v>80</v>
      </c>
      <c r="D388">
        <v>79.947441100999995</v>
      </c>
      <c r="E388">
        <v>50</v>
      </c>
      <c r="F388">
        <v>14.999280929999999</v>
      </c>
      <c r="G388">
        <v>1340.5601807</v>
      </c>
      <c r="H388">
        <v>1338.0640868999999</v>
      </c>
      <c r="I388">
        <v>1321.5849608999999</v>
      </c>
      <c r="J388">
        <v>1317.5644531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47.907252</v>
      </c>
      <c r="B389" s="1">
        <f>DATE(2010,6,17) + TIME(21,46,26)</f>
        <v>40346.90724537037</v>
      </c>
      <c r="C389">
        <v>80</v>
      </c>
      <c r="D389">
        <v>79.947441100999995</v>
      </c>
      <c r="E389">
        <v>50</v>
      </c>
      <c r="F389">
        <v>14.999282837000001</v>
      </c>
      <c r="G389">
        <v>1340.5565185999999</v>
      </c>
      <c r="H389">
        <v>1338.0614014</v>
      </c>
      <c r="I389">
        <v>1321.5856934000001</v>
      </c>
      <c r="J389">
        <v>1317.5648193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48.118150999999997</v>
      </c>
      <c r="B390" s="1">
        <f>DATE(2010,6,18) + TIME(2,50,8)</f>
        <v>40347.118148148147</v>
      </c>
      <c r="C390">
        <v>80</v>
      </c>
      <c r="D390">
        <v>79.947441100999995</v>
      </c>
      <c r="E390">
        <v>50</v>
      </c>
      <c r="F390">
        <v>14.999285698</v>
      </c>
      <c r="G390">
        <v>1340.5528564000001</v>
      </c>
      <c r="H390">
        <v>1338.0585937999999</v>
      </c>
      <c r="I390">
        <v>1321.5865478999999</v>
      </c>
      <c r="J390">
        <v>1317.5653076000001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48.329050000000002</v>
      </c>
      <c r="B391" s="1">
        <f>DATE(2010,6,18) + TIME(7,53,49)</f>
        <v>40347.329039351855</v>
      </c>
      <c r="C391">
        <v>80</v>
      </c>
      <c r="D391">
        <v>79.947448730000005</v>
      </c>
      <c r="E391">
        <v>50</v>
      </c>
      <c r="F391">
        <v>14.999288559</v>
      </c>
      <c r="G391">
        <v>1340.5491943</v>
      </c>
      <c r="H391">
        <v>1338.0559082</v>
      </c>
      <c r="I391">
        <v>1321.5872803</v>
      </c>
      <c r="J391">
        <v>1317.5657959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48.539949</v>
      </c>
      <c r="B392" s="1">
        <f>DATE(2010,6,18) + TIME(12,57,31)</f>
        <v>40347.539942129632</v>
      </c>
      <c r="C392">
        <v>80</v>
      </c>
      <c r="D392">
        <v>79.947448730000005</v>
      </c>
      <c r="E392">
        <v>50</v>
      </c>
      <c r="F392">
        <v>14.999290466</v>
      </c>
      <c r="G392">
        <v>1340.5455322</v>
      </c>
      <c r="H392">
        <v>1338.0532227000001</v>
      </c>
      <c r="I392">
        <v>1321.5880127</v>
      </c>
      <c r="J392">
        <v>1317.5662841999999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48.750847999999998</v>
      </c>
      <c r="B393" s="1">
        <f>DATE(2010,6,18) + TIME(18,1,13)</f>
        <v>40347.750844907408</v>
      </c>
      <c r="C393">
        <v>80</v>
      </c>
      <c r="D393">
        <v>79.947448730000005</v>
      </c>
      <c r="E393">
        <v>50</v>
      </c>
      <c r="F393">
        <v>14.999293327</v>
      </c>
      <c r="G393">
        <v>1340.5418701000001</v>
      </c>
      <c r="H393">
        <v>1338.0504149999999</v>
      </c>
      <c r="I393">
        <v>1321.5887451000001</v>
      </c>
      <c r="J393">
        <v>1317.5666504000001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48.961745999999998</v>
      </c>
      <c r="B394" s="1">
        <f>DATE(2010,6,18) + TIME(23,4,54)</f>
        <v>40347.961736111109</v>
      </c>
      <c r="C394">
        <v>80</v>
      </c>
      <c r="D394">
        <v>79.947448730000005</v>
      </c>
      <c r="E394">
        <v>50</v>
      </c>
      <c r="F394">
        <v>14.999296188000001</v>
      </c>
      <c r="G394">
        <v>1340.5382079999999</v>
      </c>
      <c r="H394">
        <v>1338.0477295000001</v>
      </c>
      <c r="I394">
        <v>1321.5895995999999</v>
      </c>
      <c r="J394">
        <v>1317.5671387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49.172645000000003</v>
      </c>
      <c r="B395" s="1">
        <f>DATE(2010,6,19) + TIME(4,8,36)</f>
        <v>40348.172638888886</v>
      </c>
      <c r="C395">
        <v>80</v>
      </c>
      <c r="D395">
        <v>79.947448730000005</v>
      </c>
      <c r="E395">
        <v>50</v>
      </c>
      <c r="F395">
        <v>14.999298096</v>
      </c>
      <c r="G395">
        <v>1340.534668</v>
      </c>
      <c r="H395">
        <v>1338.0450439000001</v>
      </c>
      <c r="I395">
        <v>1321.590332</v>
      </c>
      <c r="J395">
        <v>1317.5676269999999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49.594442999999998</v>
      </c>
      <c r="B396" s="1">
        <f>DATE(2010,6,19) + TIME(14,15,59)</f>
        <v>40348.59443287037</v>
      </c>
      <c r="C396">
        <v>80</v>
      </c>
      <c r="D396">
        <v>79.947463988999999</v>
      </c>
      <c r="E396">
        <v>50</v>
      </c>
      <c r="F396">
        <v>14.99930191</v>
      </c>
      <c r="G396">
        <v>1340.5306396000001</v>
      </c>
      <c r="H396">
        <v>1338.0419922000001</v>
      </c>
      <c r="I396">
        <v>1321.5911865</v>
      </c>
      <c r="J396">
        <v>1317.5681152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50.017496000000001</v>
      </c>
      <c r="B397" s="1">
        <f>DATE(2010,6,20) + TIME(0,25,11)</f>
        <v>40349.017488425925</v>
      </c>
      <c r="C397">
        <v>80</v>
      </c>
      <c r="D397">
        <v>79.947471618999998</v>
      </c>
      <c r="E397">
        <v>50</v>
      </c>
      <c r="F397">
        <v>14.999306679</v>
      </c>
      <c r="G397">
        <v>1340.5238036999999</v>
      </c>
      <c r="H397">
        <v>1338.0371094</v>
      </c>
      <c r="I397">
        <v>1321.5926514</v>
      </c>
      <c r="J397">
        <v>1317.5690918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50.445861000000001</v>
      </c>
      <c r="B398" s="1">
        <f>DATE(2010,6,20) + TIME(10,42,2)</f>
        <v>40349.445856481485</v>
      </c>
      <c r="C398">
        <v>80</v>
      </c>
      <c r="D398">
        <v>79.947479247999993</v>
      </c>
      <c r="E398">
        <v>50</v>
      </c>
      <c r="F398">
        <v>14.999311447</v>
      </c>
      <c r="G398">
        <v>1340.5168457</v>
      </c>
      <c r="H398">
        <v>1338.0318603999999</v>
      </c>
      <c r="I398">
        <v>1321.5942382999999</v>
      </c>
      <c r="J398">
        <v>1317.5699463000001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50.880524999999999</v>
      </c>
      <c r="B399" s="1">
        <f>DATE(2010,6,20) + TIME(21,7,57)</f>
        <v>40349.880520833336</v>
      </c>
      <c r="C399">
        <v>80</v>
      </c>
      <c r="D399">
        <v>79.947479247999993</v>
      </c>
      <c r="E399">
        <v>50</v>
      </c>
      <c r="F399">
        <v>14.999316216</v>
      </c>
      <c r="G399">
        <v>1340.5096435999999</v>
      </c>
      <c r="H399">
        <v>1338.0266113</v>
      </c>
      <c r="I399">
        <v>1321.5958252</v>
      </c>
      <c r="J399">
        <v>1317.5709228999999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51.322552000000002</v>
      </c>
      <c r="B400" s="1">
        <f>DATE(2010,6,21) + TIME(7,44,28)</f>
        <v>40350.322546296295</v>
      </c>
      <c r="C400">
        <v>80</v>
      </c>
      <c r="D400">
        <v>79.947486877000003</v>
      </c>
      <c r="E400">
        <v>50</v>
      </c>
      <c r="F400">
        <v>14.999320984000001</v>
      </c>
      <c r="G400">
        <v>1340.5025635</v>
      </c>
      <c r="H400">
        <v>1338.0212402</v>
      </c>
      <c r="I400">
        <v>1321.5975341999999</v>
      </c>
      <c r="J400">
        <v>1317.5720214999999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51.773072999999997</v>
      </c>
      <c r="B401" s="1">
        <f>DATE(2010,6,21) + TIME(18,33,13)</f>
        <v>40350.77306712963</v>
      </c>
      <c r="C401">
        <v>80</v>
      </c>
      <c r="D401">
        <v>79.947486877000003</v>
      </c>
      <c r="E401">
        <v>50</v>
      </c>
      <c r="F401">
        <v>14.999325752000001</v>
      </c>
      <c r="G401">
        <v>1340.4952393000001</v>
      </c>
      <c r="H401">
        <v>1338.0158690999999</v>
      </c>
      <c r="I401">
        <v>1321.5991211</v>
      </c>
      <c r="J401">
        <v>1317.5729980000001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51.999766999999999</v>
      </c>
      <c r="B402" s="1">
        <f>DATE(2010,6,21) + TIME(23,59,39)</f>
        <v>40350.999756944446</v>
      </c>
      <c r="C402">
        <v>80</v>
      </c>
      <c r="D402">
        <v>79.947479247999993</v>
      </c>
      <c r="E402">
        <v>50</v>
      </c>
      <c r="F402">
        <v>14.999328612999999</v>
      </c>
      <c r="G402">
        <v>1340.4886475000001</v>
      </c>
      <c r="H402">
        <v>1338.0111084</v>
      </c>
      <c r="I402">
        <v>1321.6007079999999</v>
      </c>
      <c r="J402">
        <v>1317.5738524999999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52.226301999999997</v>
      </c>
      <c r="B403" s="1">
        <f>DATE(2010,6,22) + TIME(5,25,52)</f>
        <v>40351.2262962963</v>
      </c>
      <c r="C403">
        <v>80</v>
      </c>
      <c r="D403">
        <v>79.947479247999993</v>
      </c>
      <c r="E403">
        <v>50</v>
      </c>
      <c r="F403">
        <v>14.999332428000001</v>
      </c>
      <c r="G403">
        <v>1340.4846190999999</v>
      </c>
      <c r="H403">
        <v>1338.0080565999999</v>
      </c>
      <c r="I403">
        <v>1321.6016846</v>
      </c>
      <c r="J403">
        <v>1317.5745850000001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52.452382</v>
      </c>
      <c r="B404" s="1">
        <f>DATE(2010,6,22) + TIME(10,51,25)</f>
        <v>40351.452372685184</v>
      </c>
      <c r="C404">
        <v>80</v>
      </c>
      <c r="D404">
        <v>79.947479247999993</v>
      </c>
      <c r="E404">
        <v>50</v>
      </c>
      <c r="F404">
        <v>14.999335288999999</v>
      </c>
      <c r="G404">
        <v>1340.4808350000001</v>
      </c>
      <c r="H404">
        <v>1338.0051269999999</v>
      </c>
      <c r="I404">
        <v>1321.6026611</v>
      </c>
      <c r="J404">
        <v>1317.5750731999999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52.678111000000001</v>
      </c>
      <c r="B405" s="1">
        <f>DATE(2010,6,22) + TIME(16,16,28)</f>
        <v>40351.678101851852</v>
      </c>
      <c r="C405">
        <v>80</v>
      </c>
      <c r="D405">
        <v>79.947479247999993</v>
      </c>
      <c r="E405">
        <v>50</v>
      </c>
      <c r="F405">
        <v>14.99933815</v>
      </c>
      <c r="G405">
        <v>1340.4770507999999</v>
      </c>
      <c r="H405">
        <v>1338.0024414</v>
      </c>
      <c r="I405">
        <v>1321.6035156</v>
      </c>
      <c r="J405">
        <v>1317.5756836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52.903618999999999</v>
      </c>
      <c r="B406" s="1">
        <f>DATE(2010,6,22) + TIME(21,41,12)</f>
        <v>40351.903611111113</v>
      </c>
      <c r="C406">
        <v>80</v>
      </c>
      <c r="D406">
        <v>79.947479247999993</v>
      </c>
      <c r="E406">
        <v>50</v>
      </c>
      <c r="F406">
        <v>14.999341011</v>
      </c>
      <c r="G406">
        <v>1340.4733887</v>
      </c>
      <c r="H406">
        <v>1337.9996338000001</v>
      </c>
      <c r="I406">
        <v>1321.6043701000001</v>
      </c>
      <c r="J406">
        <v>1317.5761719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53.129038000000001</v>
      </c>
      <c r="B407" s="1">
        <f>DATE(2010,6,23) + TIME(3,5,48)</f>
        <v>40352.129027777781</v>
      </c>
      <c r="C407">
        <v>80</v>
      </c>
      <c r="D407">
        <v>79.947486877000003</v>
      </c>
      <c r="E407">
        <v>50</v>
      </c>
      <c r="F407">
        <v>14.999343872000001</v>
      </c>
      <c r="G407">
        <v>1340.4698486</v>
      </c>
      <c r="H407">
        <v>1337.9969481999999</v>
      </c>
      <c r="I407">
        <v>1321.6052245999999</v>
      </c>
      <c r="J407">
        <v>1317.5766602000001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53.354456999999996</v>
      </c>
      <c r="B408" s="1">
        <f>DATE(2010,6,23) + TIME(8,30,25)</f>
        <v>40352.354456018518</v>
      </c>
      <c r="C408">
        <v>80</v>
      </c>
      <c r="D408">
        <v>79.947486877000003</v>
      </c>
      <c r="E408">
        <v>50</v>
      </c>
      <c r="F408">
        <v>14.999346732999999</v>
      </c>
      <c r="G408">
        <v>1340.4661865</v>
      </c>
      <c r="H408">
        <v>1337.9942627</v>
      </c>
      <c r="I408">
        <v>1321.6062012</v>
      </c>
      <c r="J408">
        <v>1317.5771483999999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53.579875999999999</v>
      </c>
      <c r="B409" s="1">
        <f>DATE(2010,6,23) + TIME(13,55,1)</f>
        <v>40352.579872685186</v>
      </c>
      <c r="C409">
        <v>80</v>
      </c>
      <c r="D409">
        <v>79.947486877000003</v>
      </c>
      <c r="E409">
        <v>50</v>
      </c>
      <c r="F409">
        <v>14.999348639999999</v>
      </c>
      <c r="G409">
        <v>1340.4626464999999</v>
      </c>
      <c r="H409">
        <v>1337.9915771000001</v>
      </c>
      <c r="I409">
        <v>1321.6070557</v>
      </c>
      <c r="J409">
        <v>1317.5777588000001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53.805295000000001</v>
      </c>
      <c r="B410" s="1">
        <f>DATE(2010,6,23) + TIME(19,19,37)</f>
        <v>40352.805289351854</v>
      </c>
      <c r="C410">
        <v>80</v>
      </c>
      <c r="D410">
        <v>79.947494507000002</v>
      </c>
      <c r="E410">
        <v>50</v>
      </c>
      <c r="F410">
        <v>14.999351501</v>
      </c>
      <c r="G410">
        <v>1340.4591064000001</v>
      </c>
      <c r="H410">
        <v>1337.9888916</v>
      </c>
      <c r="I410">
        <v>1321.6079102000001</v>
      </c>
      <c r="J410">
        <v>1317.5782471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54.030714000000003</v>
      </c>
      <c r="B411" s="1">
        <f>DATE(2010,6,24) + TIME(0,44,13)</f>
        <v>40353.030706018515</v>
      </c>
      <c r="C411">
        <v>80</v>
      </c>
      <c r="D411">
        <v>79.947494507000002</v>
      </c>
      <c r="E411">
        <v>50</v>
      </c>
      <c r="F411">
        <v>14.999354362</v>
      </c>
      <c r="G411">
        <v>1340.4555664</v>
      </c>
      <c r="H411">
        <v>1337.9863281</v>
      </c>
      <c r="I411">
        <v>1321.6087646000001</v>
      </c>
      <c r="J411">
        <v>1317.5787353999999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54.256132999999998</v>
      </c>
      <c r="B412" s="1">
        <f>DATE(2010,6,24) + TIME(6,8,49)</f>
        <v>40353.256122685183</v>
      </c>
      <c r="C412">
        <v>80</v>
      </c>
      <c r="D412">
        <v>79.947494507000002</v>
      </c>
      <c r="E412">
        <v>50</v>
      </c>
      <c r="F412">
        <v>14.999357224000001</v>
      </c>
      <c r="G412">
        <v>1340.4520264</v>
      </c>
      <c r="H412">
        <v>1337.9836425999999</v>
      </c>
      <c r="I412">
        <v>1321.6097411999999</v>
      </c>
      <c r="J412">
        <v>1317.5793457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54.481552000000001</v>
      </c>
      <c r="B413" s="1">
        <f>DATE(2010,6,24) + TIME(11,33,26)</f>
        <v>40353.481550925928</v>
      </c>
      <c r="C413">
        <v>80</v>
      </c>
      <c r="D413">
        <v>79.947502135999997</v>
      </c>
      <c r="E413">
        <v>50</v>
      </c>
      <c r="F413">
        <v>14.999360084999999</v>
      </c>
      <c r="G413">
        <v>1340.4484863</v>
      </c>
      <c r="H413">
        <v>1337.9810791</v>
      </c>
      <c r="I413">
        <v>1321.6105957</v>
      </c>
      <c r="J413">
        <v>1317.5798339999999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54.932389999999998</v>
      </c>
      <c r="B414" s="1">
        <f>DATE(2010,6,24) + TIME(22,22,38)</f>
        <v>40353.932384259257</v>
      </c>
      <c r="C414">
        <v>80</v>
      </c>
      <c r="D414">
        <v>79.947517395000006</v>
      </c>
      <c r="E414">
        <v>50</v>
      </c>
      <c r="F414">
        <v>14.999364852999999</v>
      </c>
      <c r="G414">
        <v>1340.4445800999999</v>
      </c>
      <c r="H414">
        <v>1337.9780272999999</v>
      </c>
      <c r="I414">
        <v>1321.6115723</v>
      </c>
      <c r="J414">
        <v>1317.5804443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55.383847000000003</v>
      </c>
      <c r="B415" s="1">
        <f>DATE(2010,6,25) + TIME(9,12,44)</f>
        <v>40354.383842592593</v>
      </c>
      <c r="C415">
        <v>80</v>
      </c>
      <c r="D415">
        <v>79.947532654</v>
      </c>
      <c r="E415">
        <v>50</v>
      </c>
      <c r="F415">
        <v>14.999369621</v>
      </c>
      <c r="G415">
        <v>1340.4379882999999</v>
      </c>
      <c r="H415">
        <v>1337.9732666</v>
      </c>
      <c r="I415">
        <v>1321.6132812000001</v>
      </c>
      <c r="J415">
        <v>1317.5814209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55.840645000000002</v>
      </c>
      <c r="B416" s="1">
        <f>DATE(2010,6,25) + TIME(20,10,31)</f>
        <v>40354.840636574074</v>
      </c>
      <c r="C416">
        <v>80</v>
      </c>
      <c r="D416">
        <v>79.947540282999995</v>
      </c>
      <c r="E416">
        <v>50</v>
      </c>
      <c r="F416">
        <v>14.99937439</v>
      </c>
      <c r="G416">
        <v>1340.4311522999999</v>
      </c>
      <c r="H416">
        <v>1337.9681396000001</v>
      </c>
      <c r="I416">
        <v>1321.6151123</v>
      </c>
      <c r="J416">
        <v>1317.5825195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56.303854000000001</v>
      </c>
      <c r="B417" s="1">
        <f>DATE(2010,6,26) + TIME(7,17,32)</f>
        <v>40355.303842592592</v>
      </c>
      <c r="C417">
        <v>80</v>
      </c>
      <c r="D417">
        <v>79.947547912999994</v>
      </c>
      <c r="E417">
        <v>50</v>
      </c>
      <c r="F417">
        <v>14.999380112000001</v>
      </c>
      <c r="G417">
        <v>1340.4243164</v>
      </c>
      <c r="H417">
        <v>1337.9630127</v>
      </c>
      <c r="I417">
        <v>1321.6169434000001</v>
      </c>
      <c r="J417">
        <v>1317.5836182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56.774602999999999</v>
      </c>
      <c r="B418" s="1">
        <f>DATE(2010,6,26) + TIME(18,35,25)</f>
        <v>40355.774594907409</v>
      </c>
      <c r="C418">
        <v>80</v>
      </c>
      <c r="D418">
        <v>79.947555542000003</v>
      </c>
      <c r="E418">
        <v>50</v>
      </c>
      <c r="F418">
        <v>14.999385834</v>
      </c>
      <c r="G418">
        <v>1340.4172363</v>
      </c>
      <c r="H418">
        <v>1337.9578856999999</v>
      </c>
      <c r="I418">
        <v>1321.6188964999999</v>
      </c>
      <c r="J418">
        <v>1317.5848389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57.252851</v>
      </c>
      <c r="B419" s="1">
        <f>DATE(2010,6,27) + TIME(6,4,6)</f>
        <v>40356.252847222226</v>
      </c>
      <c r="C419">
        <v>80</v>
      </c>
      <c r="D419">
        <v>79.947563170999999</v>
      </c>
      <c r="E419">
        <v>50</v>
      </c>
      <c r="F419">
        <v>14.999392509</v>
      </c>
      <c r="G419">
        <v>1340.4102783000001</v>
      </c>
      <c r="H419">
        <v>1337.9526367000001</v>
      </c>
      <c r="I419">
        <v>1321.6208495999999</v>
      </c>
      <c r="J419">
        <v>1317.5859375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57.495049000000002</v>
      </c>
      <c r="B420" s="1">
        <f>DATE(2010,6,27) + TIME(11,52,52)</f>
        <v>40356.495046296295</v>
      </c>
      <c r="C420">
        <v>80</v>
      </c>
      <c r="D420">
        <v>79.947555542000003</v>
      </c>
      <c r="E420">
        <v>50</v>
      </c>
      <c r="F420">
        <v>14.999396323999999</v>
      </c>
      <c r="G420">
        <v>1340.4039307</v>
      </c>
      <c r="H420">
        <v>1337.9479980000001</v>
      </c>
      <c r="I420">
        <v>1321.6226807</v>
      </c>
      <c r="J420">
        <v>1317.5870361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57.735892</v>
      </c>
      <c r="B421" s="1">
        <f>DATE(2010,6,27) + TIME(17,39,41)</f>
        <v>40356.735891203702</v>
      </c>
      <c r="C421">
        <v>80</v>
      </c>
      <c r="D421">
        <v>79.947555542000003</v>
      </c>
      <c r="E421">
        <v>50</v>
      </c>
      <c r="F421">
        <v>14.999400139</v>
      </c>
      <c r="G421">
        <v>1340.3999022999999</v>
      </c>
      <c r="H421">
        <v>1337.9449463000001</v>
      </c>
      <c r="I421">
        <v>1321.6239014</v>
      </c>
      <c r="J421">
        <v>1317.5877685999999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57.976255000000002</v>
      </c>
      <c r="B422" s="1">
        <f>DATE(2010,6,27) + TIME(23,25,48)</f>
        <v>40356.97625</v>
      </c>
      <c r="C422">
        <v>80</v>
      </c>
      <c r="D422">
        <v>79.947555542000003</v>
      </c>
      <c r="E422">
        <v>50</v>
      </c>
      <c r="F422">
        <v>14.999403954</v>
      </c>
      <c r="G422">
        <v>1340.3961182</v>
      </c>
      <c r="H422">
        <v>1337.9421387</v>
      </c>
      <c r="I422">
        <v>1321.6248779</v>
      </c>
      <c r="J422">
        <v>1317.5883789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58.216265</v>
      </c>
      <c r="B423" s="1">
        <f>DATE(2010,6,28) + TIME(5,11,25)</f>
        <v>40357.216261574074</v>
      </c>
      <c r="C423">
        <v>80</v>
      </c>
      <c r="D423">
        <v>79.947563170999999</v>
      </c>
      <c r="E423">
        <v>50</v>
      </c>
      <c r="F423">
        <v>14.999407767999999</v>
      </c>
      <c r="G423">
        <v>1340.3925781</v>
      </c>
      <c r="H423">
        <v>1337.9394531</v>
      </c>
      <c r="I423">
        <v>1321.6259766000001</v>
      </c>
      <c r="J423">
        <v>1317.5889893000001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58.456073000000004</v>
      </c>
      <c r="B424" s="1">
        <f>DATE(2010,6,28) + TIME(10,56,44)</f>
        <v>40357.456064814818</v>
      </c>
      <c r="C424">
        <v>80</v>
      </c>
      <c r="D424">
        <v>79.947563170999999</v>
      </c>
      <c r="E424">
        <v>50</v>
      </c>
      <c r="F424">
        <v>14.999412537</v>
      </c>
      <c r="G424">
        <v>1340.3890381000001</v>
      </c>
      <c r="H424">
        <v>1337.9367675999999</v>
      </c>
      <c r="I424">
        <v>1321.6269531</v>
      </c>
      <c r="J424">
        <v>1317.5895995999999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58.695796000000001</v>
      </c>
      <c r="B425" s="1">
        <f>DATE(2010,6,28) + TIME(16,41,56)</f>
        <v>40357.695787037039</v>
      </c>
      <c r="C425">
        <v>80</v>
      </c>
      <c r="D425">
        <v>79.947570800999998</v>
      </c>
      <c r="E425">
        <v>50</v>
      </c>
      <c r="F425">
        <v>14.999416351000001</v>
      </c>
      <c r="G425">
        <v>1340.3854980000001</v>
      </c>
      <c r="H425">
        <v>1337.934082</v>
      </c>
      <c r="I425">
        <v>1321.6279297000001</v>
      </c>
      <c r="J425">
        <v>1317.5902100000001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58.935518000000002</v>
      </c>
      <c r="B426" s="1">
        <f>DATE(2010,6,28) + TIME(22,27,8)</f>
        <v>40357.93550925926</v>
      </c>
      <c r="C426">
        <v>80</v>
      </c>
      <c r="D426">
        <v>79.947570800999998</v>
      </c>
      <c r="E426">
        <v>50</v>
      </c>
      <c r="F426">
        <v>14.999420166</v>
      </c>
      <c r="G426">
        <v>1340.3820800999999</v>
      </c>
      <c r="H426">
        <v>1337.9315185999999</v>
      </c>
      <c r="I426">
        <v>1321.6290283000001</v>
      </c>
      <c r="J426">
        <v>1317.5908202999999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59.175241</v>
      </c>
      <c r="B427" s="1">
        <f>DATE(2010,6,29) + TIME(4,12,20)</f>
        <v>40358.17523148148</v>
      </c>
      <c r="C427">
        <v>80</v>
      </c>
      <c r="D427">
        <v>79.947578429999993</v>
      </c>
      <c r="E427">
        <v>50</v>
      </c>
      <c r="F427">
        <v>14.999423981</v>
      </c>
      <c r="G427">
        <v>1340.3785399999999</v>
      </c>
      <c r="H427">
        <v>1337.9289550999999</v>
      </c>
      <c r="I427">
        <v>1321.6300048999999</v>
      </c>
      <c r="J427">
        <v>1317.5914307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59.414963999999998</v>
      </c>
      <c r="B428" s="1">
        <f>DATE(2010,6,29) + TIME(9,57,32)</f>
        <v>40358.414953703701</v>
      </c>
      <c r="C428">
        <v>80</v>
      </c>
      <c r="D428">
        <v>79.947578429999993</v>
      </c>
      <c r="E428">
        <v>50</v>
      </c>
      <c r="F428">
        <v>14.999428749</v>
      </c>
      <c r="G428">
        <v>1340.3751221</v>
      </c>
      <c r="H428">
        <v>1337.9262695</v>
      </c>
      <c r="I428">
        <v>1321.6309814000001</v>
      </c>
      <c r="J428">
        <v>1317.5920410000001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59.654685999999998</v>
      </c>
      <c r="B429" s="1">
        <f>DATE(2010,6,29) + TIME(15,42,44)</f>
        <v>40358.654675925929</v>
      </c>
      <c r="C429">
        <v>80</v>
      </c>
      <c r="D429">
        <v>79.947586060000006</v>
      </c>
      <c r="E429">
        <v>50</v>
      </c>
      <c r="F429">
        <v>14.999432563999999</v>
      </c>
      <c r="G429">
        <v>1340.3717041</v>
      </c>
      <c r="H429">
        <v>1337.9237060999999</v>
      </c>
      <c r="I429">
        <v>1321.6320800999999</v>
      </c>
      <c r="J429">
        <v>1317.5926514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59.894409000000003</v>
      </c>
      <c r="B430" s="1">
        <f>DATE(2010,6,29) + TIME(21,27,56)</f>
        <v>40358.89439814815</v>
      </c>
      <c r="C430">
        <v>80</v>
      </c>
      <c r="D430">
        <v>79.947586060000006</v>
      </c>
      <c r="E430">
        <v>50</v>
      </c>
      <c r="F430">
        <v>14.999437331999999</v>
      </c>
      <c r="G430">
        <v>1340.3682861</v>
      </c>
      <c r="H430">
        <v>1337.9211425999999</v>
      </c>
      <c r="I430">
        <v>1321.6330565999999</v>
      </c>
      <c r="J430">
        <v>1317.5932617000001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60.134132000000001</v>
      </c>
      <c r="B431" s="1">
        <f>DATE(2010,6,30) + TIME(3,13,8)</f>
        <v>40359.134120370371</v>
      </c>
      <c r="C431">
        <v>80</v>
      </c>
      <c r="D431">
        <v>79.947593689000001</v>
      </c>
      <c r="E431">
        <v>50</v>
      </c>
      <c r="F431">
        <v>14.999442101</v>
      </c>
      <c r="G431">
        <v>1340.3648682</v>
      </c>
      <c r="H431">
        <v>1337.9185791</v>
      </c>
      <c r="I431">
        <v>1321.6341553</v>
      </c>
      <c r="J431">
        <v>1317.5938721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60.613576999999999</v>
      </c>
      <c r="B432" s="1">
        <f>DATE(2010,6,30) + TIME(14,43,33)</f>
        <v>40359.613576388889</v>
      </c>
      <c r="C432">
        <v>80</v>
      </c>
      <c r="D432">
        <v>79.947616577000005</v>
      </c>
      <c r="E432">
        <v>50</v>
      </c>
      <c r="F432">
        <v>14.99944973</v>
      </c>
      <c r="G432">
        <v>1340.3609618999999</v>
      </c>
      <c r="H432">
        <v>1337.9156493999999</v>
      </c>
      <c r="I432">
        <v>1321.635376</v>
      </c>
      <c r="J432">
        <v>1317.5944824000001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61</v>
      </c>
      <c r="B433" s="1">
        <f>DATE(2010,7,1) + TIME(0,0,0)</f>
        <v>40360</v>
      </c>
      <c r="C433">
        <v>80</v>
      </c>
      <c r="D433">
        <v>79.947624207000004</v>
      </c>
      <c r="E433">
        <v>50</v>
      </c>
      <c r="F433">
        <v>14.999457359000001</v>
      </c>
      <c r="G433">
        <v>1340.3547363</v>
      </c>
      <c r="H433">
        <v>1337.9111327999999</v>
      </c>
      <c r="I433">
        <v>1321.6373291</v>
      </c>
      <c r="J433">
        <v>1317.5957031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61.480904000000002</v>
      </c>
      <c r="B434" s="1">
        <f>DATE(2010,7,1) + TIME(11,32,30)</f>
        <v>40360.480902777781</v>
      </c>
      <c r="C434">
        <v>80</v>
      </c>
      <c r="D434">
        <v>79.947639464999995</v>
      </c>
      <c r="E434">
        <v>50</v>
      </c>
      <c r="F434">
        <v>14.999466895999999</v>
      </c>
      <c r="G434">
        <v>1340.3491211</v>
      </c>
      <c r="H434">
        <v>1337.9068603999999</v>
      </c>
      <c r="I434">
        <v>1321.6390381000001</v>
      </c>
      <c r="J434">
        <v>1317.5968018000001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61.972689000000003</v>
      </c>
      <c r="B435" s="1">
        <f>DATE(2010,7,1) + TIME(23,20,40)</f>
        <v>40360.972685185188</v>
      </c>
      <c r="C435">
        <v>80</v>
      </c>
      <c r="D435">
        <v>79.947647094999994</v>
      </c>
      <c r="E435">
        <v>50</v>
      </c>
      <c r="F435">
        <v>14.99947834</v>
      </c>
      <c r="G435">
        <v>1340.3425293</v>
      </c>
      <c r="H435">
        <v>1337.9019774999999</v>
      </c>
      <c r="I435">
        <v>1321.6412353999999</v>
      </c>
      <c r="J435">
        <v>1317.5980225000001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62.472034999999998</v>
      </c>
      <c r="B436" s="1">
        <f>DATE(2010,7,2) + TIME(11,19,43)</f>
        <v>40361.472025462965</v>
      </c>
      <c r="C436">
        <v>80</v>
      </c>
      <c r="D436">
        <v>79.947662354000002</v>
      </c>
      <c r="E436">
        <v>50</v>
      </c>
      <c r="F436">
        <v>14.999490738</v>
      </c>
      <c r="G436">
        <v>1340.3358154</v>
      </c>
      <c r="H436">
        <v>1337.8969727000001</v>
      </c>
      <c r="I436">
        <v>1321.6434326000001</v>
      </c>
      <c r="J436">
        <v>1317.5993652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62.979106000000002</v>
      </c>
      <c r="B437" s="1">
        <f>DATE(2010,7,2) + TIME(23,29,54)</f>
        <v>40361.979097222225</v>
      </c>
      <c r="C437">
        <v>80</v>
      </c>
      <c r="D437">
        <v>79.947677612000007</v>
      </c>
      <c r="E437">
        <v>50</v>
      </c>
      <c r="F437">
        <v>14.999505997</v>
      </c>
      <c r="G437">
        <v>1340.3289795000001</v>
      </c>
      <c r="H437">
        <v>1337.8918457</v>
      </c>
      <c r="I437">
        <v>1321.6457519999999</v>
      </c>
      <c r="J437">
        <v>1317.6007079999999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63.235522000000003</v>
      </c>
      <c r="B438" s="1">
        <f>DATE(2010,7,3) + TIME(5,39,9)</f>
        <v>40362.235520833332</v>
      </c>
      <c r="C438">
        <v>80</v>
      </c>
      <c r="D438">
        <v>79.947669982999997</v>
      </c>
      <c r="E438">
        <v>50</v>
      </c>
      <c r="F438">
        <v>14.999516486999999</v>
      </c>
      <c r="G438">
        <v>1340.322876</v>
      </c>
      <c r="H438">
        <v>1337.8873291</v>
      </c>
      <c r="I438">
        <v>1321.6479492000001</v>
      </c>
      <c r="J438">
        <v>1317.6019286999999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63.491880000000002</v>
      </c>
      <c r="B439" s="1">
        <f>DATE(2010,7,3) + TIME(11,48,18)</f>
        <v>40362.491875</v>
      </c>
      <c r="C439">
        <v>80</v>
      </c>
      <c r="D439">
        <v>79.947669982999997</v>
      </c>
      <c r="E439">
        <v>50</v>
      </c>
      <c r="F439">
        <v>14.999526978</v>
      </c>
      <c r="G439">
        <v>1340.3188477000001</v>
      </c>
      <c r="H439">
        <v>1337.8842772999999</v>
      </c>
      <c r="I439">
        <v>1321.6492920000001</v>
      </c>
      <c r="J439">
        <v>1317.6027832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63.747714000000002</v>
      </c>
      <c r="B440" s="1">
        <f>DATE(2010,7,3) + TIME(17,56,42)</f>
        <v>40362.747708333336</v>
      </c>
      <c r="C440">
        <v>80</v>
      </c>
      <c r="D440">
        <v>79.947677612000007</v>
      </c>
      <c r="E440">
        <v>50</v>
      </c>
      <c r="F440">
        <v>14.999537468</v>
      </c>
      <c r="G440">
        <v>1340.3153076000001</v>
      </c>
      <c r="H440">
        <v>1337.8815918</v>
      </c>
      <c r="I440">
        <v>1321.6505127</v>
      </c>
      <c r="J440">
        <v>1317.6035156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64.003155000000007</v>
      </c>
      <c r="B441" s="1">
        <f>DATE(2010,7,4) + TIME(0,4,32)</f>
        <v>40363.003148148149</v>
      </c>
      <c r="C441">
        <v>80</v>
      </c>
      <c r="D441">
        <v>79.947677612000007</v>
      </c>
      <c r="E441">
        <v>50</v>
      </c>
      <c r="F441">
        <v>14.999548912</v>
      </c>
      <c r="G441">
        <v>1340.3117675999999</v>
      </c>
      <c r="H441">
        <v>1337.8789062000001</v>
      </c>
      <c r="I441">
        <v>1321.6517334</v>
      </c>
      <c r="J441">
        <v>1317.604126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64.258363000000003</v>
      </c>
      <c r="B442" s="1">
        <f>DATE(2010,7,4) + TIME(6,12,2)</f>
        <v>40363.258356481485</v>
      </c>
      <c r="C442">
        <v>80</v>
      </c>
      <c r="D442">
        <v>79.947685242000006</v>
      </c>
      <c r="E442">
        <v>50</v>
      </c>
      <c r="F442">
        <v>14.999560356</v>
      </c>
      <c r="G442">
        <v>1340.3083495999999</v>
      </c>
      <c r="H442">
        <v>1337.8763428</v>
      </c>
      <c r="I442">
        <v>1321.6529541</v>
      </c>
      <c r="J442">
        <v>1317.6048584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64.513495000000006</v>
      </c>
      <c r="B443" s="1">
        <f>DATE(2010,7,4) + TIME(12,19,25)</f>
        <v>40363.513483796298</v>
      </c>
      <c r="C443">
        <v>80</v>
      </c>
      <c r="D443">
        <v>79.947692871000001</v>
      </c>
      <c r="E443">
        <v>50</v>
      </c>
      <c r="F443">
        <v>14.999572754000001</v>
      </c>
      <c r="G443">
        <v>1340.3049315999999</v>
      </c>
      <c r="H443">
        <v>1337.8737793</v>
      </c>
      <c r="I443">
        <v>1321.6541748</v>
      </c>
      <c r="J443">
        <v>1317.6055908000001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64.768625999999998</v>
      </c>
      <c r="B444" s="1">
        <f>DATE(2010,7,4) + TIME(18,26,49)</f>
        <v>40363.768622685187</v>
      </c>
      <c r="C444">
        <v>80</v>
      </c>
      <c r="D444">
        <v>79.947700499999996</v>
      </c>
      <c r="E444">
        <v>50</v>
      </c>
      <c r="F444">
        <v>14.999586105000001</v>
      </c>
      <c r="G444">
        <v>1340.3015137</v>
      </c>
      <c r="H444">
        <v>1337.8712158000001</v>
      </c>
      <c r="I444">
        <v>1321.6553954999999</v>
      </c>
      <c r="J444">
        <v>1317.6062012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65.023758000000001</v>
      </c>
      <c r="B445" s="1">
        <f>DATE(2010,7,5) + TIME(0,34,12)</f>
        <v>40364.02375</v>
      </c>
      <c r="C445">
        <v>80</v>
      </c>
      <c r="D445">
        <v>79.947708129999995</v>
      </c>
      <c r="E445">
        <v>50</v>
      </c>
      <c r="F445">
        <v>14.999600409999999</v>
      </c>
      <c r="G445">
        <v>1340.2980957</v>
      </c>
      <c r="H445">
        <v>1337.8686522999999</v>
      </c>
      <c r="I445">
        <v>1321.6566161999999</v>
      </c>
      <c r="J445">
        <v>1317.6069336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65.278889000000007</v>
      </c>
      <c r="B446" s="1">
        <f>DATE(2010,7,5) + TIME(6,41,36)</f>
        <v>40364.27888888889</v>
      </c>
      <c r="C446">
        <v>80</v>
      </c>
      <c r="D446">
        <v>79.947708129999995</v>
      </c>
      <c r="E446">
        <v>50</v>
      </c>
      <c r="F446">
        <v>14.999614716</v>
      </c>
      <c r="G446">
        <v>1340.2946777</v>
      </c>
      <c r="H446">
        <v>1337.8660889</v>
      </c>
      <c r="I446">
        <v>1321.6578368999999</v>
      </c>
      <c r="J446">
        <v>1317.6076660000001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65.534020999999996</v>
      </c>
      <c r="B447" s="1">
        <f>DATE(2010,7,5) + TIME(12,48,59)</f>
        <v>40364.534016203703</v>
      </c>
      <c r="C447">
        <v>80</v>
      </c>
      <c r="D447">
        <v>79.947715759000005</v>
      </c>
      <c r="E447">
        <v>50</v>
      </c>
      <c r="F447">
        <v>14.999630928</v>
      </c>
      <c r="G447">
        <v>1340.2913818</v>
      </c>
      <c r="H447">
        <v>1337.8635254000001</v>
      </c>
      <c r="I447">
        <v>1321.6590576000001</v>
      </c>
      <c r="J447">
        <v>1317.6083983999999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65.789152000000001</v>
      </c>
      <c r="B448" s="1">
        <f>DATE(2010,7,5) + TIME(18,56,22)</f>
        <v>40364.789143518516</v>
      </c>
      <c r="C448">
        <v>80</v>
      </c>
      <c r="D448">
        <v>79.947723389000004</v>
      </c>
      <c r="E448">
        <v>50</v>
      </c>
      <c r="F448">
        <v>14.999648093999999</v>
      </c>
      <c r="G448">
        <v>1340.2879639</v>
      </c>
      <c r="H448">
        <v>1337.8609618999999</v>
      </c>
      <c r="I448">
        <v>1321.6602783000001</v>
      </c>
      <c r="J448">
        <v>1317.6091309000001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66.044284000000005</v>
      </c>
      <c r="B449" s="1">
        <f>DATE(2010,7,6) + TIME(1,3,46)</f>
        <v>40365.044282407405</v>
      </c>
      <c r="C449">
        <v>80</v>
      </c>
      <c r="D449">
        <v>79.947731017999999</v>
      </c>
      <c r="E449">
        <v>50</v>
      </c>
      <c r="F449">
        <v>14.999666213999999</v>
      </c>
      <c r="G449">
        <v>1340.284668</v>
      </c>
      <c r="H449">
        <v>1337.8585204999999</v>
      </c>
      <c r="I449">
        <v>1321.6616211</v>
      </c>
      <c r="J449">
        <v>1317.6097411999999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66.299414999999996</v>
      </c>
      <c r="B450" s="1">
        <f>DATE(2010,7,6) + TIME(7,11,9)</f>
        <v>40365.299409722225</v>
      </c>
      <c r="C450">
        <v>80</v>
      </c>
      <c r="D450">
        <v>79.947738646999994</v>
      </c>
      <c r="E450">
        <v>50</v>
      </c>
      <c r="F450">
        <v>14.999685287</v>
      </c>
      <c r="G450">
        <v>1340.2813721</v>
      </c>
      <c r="H450">
        <v>1337.855957</v>
      </c>
      <c r="I450">
        <v>1321.6628418</v>
      </c>
      <c r="J450">
        <v>1317.6104736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66.809678000000005</v>
      </c>
      <c r="B451" s="1">
        <f>DATE(2010,7,6) + TIME(19,25,56)</f>
        <v>40365.809675925928</v>
      </c>
      <c r="C451">
        <v>80</v>
      </c>
      <c r="D451">
        <v>79.947761536000002</v>
      </c>
      <c r="E451">
        <v>50</v>
      </c>
      <c r="F451">
        <v>14.999718666</v>
      </c>
      <c r="G451">
        <v>1340.2775879000001</v>
      </c>
      <c r="H451">
        <v>1337.8531493999999</v>
      </c>
      <c r="I451">
        <v>1321.6641846</v>
      </c>
      <c r="J451">
        <v>1317.6113281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67.321378999999993</v>
      </c>
      <c r="B452" s="1">
        <f>DATE(2010,7,7) + TIME(7,42,47)</f>
        <v>40366.321377314816</v>
      </c>
      <c r="C452">
        <v>80</v>
      </c>
      <c r="D452">
        <v>79.947776794000006</v>
      </c>
      <c r="E452">
        <v>50</v>
      </c>
      <c r="F452">
        <v>14.999760628000001</v>
      </c>
      <c r="G452">
        <v>1340.2713623</v>
      </c>
      <c r="H452">
        <v>1337.8485106999999</v>
      </c>
      <c r="I452">
        <v>1321.666626</v>
      </c>
      <c r="J452">
        <v>1317.6126709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67.839776999999998</v>
      </c>
      <c r="B453" s="1">
        <f>DATE(2010,7,7) + TIME(20,9,16)</f>
        <v>40366.839768518519</v>
      </c>
      <c r="C453">
        <v>80</v>
      </c>
      <c r="D453">
        <v>79.947799683</v>
      </c>
      <c r="E453">
        <v>50</v>
      </c>
      <c r="F453">
        <v>14.999810219</v>
      </c>
      <c r="G453">
        <v>1340.2648925999999</v>
      </c>
      <c r="H453">
        <v>1337.8436279</v>
      </c>
      <c r="I453">
        <v>1321.6691894999999</v>
      </c>
      <c r="J453">
        <v>1317.6141356999999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68.366104000000007</v>
      </c>
      <c r="B454" s="1">
        <f>DATE(2010,7,8) + TIME(8,47,11)</f>
        <v>40367.366099537037</v>
      </c>
      <c r="C454">
        <v>80</v>
      </c>
      <c r="D454">
        <v>79.947814941000004</v>
      </c>
      <c r="E454">
        <v>50</v>
      </c>
      <c r="F454">
        <v>14.9998703</v>
      </c>
      <c r="G454">
        <v>1340.2583007999999</v>
      </c>
      <c r="H454">
        <v>1337.8386230000001</v>
      </c>
      <c r="I454">
        <v>1321.671875</v>
      </c>
      <c r="J454">
        <v>1317.6157227000001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68.901679999999999</v>
      </c>
      <c r="B455" s="1">
        <f>DATE(2010,7,8) + TIME(21,38,25)</f>
        <v>40367.901678240742</v>
      </c>
      <c r="C455">
        <v>80</v>
      </c>
      <c r="D455">
        <v>79.947830199999999</v>
      </c>
      <c r="E455">
        <v>50</v>
      </c>
      <c r="F455">
        <v>14.999939918999999</v>
      </c>
      <c r="G455">
        <v>1340.2517089999999</v>
      </c>
      <c r="H455">
        <v>1337.8337402</v>
      </c>
      <c r="I455">
        <v>1321.6745605000001</v>
      </c>
      <c r="J455">
        <v>1317.6173096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69.443247</v>
      </c>
      <c r="B456" s="1">
        <f>DATE(2010,7,9) + TIME(10,38,16)</f>
        <v>40368.443240740744</v>
      </c>
      <c r="C456">
        <v>80</v>
      </c>
      <c r="D456">
        <v>79.947845459000007</v>
      </c>
      <c r="E456">
        <v>50</v>
      </c>
      <c r="F456">
        <v>15.000022888</v>
      </c>
      <c r="G456">
        <v>1340.2449951000001</v>
      </c>
      <c r="H456">
        <v>1337.8286132999999</v>
      </c>
      <c r="I456">
        <v>1321.6773682</v>
      </c>
      <c r="J456">
        <v>1317.6188964999999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69.714766999999995</v>
      </c>
      <c r="B457" s="1">
        <f>DATE(2010,7,9) + TIME(17,9,15)</f>
        <v>40368.714756944442</v>
      </c>
      <c r="C457">
        <v>80</v>
      </c>
      <c r="D457">
        <v>79.947837829999997</v>
      </c>
      <c r="E457">
        <v>50</v>
      </c>
      <c r="F457">
        <v>15.000083923</v>
      </c>
      <c r="G457">
        <v>1340.2390137</v>
      </c>
      <c r="H457">
        <v>1337.8242187999999</v>
      </c>
      <c r="I457">
        <v>1321.6800536999999</v>
      </c>
      <c r="J457">
        <v>1317.6203613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69.986287000000004</v>
      </c>
      <c r="B458" s="1">
        <f>DATE(2010,7,9) + TIME(23,40,15)</f>
        <v>40368.986284722225</v>
      </c>
      <c r="C458">
        <v>80</v>
      </c>
      <c r="D458">
        <v>79.947845459000007</v>
      </c>
      <c r="E458">
        <v>50</v>
      </c>
      <c r="F458">
        <v>15.000146866</v>
      </c>
      <c r="G458">
        <v>1340.2352295000001</v>
      </c>
      <c r="H458">
        <v>1337.8212891000001</v>
      </c>
      <c r="I458">
        <v>1321.6817627</v>
      </c>
      <c r="J458">
        <v>1317.6213379000001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70.257807</v>
      </c>
      <c r="B459" s="1">
        <f>DATE(2010,7,10) + TIME(6,11,14)</f>
        <v>40369.257800925923</v>
      </c>
      <c r="C459">
        <v>80</v>
      </c>
      <c r="D459">
        <v>79.947853088000002</v>
      </c>
      <c r="E459">
        <v>50</v>
      </c>
      <c r="F459">
        <v>15.000211716000001</v>
      </c>
      <c r="G459">
        <v>1340.2316894999999</v>
      </c>
      <c r="H459">
        <v>1337.8186035000001</v>
      </c>
      <c r="I459">
        <v>1321.6832274999999</v>
      </c>
      <c r="J459">
        <v>1317.6221923999999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70.529326999999995</v>
      </c>
      <c r="B460" s="1">
        <f>DATE(2010,7,10) + TIME(12,42,13)</f>
        <v>40369.529317129629</v>
      </c>
      <c r="C460">
        <v>80</v>
      </c>
      <c r="D460">
        <v>79.947860718000001</v>
      </c>
      <c r="E460">
        <v>50</v>
      </c>
      <c r="F460">
        <v>15.00028038</v>
      </c>
      <c r="G460">
        <v>1340.2282714999999</v>
      </c>
      <c r="H460">
        <v>1337.815918</v>
      </c>
      <c r="I460">
        <v>1321.6846923999999</v>
      </c>
      <c r="J460">
        <v>1317.6230469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70.800847000000005</v>
      </c>
      <c r="B461" s="1">
        <f>DATE(2010,7,10) + TIME(19,13,13)</f>
        <v>40369.800844907404</v>
      </c>
      <c r="C461">
        <v>80</v>
      </c>
      <c r="D461">
        <v>79.947868346999996</v>
      </c>
      <c r="E461">
        <v>50</v>
      </c>
      <c r="F461">
        <v>15.000353813</v>
      </c>
      <c r="G461">
        <v>1340.2248535000001</v>
      </c>
      <c r="H461">
        <v>1337.8133545000001</v>
      </c>
      <c r="I461">
        <v>1321.6861572</v>
      </c>
      <c r="J461">
        <v>1317.6237793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71.072367</v>
      </c>
      <c r="B462" s="1">
        <f>DATE(2010,7,11) + TIME(1,44,12)</f>
        <v>40370.07236111111</v>
      </c>
      <c r="C462">
        <v>80</v>
      </c>
      <c r="D462">
        <v>79.947875976999995</v>
      </c>
      <c r="E462">
        <v>50</v>
      </c>
      <c r="F462">
        <v>15.000432013999999</v>
      </c>
      <c r="G462">
        <v>1340.2215576000001</v>
      </c>
      <c r="H462">
        <v>1337.8109131000001</v>
      </c>
      <c r="I462">
        <v>1321.6876221</v>
      </c>
      <c r="J462">
        <v>1317.6246338000001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71.343886999999995</v>
      </c>
      <c r="B463" s="1">
        <f>DATE(2010,7,11) + TIME(8,15,11)</f>
        <v>40370.343877314815</v>
      </c>
      <c r="C463">
        <v>80</v>
      </c>
      <c r="D463">
        <v>79.947883606000005</v>
      </c>
      <c r="E463">
        <v>50</v>
      </c>
      <c r="F463">
        <v>15.000514984</v>
      </c>
      <c r="G463">
        <v>1340.2182617000001</v>
      </c>
      <c r="H463">
        <v>1337.8083495999999</v>
      </c>
      <c r="I463">
        <v>1321.6890868999999</v>
      </c>
      <c r="J463">
        <v>1317.6254882999999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71.615407000000005</v>
      </c>
      <c r="B464" s="1">
        <f>DATE(2010,7,11) + TIME(14,46,11)</f>
        <v>40370.615405092591</v>
      </c>
      <c r="C464">
        <v>80</v>
      </c>
      <c r="D464">
        <v>79.947891235</v>
      </c>
      <c r="E464">
        <v>50</v>
      </c>
      <c r="F464">
        <v>15.00060463</v>
      </c>
      <c r="G464">
        <v>1340.2149658000001</v>
      </c>
      <c r="H464">
        <v>1337.8057861</v>
      </c>
      <c r="I464">
        <v>1321.6906738</v>
      </c>
      <c r="J464">
        <v>1317.6263428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71.886927</v>
      </c>
      <c r="B465" s="1">
        <f>DATE(2010,7,11) + TIME(21,17,10)</f>
        <v>40370.886921296296</v>
      </c>
      <c r="C465">
        <v>80</v>
      </c>
      <c r="D465">
        <v>79.947898864999999</v>
      </c>
      <c r="E465">
        <v>50</v>
      </c>
      <c r="F465">
        <v>15.000700951000001</v>
      </c>
      <c r="G465">
        <v>1340.2116699000001</v>
      </c>
      <c r="H465">
        <v>1337.8033447</v>
      </c>
      <c r="I465">
        <v>1321.6921387</v>
      </c>
      <c r="J465">
        <v>1317.6271973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72.158446999999995</v>
      </c>
      <c r="B466" s="1">
        <f>DATE(2010,7,12) + TIME(3,48,9)</f>
        <v>40371.158437500002</v>
      </c>
      <c r="C466">
        <v>80</v>
      </c>
      <c r="D466">
        <v>79.947906493999994</v>
      </c>
      <c r="E466">
        <v>50</v>
      </c>
      <c r="F466">
        <v>15.000803947</v>
      </c>
      <c r="G466">
        <v>1340.208374</v>
      </c>
      <c r="H466">
        <v>1337.8007812000001</v>
      </c>
      <c r="I466">
        <v>1321.6937256000001</v>
      </c>
      <c r="J466">
        <v>1317.6280518000001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72.429965999999993</v>
      </c>
      <c r="B467" s="1">
        <f>DATE(2010,7,12) + TIME(10,19,9)</f>
        <v>40371.429965277777</v>
      </c>
      <c r="C467">
        <v>80</v>
      </c>
      <c r="D467">
        <v>79.947914123999993</v>
      </c>
      <c r="E467">
        <v>50</v>
      </c>
      <c r="F467">
        <v>15.000915527</v>
      </c>
      <c r="G467">
        <v>1340.2050781</v>
      </c>
      <c r="H467">
        <v>1337.7983397999999</v>
      </c>
      <c r="I467">
        <v>1321.6951904</v>
      </c>
      <c r="J467">
        <v>1317.6289062000001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72.973005999999998</v>
      </c>
      <c r="B468" s="1">
        <f>DATE(2010,7,12) + TIME(23,21,7)</f>
        <v>40371.972997685189</v>
      </c>
      <c r="C468">
        <v>80</v>
      </c>
      <c r="D468">
        <v>79.947944641000007</v>
      </c>
      <c r="E468">
        <v>50</v>
      </c>
      <c r="F468">
        <v>15.001107215999999</v>
      </c>
      <c r="G468">
        <v>1340.2014160000001</v>
      </c>
      <c r="H468">
        <v>1337.7954102000001</v>
      </c>
      <c r="I468">
        <v>1321.6968993999999</v>
      </c>
      <c r="J468">
        <v>1317.6297606999999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73.517891000000006</v>
      </c>
      <c r="B469" s="1">
        <f>DATE(2010,7,13) + TIME(12,25,45)</f>
        <v>40372.517881944441</v>
      </c>
      <c r="C469">
        <v>80</v>
      </c>
      <c r="D469">
        <v>79.947967528999996</v>
      </c>
      <c r="E469">
        <v>50</v>
      </c>
      <c r="F469">
        <v>15.001347542</v>
      </c>
      <c r="G469">
        <v>1340.1953125</v>
      </c>
      <c r="H469">
        <v>1337.7908935999999</v>
      </c>
      <c r="I469">
        <v>1321.6998291</v>
      </c>
      <c r="J469">
        <v>1317.6314697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74.070021999999994</v>
      </c>
      <c r="B470" s="1">
        <f>DATE(2010,7,14) + TIME(1,40,49)</f>
        <v>40373.070011574076</v>
      </c>
      <c r="C470">
        <v>80</v>
      </c>
      <c r="D470">
        <v>79.947982788000004</v>
      </c>
      <c r="E470">
        <v>50</v>
      </c>
      <c r="F470">
        <v>15.001639365999999</v>
      </c>
      <c r="G470">
        <v>1340.1889647999999</v>
      </c>
      <c r="H470">
        <v>1337.7861327999999</v>
      </c>
      <c r="I470">
        <v>1321.703125</v>
      </c>
      <c r="J470">
        <v>1317.6333007999999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74.630776999999995</v>
      </c>
      <c r="B471" s="1">
        <f>DATE(2010,7,14) + TIME(15,8,19)</f>
        <v>40373.63077546296</v>
      </c>
      <c r="C471">
        <v>80</v>
      </c>
      <c r="D471">
        <v>79.948005675999994</v>
      </c>
      <c r="E471">
        <v>50</v>
      </c>
      <c r="F471">
        <v>15.001987457</v>
      </c>
      <c r="G471">
        <v>1340.1824951000001</v>
      </c>
      <c r="H471">
        <v>1337.7811279</v>
      </c>
      <c r="I471">
        <v>1321.7064209</v>
      </c>
      <c r="J471">
        <v>1317.6351318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75.198464000000001</v>
      </c>
      <c r="B472" s="1">
        <f>DATE(2010,7,15) + TIME(4,45,47)</f>
        <v>40374.198460648149</v>
      </c>
      <c r="C472">
        <v>80</v>
      </c>
      <c r="D472">
        <v>79.948020935000002</v>
      </c>
      <c r="E472">
        <v>50</v>
      </c>
      <c r="F472">
        <v>15.002398490999999</v>
      </c>
      <c r="G472">
        <v>1340.1759033000001</v>
      </c>
      <c r="H472">
        <v>1337.7762451000001</v>
      </c>
      <c r="I472">
        <v>1321.7097168</v>
      </c>
      <c r="J472">
        <v>1317.6369629000001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75.770932000000002</v>
      </c>
      <c r="B473" s="1">
        <f>DATE(2010,7,15) + TIME(18,30,8)</f>
        <v>40374.770925925928</v>
      </c>
      <c r="C473">
        <v>80</v>
      </c>
      <c r="D473">
        <v>79.948043823000006</v>
      </c>
      <c r="E473">
        <v>50</v>
      </c>
      <c r="F473">
        <v>15.002881049999999</v>
      </c>
      <c r="G473">
        <v>1340.1694336</v>
      </c>
      <c r="H473">
        <v>1337.7712402</v>
      </c>
      <c r="I473">
        <v>1321.7132568</v>
      </c>
      <c r="J473">
        <v>1317.6389160000001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76.059799999999996</v>
      </c>
      <c r="B474" s="1">
        <f>DATE(2010,7,16) + TIME(1,26,6)</f>
        <v>40375.059791666667</v>
      </c>
      <c r="C474">
        <v>80</v>
      </c>
      <c r="D474">
        <v>79.948043823000006</v>
      </c>
      <c r="E474">
        <v>50</v>
      </c>
      <c r="F474">
        <v>15.003237724</v>
      </c>
      <c r="G474">
        <v>1340.1635742000001</v>
      </c>
      <c r="H474">
        <v>1337.7669678</v>
      </c>
      <c r="I474">
        <v>1321.7165527</v>
      </c>
      <c r="J474">
        <v>1317.6407471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76.347887999999998</v>
      </c>
      <c r="B475" s="1">
        <f>DATE(2010,7,16) + TIME(8,20,57)</f>
        <v>40375.347881944443</v>
      </c>
      <c r="C475">
        <v>80</v>
      </c>
      <c r="D475">
        <v>79.948051453000005</v>
      </c>
      <c r="E475">
        <v>50</v>
      </c>
      <c r="F475">
        <v>15.003603934999999</v>
      </c>
      <c r="G475">
        <v>1340.1597899999999</v>
      </c>
      <c r="H475">
        <v>1337.7639160000001</v>
      </c>
      <c r="I475">
        <v>1321.7186279</v>
      </c>
      <c r="J475">
        <v>1317.6418457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76.635711999999998</v>
      </c>
      <c r="B476" s="1">
        <f>DATE(2010,7,16) + TIME(15,15,25)</f>
        <v>40375.635706018518</v>
      </c>
      <c r="C476">
        <v>80</v>
      </c>
      <c r="D476">
        <v>79.948059082</v>
      </c>
      <c r="E476">
        <v>50</v>
      </c>
      <c r="F476">
        <v>15.003983498</v>
      </c>
      <c r="G476">
        <v>1340.1563721</v>
      </c>
      <c r="H476">
        <v>1337.7613524999999</v>
      </c>
      <c r="I476">
        <v>1321.7204589999999</v>
      </c>
      <c r="J476">
        <v>1317.6429443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76.923419999999993</v>
      </c>
      <c r="B477" s="1">
        <f>DATE(2010,7,16) + TIME(22,9,43)</f>
        <v>40375.923414351855</v>
      </c>
      <c r="C477">
        <v>80</v>
      </c>
      <c r="D477">
        <v>79.948066710999996</v>
      </c>
      <c r="E477">
        <v>50</v>
      </c>
      <c r="F477">
        <v>15.004384041</v>
      </c>
      <c r="G477">
        <v>1340.1529541</v>
      </c>
      <c r="H477">
        <v>1337.7587891000001</v>
      </c>
      <c r="I477">
        <v>1321.7222899999999</v>
      </c>
      <c r="J477">
        <v>1317.6439209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77.211128000000002</v>
      </c>
      <c r="B478" s="1">
        <f>DATE(2010,7,17) + TIME(5,4,1)</f>
        <v>40376.211122685185</v>
      </c>
      <c r="C478">
        <v>80</v>
      </c>
      <c r="D478">
        <v>79.948074340999995</v>
      </c>
      <c r="E478">
        <v>50</v>
      </c>
      <c r="F478">
        <v>15.004806519000001</v>
      </c>
      <c r="G478">
        <v>1340.1496582</v>
      </c>
      <c r="H478">
        <v>1337.7562256000001</v>
      </c>
      <c r="I478">
        <v>1321.7241211</v>
      </c>
      <c r="J478">
        <v>1317.6448975000001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77.498835</v>
      </c>
      <c r="B479" s="1">
        <f>DATE(2010,7,17) + TIME(11,58,19)</f>
        <v>40376.498831018522</v>
      </c>
      <c r="C479">
        <v>80</v>
      </c>
      <c r="D479">
        <v>79.948089600000003</v>
      </c>
      <c r="E479">
        <v>50</v>
      </c>
      <c r="F479">
        <v>15.005256653</v>
      </c>
      <c r="G479">
        <v>1340.1464844</v>
      </c>
      <c r="H479">
        <v>1337.7536620999999</v>
      </c>
      <c r="I479">
        <v>1321.7260742000001</v>
      </c>
      <c r="J479">
        <v>1317.645874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77.786542999999995</v>
      </c>
      <c r="B480" s="1">
        <f>DATE(2010,7,17) + TIME(18,52,37)</f>
        <v>40376.786539351851</v>
      </c>
      <c r="C480">
        <v>80</v>
      </c>
      <c r="D480">
        <v>79.948097228999998</v>
      </c>
      <c r="E480">
        <v>50</v>
      </c>
      <c r="F480">
        <v>15.005738257999999</v>
      </c>
      <c r="G480">
        <v>1340.1431885</v>
      </c>
      <c r="H480">
        <v>1337.7512207</v>
      </c>
      <c r="I480">
        <v>1321.7279053</v>
      </c>
      <c r="J480">
        <v>1317.6469727000001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78.074251000000004</v>
      </c>
      <c r="B481" s="1">
        <f>DATE(2010,7,18) + TIME(1,46,55)</f>
        <v>40377.074247685188</v>
      </c>
      <c r="C481">
        <v>80</v>
      </c>
      <c r="D481">
        <v>79.948104857999994</v>
      </c>
      <c r="E481">
        <v>50</v>
      </c>
      <c r="F481">
        <v>15.006252289000001</v>
      </c>
      <c r="G481">
        <v>1340.1398925999999</v>
      </c>
      <c r="H481">
        <v>1337.7487793</v>
      </c>
      <c r="I481">
        <v>1321.7297363</v>
      </c>
      <c r="J481">
        <v>1317.6479492000001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78.361958999999999</v>
      </c>
      <c r="B482" s="1">
        <f>DATE(2010,7,18) + TIME(8,41,13)</f>
        <v>40377.361956018518</v>
      </c>
      <c r="C482">
        <v>80</v>
      </c>
      <c r="D482">
        <v>79.948120117000002</v>
      </c>
      <c r="E482">
        <v>50</v>
      </c>
      <c r="F482">
        <v>15.006803512999999</v>
      </c>
      <c r="G482">
        <v>1340.1367187999999</v>
      </c>
      <c r="H482">
        <v>1337.7462158000001</v>
      </c>
      <c r="I482">
        <v>1321.7316894999999</v>
      </c>
      <c r="J482">
        <v>1317.6490478999999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78.649666999999994</v>
      </c>
      <c r="B483" s="1">
        <f>DATE(2010,7,18) + TIME(15,35,31)</f>
        <v>40377.649664351855</v>
      </c>
      <c r="C483">
        <v>80</v>
      </c>
      <c r="D483">
        <v>79.948127747000001</v>
      </c>
      <c r="E483">
        <v>50</v>
      </c>
      <c r="F483">
        <v>15.007393837</v>
      </c>
      <c r="G483">
        <v>1340.1335449000001</v>
      </c>
      <c r="H483">
        <v>1337.7437743999999</v>
      </c>
      <c r="I483">
        <v>1321.7336425999999</v>
      </c>
      <c r="J483">
        <v>1317.6500243999999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78.937374000000005</v>
      </c>
      <c r="B484" s="1">
        <f>DATE(2010,7,18) + TIME(22,29,49)</f>
        <v>40377.937372685185</v>
      </c>
      <c r="C484">
        <v>80</v>
      </c>
      <c r="D484">
        <v>79.948135375999996</v>
      </c>
      <c r="E484">
        <v>50</v>
      </c>
      <c r="F484">
        <v>15.00802803</v>
      </c>
      <c r="G484">
        <v>1340.1303711</v>
      </c>
      <c r="H484">
        <v>1337.7413329999999</v>
      </c>
      <c r="I484">
        <v>1321.7355957</v>
      </c>
      <c r="J484">
        <v>1317.6511230000001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79.512789999999995</v>
      </c>
      <c r="B485" s="1">
        <f>DATE(2010,7,19) + TIME(12,18,25)</f>
        <v>40378.512789351851</v>
      </c>
      <c r="C485">
        <v>80</v>
      </c>
      <c r="D485">
        <v>79.948173522999994</v>
      </c>
      <c r="E485">
        <v>50</v>
      </c>
      <c r="F485">
        <v>15.009106636</v>
      </c>
      <c r="G485">
        <v>1340.1265868999999</v>
      </c>
      <c r="H485">
        <v>1337.7385254000001</v>
      </c>
      <c r="I485">
        <v>1321.7376709</v>
      </c>
      <c r="J485">
        <v>1317.6522216999999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80.089554000000007</v>
      </c>
      <c r="B486" s="1">
        <f>DATE(2010,7,20) + TIME(2,8,57)</f>
        <v>40379.089548611111</v>
      </c>
      <c r="C486">
        <v>80</v>
      </c>
      <c r="D486">
        <v>79.948196410999998</v>
      </c>
      <c r="E486">
        <v>50</v>
      </c>
      <c r="F486">
        <v>15.010460854</v>
      </c>
      <c r="G486">
        <v>1340.1207274999999</v>
      </c>
      <c r="H486">
        <v>1337.7338867000001</v>
      </c>
      <c r="I486">
        <v>1321.7415771000001</v>
      </c>
      <c r="J486">
        <v>1317.6542969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80.673250999999993</v>
      </c>
      <c r="B487" s="1">
        <f>DATE(2010,7,20) + TIME(16,9,28)</f>
        <v>40379.67324074074</v>
      </c>
      <c r="C487">
        <v>80</v>
      </c>
      <c r="D487">
        <v>79.948219299000002</v>
      </c>
      <c r="E487">
        <v>50</v>
      </c>
      <c r="F487">
        <v>15.012095451</v>
      </c>
      <c r="G487">
        <v>1340.1145019999999</v>
      </c>
      <c r="H487">
        <v>1337.7292480000001</v>
      </c>
      <c r="I487">
        <v>1321.7456055</v>
      </c>
      <c r="J487">
        <v>1317.6564940999999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81.265342000000004</v>
      </c>
      <c r="B488" s="1">
        <f>DATE(2010,7,21) + TIME(6,22,5)</f>
        <v>40380.265335648146</v>
      </c>
      <c r="C488">
        <v>80</v>
      </c>
      <c r="D488">
        <v>79.948242187999995</v>
      </c>
      <c r="E488">
        <v>50</v>
      </c>
      <c r="F488">
        <v>15.014030457</v>
      </c>
      <c r="G488">
        <v>1340.1081543</v>
      </c>
      <c r="H488">
        <v>1337.7243652</v>
      </c>
      <c r="I488">
        <v>1321.7498779</v>
      </c>
      <c r="J488">
        <v>1317.6588135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81.865825999999998</v>
      </c>
      <c r="B489" s="1">
        <f>DATE(2010,7,21) + TIME(20,46,47)</f>
        <v>40380.86582175926</v>
      </c>
      <c r="C489">
        <v>80</v>
      </c>
      <c r="D489">
        <v>79.948265075999998</v>
      </c>
      <c r="E489">
        <v>50</v>
      </c>
      <c r="F489">
        <v>15.016302109</v>
      </c>
      <c r="G489">
        <v>1340.1018065999999</v>
      </c>
      <c r="H489">
        <v>1337.7194824000001</v>
      </c>
      <c r="I489">
        <v>1321.7541504000001</v>
      </c>
      <c r="J489">
        <v>1317.6611327999999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82.471171999999996</v>
      </c>
      <c r="B490" s="1">
        <f>DATE(2010,7,22) + TIME(11,18,29)</f>
        <v>40381.471168981479</v>
      </c>
      <c r="C490">
        <v>80</v>
      </c>
      <c r="D490">
        <v>79.948287964000002</v>
      </c>
      <c r="E490">
        <v>50</v>
      </c>
      <c r="F490">
        <v>15.018949509</v>
      </c>
      <c r="G490">
        <v>1340.0953368999999</v>
      </c>
      <c r="H490">
        <v>1337.7144774999999</v>
      </c>
      <c r="I490">
        <v>1321.7586670000001</v>
      </c>
      <c r="J490">
        <v>1317.6635742000001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82.775469000000001</v>
      </c>
      <c r="B491" s="1">
        <f>DATE(2010,7,22) + TIME(18,36,40)</f>
        <v>40381.775462962964</v>
      </c>
      <c r="C491">
        <v>80</v>
      </c>
      <c r="D491">
        <v>79.948287964000002</v>
      </c>
      <c r="E491">
        <v>50</v>
      </c>
      <c r="F491">
        <v>15.020905494999999</v>
      </c>
      <c r="G491">
        <v>1340.0897216999999</v>
      </c>
      <c r="H491">
        <v>1337.7102050999999</v>
      </c>
      <c r="I491">
        <v>1321.7630615</v>
      </c>
      <c r="J491">
        <v>1317.6658935999999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83.079766000000006</v>
      </c>
      <c r="B492" s="1">
        <f>DATE(2010,7,23) + TIME(1,54,51)</f>
        <v>40382.079756944448</v>
      </c>
      <c r="C492">
        <v>80</v>
      </c>
      <c r="D492">
        <v>79.948295592999997</v>
      </c>
      <c r="E492">
        <v>50</v>
      </c>
      <c r="F492">
        <v>15.022893906</v>
      </c>
      <c r="G492">
        <v>1340.0859375</v>
      </c>
      <c r="H492">
        <v>1337.7073975000001</v>
      </c>
      <c r="I492">
        <v>1321.7657471</v>
      </c>
      <c r="J492">
        <v>1317.6673584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83.384062999999998</v>
      </c>
      <c r="B493" s="1">
        <f>DATE(2010,7,23) + TIME(9,13,3)</f>
        <v>40382.384062500001</v>
      </c>
      <c r="C493">
        <v>80</v>
      </c>
      <c r="D493">
        <v>79.948310852000006</v>
      </c>
      <c r="E493">
        <v>50</v>
      </c>
      <c r="F493">
        <v>15.024950026999999</v>
      </c>
      <c r="G493">
        <v>1340.0826416</v>
      </c>
      <c r="H493">
        <v>1337.7047118999999</v>
      </c>
      <c r="I493">
        <v>1321.7681885</v>
      </c>
      <c r="J493">
        <v>1317.6687012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83.688360000000003</v>
      </c>
      <c r="B494" s="1">
        <f>DATE(2010,7,23) + TIME(16,31,14)</f>
        <v>40382.688356481478</v>
      </c>
      <c r="C494">
        <v>80</v>
      </c>
      <c r="D494">
        <v>79.948318481000001</v>
      </c>
      <c r="E494">
        <v>50</v>
      </c>
      <c r="F494">
        <v>15.027097702000001</v>
      </c>
      <c r="G494">
        <v>1340.0793457</v>
      </c>
      <c r="H494">
        <v>1337.7021483999999</v>
      </c>
      <c r="I494">
        <v>1321.7705077999999</v>
      </c>
      <c r="J494">
        <v>1317.6699219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83.992656999999994</v>
      </c>
      <c r="B495" s="1">
        <f>DATE(2010,7,23) + TIME(23,49,25)</f>
        <v>40382.992650462962</v>
      </c>
      <c r="C495">
        <v>80</v>
      </c>
      <c r="D495">
        <v>79.948333739999995</v>
      </c>
      <c r="E495">
        <v>50</v>
      </c>
      <c r="F495">
        <v>15.029358864000001</v>
      </c>
      <c r="G495">
        <v>1340.0760498</v>
      </c>
      <c r="H495">
        <v>1337.6995850000001</v>
      </c>
      <c r="I495">
        <v>1321.7729492000001</v>
      </c>
      <c r="J495">
        <v>1317.6712646000001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84.296953000000002</v>
      </c>
      <c r="B496" s="1">
        <f>DATE(2010,7,24) + TIME(7,7,36)</f>
        <v>40383.296944444446</v>
      </c>
      <c r="C496">
        <v>80</v>
      </c>
      <c r="D496">
        <v>79.948341369999994</v>
      </c>
      <c r="E496">
        <v>50</v>
      </c>
      <c r="F496">
        <v>15.03175354</v>
      </c>
      <c r="G496">
        <v>1340.072876</v>
      </c>
      <c r="H496">
        <v>1337.6971435999999</v>
      </c>
      <c r="I496">
        <v>1321.7755127</v>
      </c>
      <c r="J496">
        <v>1317.6726074000001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84.601249999999993</v>
      </c>
      <c r="B497" s="1">
        <f>DATE(2010,7,24) + TIME(14,25,48)</f>
        <v>40383.60125</v>
      </c>
      <c r="C497">
        <v>80</v>
      </c>
      <c r="D497">
        <v>79.948356627999999</v>
      </c>
      <c r="E497">
        <v>50</v>
      </c>
      <c r="F497">
        <v>15.034297943</v>
      </c>
      <c r="G497">
        <v>1340.0697021000001</v>
      </c>
      <c r="H497">
        <v>1337.6947021000001</v>
      </c>
      <c r="I497">
        <v>1321.7779541</v>
      </c>
      <c r="J497">
        <v>1317.6738281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84.905546999999999</v>
      </c>
      <c r="B498" s="1">
        <f>DATE(2010,7,24) + TIME(21,43,59)</f>
        <v>40383.905543981484</v>
      </c>
      <c r="C498">
        <v>80</v>
      </c>
      <c r="D498">
        <v>79.948364257999998</v>
      </c>
      <c r="E498">
        <v>50</v>
      </c>
      <c r="F498">
        <v>15.037008286000001</v>
      </c>
      <c r="G498">
        <v>1340.0665283000001</v>
      </c>
      <c r="H498">
        <v>1337.6922606999999</v>
      </c>
      <c r="I498">
        <v>1321.7805175999999</v>
      </c>
      <c r="J498">
        <v>1317.675293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85.209844000000004</v>
      </c>
      <c r="B499" s="1">
        <f>DATE(2010,7,25) + TIME(5,2,10)</f>
        <v>40384.209837962961</v>
      </c>
      <c r="C499">
        <v>80</v>
      </c>
      <c r="D499">
        <v>79.948379517000006</v>
      </c>
      <c r="E499">
        <v>50</v>
      </c>
      <c r="F499">
        <v>15.039898872</v>
      </c>
      <c r="G499">
        <v>1340.0633545000001</v>
      </c>
      <c r="H499">
        <v>1337.6898193</v>
      </c>
      <c r="I499">
        <v>1321.7830810999999</v>
      </c>
      <c r="J499">
        <v>1317.6766356999999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85.818438</v>
      </c>
      <c r="B500" s="1">
        <f>DATE(2010,7,25) + TIME(19,38,33)</f>
        <v>40384.818437499998</v>
      </c>
      <c r="C500">
        <v>80</v>
      </c>
      <c r="D500">
        <v>79.948417664000004</v>
      </c>
      <c r="E500">
        <v>50</v>
      </c>
      <c r="F500">
        <v>15.044742584</v>
      </c>
      <c r="G500">
        <v>1340.0596923999999</v>
      </c>
      <c r="H500">
        <v>1337.6868896000001</v>
      </c>
      <c r="I500">
        <v>1321.7856445</v>
      </c>
      <c r="J500">
        <v>1317.6781006000001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86.428584000000001</v>
      </c>
      <c r="B501" s="1">
        <f>DATE(2010,7,26) + TIME(10,17,9)</f>
        <v>40385.428576388891</v>
      </c>
      <c r="C501">
        <v>80</v>
      </c>
      <c r="D501">
        <v>79.948440551999994</v>
      </c>
      <c r="E501">
        <v>50</v>
      </c>
      <c r="F501">
        <v>15.050826073</v>
      </c>
      <c r="G501">
        <v>1340.0538329999999</v>
      </c>
      <c r="H501">
        <v>1337.6823730000001</v>
      </c>
      <c r="I501">
        <v>1321.7907714999999</v>
      </c>
      <c r="J501">
        <v>1317.6807861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87.045816000000002</v>
      </c>
      <c r="B502" s="1">
        <f>DATE(2010,7,27) + TIME(1,5,58)</f>
        <v>40386.045810185184</v>
      </c>
      <c r="C502">
        <v>80</v>
      </c>
      <c r="D502">
        <v>79.948471068999993</v>
      </c>
      <c r="E502">
        <v>50</v>
      </c>
      <c r="F502">
        <v>15.058123588999999</v>
      </c>
      <c r="G502">
        <v>1340.0476074000001</v>
      </c>
      <c r="H502">
        <v>1337.6776123</v>
      </c>
      <c r="I502">
        <v>1321.7962646000001</v>
      </c>
      <c r="J502">
        <v>1317.6837158000001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87.670551000000003</v>
      </c>
      <c r="B503" s="1">
        <f>DATE(2010,7,27) + TIME(16,5,35)</f>
        <v>40386.670543981483</v>
      </c>
      <c r="C503">
        <v>80</v>
      </c>
      <c r="D503">
        <v>79.948493958</v>
      </c>
      <c r="E503">
        <v>50</v>
      </c>
      <c r="F503">
        <v>15.066699981999999</v>
      </c>
      <c r="G503">
        <v>1340.0413818</v>
      </c>
      <c r="H503">
        <v>1337.6727295000001</v>
      </c>
      <c r="I503">
        <v>1321.8017577999999</v>
      </c>
      <c r="J503">
        <v>1317.6867675999999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87.984573999999995</v>
      </c>
      <c r="B504" s="1">
        <f>DATE(2010,7,27) + TIME(23,37,47)</f>
        <v>40386.984571759262</v>
      </c>
      <c r="C504">
        <v>80</v>
      </c>
      <c r="D504">
        <v>79.948501586999996</v>
      </c>
      <c r="E504">
        <v>50</v>
      </c>
      <c r="F504">
        <v>15.073070526</v>
      </c>
      <c r="G504">
        <v>1340.0358887</v>
      </c>
      <c r="H504">
        <v>1337.6685791</v>
      </c>
      <c r="I504">
        <v>1321.8076172000001</v>
      </c>
      <c r="J504">
        <v>1317.6896973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88.298597000000001</v>
      </c>
      <c r="B505" s="1">
        <f>DATE(2010,7,28) + TIME(7,9,58)</f>
        <v>40387.298587962963</v>
      </c>
      <c r="C505">
        <v>80</v>
      </c>
      <c r="D505">
        <v>79.948509216000005</v>
      </c>
      <c r="E505">
        <v>50</v>
      </c>
      <c r="F505">
        <v>15.079519272000001</v>
      </c>
      <c r="G505">
        <v>1340.0322266000001</v>
      </c>
      <c r="H505">
        <v>1337.6657714999999</v>
      </c>
      <c r="I505">
        <v>1321.8109131000001</v>
      </c>
      <c r="J505">
        <v>1317.6915283000001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88.612618999999995</v>
      </c>
      <c r="B506" s="1">
        <f>DATE(2010,7,28) + TIME(14,42,10)</f>
        <v>40387.612615740742</v>
      </c>
      <c r="C506">
        <v>80</v>
      </c>
      <c r="D506">
        <v>79.948524474999999</v>
      </c>
      <c r="E506">
        <v>50</v>
      </c>
      <c r="F506">
        <v>15.086152076999999</v>
      </c>
      <c r="G506">
        <v>1340.0289307</v>
      </c>
      <c r="H506">
        <v>1337.6630858999999</v>
      </c>
      <c r="I506">
        <v>1321.8138428</v>
      </c>
      <c r="J506">
        <v>1317.6932373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88.926642000000001</v>
      </c>
      <c r="B507" s="1">
        <f>DATE(2010,7,28) + TIME(22,14,21)</f>
        <v>40387.926631944443</v>
      </c>
      <c r="C507">
        <v>80</v>
      </c>
      <c r="D507">
        <v>79.948532103999995</v>
      </c>
      <c r="E507">
        <v>50</v>
      </c>
      <c r="F507">
        <v>15.09305191</v>
      </c>
      <c r="G507">
        <v>1340.0257568</v>
      </c>
      <c r="H507">
        <v>1337.6606445</v>
      </c>
      <c r="I507">
        <v>1321.8168945</v>
      </c>
      <c r="J507">
        <v>1317.6949463000001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89.240665000000007</v>
      </c>
      <c r="B508" s="1">
        <f>DATE(2010,7,29) + TIME(5,46,33)</f>
        <v>40388.240659722222</v>
      </c>
      <c r="C508">
        <v>80</v>
      </c>
      <c r="D508">
        <v>79.948547363000003</v>
      </c>
      <c r="E508">
        <v>50</v>
      </c>
      <c r="F508">
        <v>15.100286484</v>
      </c>
      <c r="G508">
        <v>1340.0225829999999</v>
      </c>
      <c r="H508">
        <v>1337.6580810999999</v>
      </c>
      <c r="I508">
        <v>1321.8199463000001</v>
      </c>
      <c r="J508">
        <v>1317.6966553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89.554687999999999</v>
      </c>
      <c r="B509" s="1">
        <f>DATE(2010,7,29) + TIME(13,18,45)</f>
        <v>40388.5546875</v>
      </c>
      <c r="C509">
        <v>80</v>
      </c>
      <c r="D509">
        <v>79.948562621999997</v>
      </c>
      <c r="E509">
        <v>50</v>
      </c>
      <c r="F509">
        <v>15.107914924999999</v>
      </c>
      <c r="G509">
        <v>1340.0194091999999</v>
      </c>
      <c r="H509">
        <v>1337.6556396000001</v>
      </c>
      <c r="I509">
        <v>1321.8231201000001</v>
      </c>
      <c r="J509">
        <v>1317.6983643000001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89.868711000000005</v>
      </c>
      <c r="B510" s="1">
        <f>DATE(2010,7,29) + TIME(20,50,56)</f>
        <v>40388.868703703702</v>
      </c>
      <c r="C510">
        <v>80</v>
      </c>
      <c r="D510">
        <v>79.948577881000006</v>
      </c>
      <c r="E510">
        <v>50</v>
      </c>
      <c r="F510">
        <v>15.115987777999999</v>
      </c>
      <c r="G510">
        <v>1340.0162353999999</v>
      </c>
      <c r="H510">
        <v>1337.6531981999999</v>
      </c>
      <c r="I510">
        <v>1321.8262939000001</v>
      </c>
      <c r="J510">
        <v>1317.7000731999999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90.182732999999999</v>
      </c>
      <c r="B511" s="1">
        <f>DATE(2010,7,30) + TIME(4,23,8)</f>
        <v>40389.18273148148</v>
      </c>
      <c r="C511">
        <v>80</v>
      </c>
      <c r="D511">
        <v>79.948585510000001</v>
      </c>
      <c r="E511">
        <v>50</v>
      </c>
      <c r="F511">
        <v>15.124549866000001</v>
      </c>
      <c r="G511">
        <v>1340.0131836</v>
      </c>
      <c r="H511">
        <v>1337.6507568</v>
      </c>
      <c r="I511">
        <v>1321.8294678</v>
      </c>
      <c r="J511">
        <v>1317.7019043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90.496756000000005</v>
      </c>
      <c r="B512" s="1">
        <f>DATE(2010,7,30) + TIME(11,55,19)</f>
        <v>40389.496747685182</v>
      </c>
      <c r="C512">
        <v>80</v>
      </c>
      <c r="D512">
        <v>79.948600768999995</v>
      </c>
      <c r="E512">
        <v>50</v>
      </c>
      <c r="F512">
        <v>15.133644104</v>
      </c>
      <c r="G512">
        <v>1340.0100098</v>
      </c>
      <c r="H512">
        <v>1337.6483154</v>
      </c>
      <c r="I512">
        <v>1321.8327637</v>
      </c>
      <c r="J512">
        <v>1317.7037353999999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91.124802000000003</v>
      </c>
      <c r="B513" s="1">
        <f>DATE(2010,7,31) + TIME(2,59,42)</f>
        <v>40390.124791666669</v>
      </c>
      <c r="C513">
        <v>80</v>
      </c>
      <c r="D513">
        <v>79.948638915999993</v>
      </c>
      <c r="E513">
        <v>50</v>
      </c>
      <c r="F513">
        <v>15.148721695000001</v>
      </c>
      <c r="G513">
        <v>1340.0064697</v>
      </c>
      <c r="H513">
        <v>1337.6455077999999</v>
      </c>
      <c r="I513">
        <v>1321.8358154</v>
      </c>
      <c r="J513">
        <v>1317.7056885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91.754517000000007</v>
      </c>
      <c r="B514" s="1">
        <f>DATE(2010,7,31) + TIME(18,6,30)</f>
        <v>40390.754513888889</v>
      </c>
      <c r="C514">
        <v>80</v>
      </c>
      <c r="D514">
        <v>79.948669433999996</v>
      </c>
      <c r="E514">
        <v>50</v>
      </c>
      <c r="F514">
        <v>15.167622566</v>
      </c>
      <c r="G514">
        <v>1340.0007324000001</v>
      </c>
      <c r="H514">
        <v>1337.6409911999999</v>
      </c>
      <c r="I514">
        <v>1321.8424072</v>
      </c>
      <c r="J514">
        <v>1317.7093506000001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92</v>
      </c>
      <c r="B515" s="1">
        <f>DATE(2010,8,1) + TIME(0,0,0)</f>
        <v>40391</v>
      </c>
      <c r="C515">
        <v>80</v>
      </c>
      <c r="D515">
        <v>79.948669433999996</v>
      </c>
      <c r="E515">
        <v>50</v>
      </c>
      <c r="F515">
        <v>15.179577826999999</v>
      </c>
      <c r="G515">
        <v>1339.9957274999999</v>
      </c>
      <c r="H515">
        <v>1337.6373291</v>
      </c>
      <c r="I515">
        <v>1321.8494873</v>
      </c>
      <c r="J515">
        <v>1317.7128906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92.639204000000007</v>
      </c>
      <c r="B516" s="1">
        <f>DATE(2010,8,1) + TIME(15,20,27)</f>
        <v>40391.639201388891</v>
      </c>
      <c r="C516">
        <v>80</v>
      </c>
      <c r="D516">
        <v>79.948707580999994</v>
      </c>
      <c r="E516">
        <v>50</v>
      </c>
      <c r="F516">
        <v>15.202082634</v>
      </c>
      <c r="G516">
        <v>1339.9919434000001</v>
      </c>
      <c r="H516">
        <v>1337.6341553</v>
      </c>
      <c r="I516">
        <v>1321.8521728999999</v>
      </c>
      <c r="J516">
        <v>1317.7150879000001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93.28201</v>
      </c>
      <c r="B517" s="1">
        <f>DATE(2010,8,2) + TIME(6,46,5)</f>
        <v>40392.282002314816</v>
      </c>
      <c r="C517">
        <v>80</v>
      </c>
      <c r="D517">
        <v>79.948738098000007</v>
      </c>
      <c r="E517">
        <v>50</v>
      </c>
      <c r="F517">
        <v>15.228993416</v>
      </c>
      <c r="G517">
        <v>1339.9860839999999</v>
      </c>
      <c r="H517">
        <v>1337.6296387</v>
      </c>
      <c r="I517">
        <v>1321.859375</v>
      </c>
      <c r="J517">
        <v>1317.7191161999999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93.927691999999993</v>
      </c>
      <c r="B518" s="1">
        <f>DATE(2010,8,2) + TIME(22,15,52)</f>
        <v>40392.927685185183</v>
      </c>
      <c r="C518">
        <v>80</v>
      </c>
      <c r="D518">
        <v>79.948768615999995</v>
      </c>
      <c r="E518">
        <v>50</v>
      </c>
      <c r="F518">
        <v>15.260278702000001</v>
      </c>
      <c r="G518">
        <v>1339.9799805</v>
      </c>
      <c r="H518">
        <v>1337.6248779</v>
      </c>
      <c r="I518">
        <v>1321.8668213000001</v>
      </c>
      <c r="J518">
        <v>1317.7235106999999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94.252315999999993</v>
      </c>
      <c r="B519" s="1">
        <f>DATE(2010,8,3) + TIME(6,3,20)</f>
        <v>40393.252314814818</v>
      </c>
      <c r="C519">
        <v>80</v>
      </c>
      <c r="D519">
        <v>79.948776245000005</v>
      </c>
      <c r="E519">
        <v>50</v>
      </c>
      <c r="F519">
        <v>15.283456802</v>
      </c>
      <c r="G519">
        <v>1339.9746094</v>
      </c>
      <c r="H519">
        <v>1337.6207274999999</v>
      </c>
      <c r="I519">
        <v>1321.875</v>
      </c>
      <c r="J519">
        <v>1317.7279053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94.576939999999993</v>
      </c>
      <c r="B520" s="1">
        <f>DATE(2010,8,3) + TIME(13,50,47)</f>
        <v>40393.576932870368</v>
      </c>
      <c r="C520">
        <v>80</v>
      </c>
      <c r="D520">
        <v>79.948783875000004</v>
      </c>
      <c r="E520">
        <v>50</v>
      </c>
      <c r="F520">
        <v>15.306694030999999</v>
      </c>
      <c r="G520">
        <v>1339.9710693</v>
      </c>
      <c r="H520">
        <v>1337.6177978999999</v>
      </c>
      <c r="I520">
        <v>1321.8791504000001</v>
      </c>
      <c r="J520">
        <v>1317.7305908000001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94.901563999999993</v>
      </c>
      <c r="B521" s="1">
        <f>DATE(2010,8,3) + TIME(21,38,15)</f>
        <v>40393.901562500003</v>
      </c>
      <c r="C521">
        <v>80</v>
      </c>
      <c r="D521">
        <v>79.948799132999994</v>
      </c>
      <c r="E521">
        <v>50</v>
      </c>
      <c r="F521">
        <v>15.330393791000001</v>
      </c>
      <c r="G521">
        <v>1339.9677733999999</v>
      </c>
      <c r="H521">
        <v>1337.6152344</v>
      </c>
      <c r="I521">
        <v>1321.8831786999999</v>
      </c>
      <c r="J521">
        <v>1317.7331543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95.226187999999993</v>
      </c>
      <c r="B522" s="1">
        <f>DATE(2010,8,4) + TIME(5,25,42)</f>
        <v>40394.226180555554</v>
      </c>
      <c r="C522">
        <v>80</v>
      </c>
      <c r="D522">
        <v>79.948814392000003</v>
      </c>
      <c r="E522">
        <v>50</v>
      </c>
      <c r="F522">
        <v>15.354866028</v>
      </c>
      <c r="G522">
        <v>1339.9647216999999</v>
      </c>
      <c r="H522">
        <v>1337.612793</v>
      </c>
      <c r="I522">
        <v>1321.8870850000001</v>
      </c>
      <c r="J522">
        <v>1317.7357178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95.550811999999993</v>
      </c>
      <c r="B523" s="1">
        <f>DATE(2010,8,4) + TIME(13,13,10)</f>
        <v>40394.550810185188</v>
      </c>
      <c r="C523">
        <v>80</v>
      </c>
      <c r="D523">
        <v>79.948829650999997</v>
      </c>
      <c r="E523">
        <v>50</v>
      </c>
      <c r="F523">
        <v>15.380352973999999</v>
      </c>
      <c r="G523">
        <v>1339.9615478999999</v>
      </c>
      <c r="H523">
        <v>1337.6103516000001</v>
      </c>
      <c r="I523">
        <v>1321.8911132999999</v>
      </c>
      <c r="J523">
        <v>1317.7382812000001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95.875435999999993</v>
      </c>
      <c r="B524" s="1">
        <f>DATE(2010,8,4) + TIME(21,0,37)</f>
        <v>40394.875428240739</v>
      </c>
      <c r="C524">
        <v>80</v>
      </c>
      <c r="D524">
        <v>79.948837280000006</v>
      </c>
      <c r="E524">
        <v>50</v>
      </c>
      <c r="F524">
        <v>15.407049178999999</v>
      </c>
      <c r="G524">
        <v>1339.9584961</v>
      </c>
      <c r="H524">
        <v>1337.6079102000001</v>
      </c>
      <c r="I524">
        <v>1321.8952637</v>
      </c>
      <c r="J524">
        <v>1317.7409668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96.200059999999993</v>
      </c>
      <c r="B525" s="1">
        <f>DATE(2010,8,5) + TIME(4,48,5)</f>
        <v>40395.200057870374</v>
      </c>
      <c r="C525">
        <v>80</v>
      </c>
      <c r="D525">
        <v>79.948852539000001</v>
      </c>
      <c r="E525">
        <v>50</v>
      </c>
      <c r="F525">
        <v>15.435118675</v>
      </c>
      <c r="G525">
        <v>1339.9554443</v>
      </c>
      <c r="H525">
        <v>1337.6054687999999</v>
      </c>
      <c r="I525">
        <v>1321.8994141000001</v>
      </c>
      <c r="J525">
        <v>1317.7437743999999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96.524683999999993</v>
      </c>
      <c r="B526" s="1">
        <f>DATE(2010,8,5) + TIME(12,35,32)</f>
        <v>40395.524675925924</v>
      </c>
      <c r="C526">
        <v>80</v>
      </c>
      <c r="D526">
        <v>79.948867797999995</v>
      </c>
      <c r="E526">
        <v>50</v>
      </c>
      <c r="F526">
        <v>15.464702605999999</v>
      </c>
      <c r="G526">
        <v>1339.9523925999999</v>
      </c>
      <c r="H526">
        <v>1337.6030272999999</v>
      </c>
      <c r="I526">
        <v>1321.9036865</v>
      </c>
      <c r="J526">
        <v>1317.746582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96.849307999999994</v>
      </c>
      <c r="B527" s="1">
        <f>DATE(2010,8,5) + TIME(20,23,0)</f>
        <v>40395.849305555559</v>
      </c>
      <c r="C527">
        <v>80</v>
      </c>
      <c r="D527">
        <v>79.948883057000003</v>
      </c>
      <c r="E527">
        <v>50</v>
      </c>
      <c r="F527">
        <v>15.495926857000001</v>
      </c>
      <c r="G527">
        <v>1339.9493408000001</v>
      </c>
      <c r="H527">
        <v>1337.6005858999999</v>
      </c>
      <c r="I527">
        <v>1321.9079589999999</v>
      </c>
      <c r="J527">
        <v>1317.7495117000001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97.173846999999995</v>
      </c>
      <c r="B528" s="1">
        <f>DATE(2010,8,6) + TIME(4,10,20)</f>
        <v>40396.173842592594</v>
      </c>
      <c r="C528">
        <v>80</v>
      </c>
      <c r="D528">
        <v>79.948898314999994</v>
      </c>
      <c r="E528">
        <v>50</v>
      </c>
      <c r="F528">
        <v>15.528904915</v>
      </c>
      <c r="G528">
        <v>1339.9462891000001</v>
      </c>
      <c r="H528">
        <v>1337.5982666</v>
      </c>
      <c r="I528">
        <v>1321.9123535000001</v>
      </c>
      <c r="J528">
        <v>1317.7524414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97.822443000000007</v>
      </c>
      <c r="B529" s="1">
        <f>DATE(2010,8,6) + TIME(19,44,19)</f>
        <v>40396.822442129633</v>
      </c>
      <c r="C529">
        <v>80</v>
      </c>
      <c r="D529">
        <v>79.948944092000005</v>
      </c>
      <c r="E529">
        <v>50</v>
      </c>
      <c r="F529">
        <v>15.582764625999999</v>
      </c>
      <c r="G529">
        <v>1339.942749</v>
      </c>
      <c r="H529">
        <v>1337.5953368999999</v>
      </c>
      <c r="I529">
        <v>1321.9157714999999</v>
      </c>
      <c r="J529">
        <v>1317.7557373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98.473399999999998</v>
      </c>
      <c r="B530" s="1">
        <f>DATE(2010,8,7) + TIME(11,21,41)</f>
        <v>40397.473391203705</v>
      </c>
      <c r="C530">
        <v>80</v>
      </c>
      <c r="D530">
        <v>79.948974609000004</v>
      </c>
      <c r="E530">
        <v>50</v>
      </c>
      <c r="F530">
        <v>15.650046349</v>
      </c>
      <c r="G530">
        <v>1339.9371338000001</v>
      </c>
      <c r="H530">
        <v>1337.5909423999999</v>
      </c>
      <c r="I530">
        <v>1321.9248047000001</v>
      </c>
      <c r="J530">
        <v>1317.7617187999999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99.134472000000002</v>
      </c>
      <c r="B531" s="1">
        <f>DATE(2010,8,8) + TIME(3,13,38)</f>
        <v>40398.134467592594</v>
      </c>
      <c r="C531">
        <v>80</v>
      </c>
      <c r="D531">
        <v>79.949005127000007</v>
      </c>
      <c r="E531">
        <v>50</v>
      </c>
      <c r="F531">
        <v>15.729658127</v>
      </c>
      <c r="G531">
        <v>1339.9312743999999</v>
      </c>
      <c r="H531">
        <v>1337.5863036999999</v>
      </c>
      <c r="I531">
        <v>1321.9339600000001</v>
      </c>
      <c r="J531">
        <v>1317.7681885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99.798597000000001</v>
      </c>
      <c r="B532" s="1">
        <f>DATE(2010,8,8) + TIME(19,9,58)</f>
        <v>40398.798587962963</v>
      </c>
      <c r="C532">
        <v>80</v>
      </c>
      <c r="D532">
        <v>79.949035644999995</v>
      </c>
      <c r="E532">
        <v>50</v>
      </c>
      <c r="F532">
        <v>15.821111678999999</v>
      </c>
      <c r="G532">
        <v>1339.9251709</v>
      </c>
      <c r="H532">
        <v>1337.5814209</v>
      </c>
      <c r="I532">
        <v>1321.9434814000001</v>
      </c>
      <c r="J532">
        <v>1317.7751464999999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100.13166699999999</v>
      </c>
      <c r="B533" s="1">
        <f>DATE(2010,8,9) + TIME(3,9,36)</f>
        <v>40399.131666666668</v>
      </c>
      <c r="C533">
        <v>80</v>
      </c>
      <c r="D533">
        <v>79.949043274000005</v>
      </c>
      <c r="E533">
        <v>50</v>
      </c>
      <c r="F533">
        <v>15.888422966</v>
      </c>
      <c r="G533">
        <v>1339.9199219</v>
      </c>
      <c r="H533">
        <v>1337.5773925999999</v>
      </c>
      <c r="I533">
        <v>1321.9547118999999</v>
      </c>
      <c r="J533">
        <v>1317.7819824000001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100.775279</v>
      </c>
      <c r="B534" s="1">
        <f>DATE(2010,8,9) + TIME(18,36,24)</f>
        <v>40399.775277777779</v>
      </c>
      <c r="C534">
        <v>80</v>
      </c>
      <c r="D534">
        <v>79.949081421000002</v>
      </c>
      <c r="E534">
        <v>50</v>
      </c>
      <c r="F534">
        <v>15.988857269</v>
      </c>
      <c r="G534">
        <v>1339.9157714999999</v>
      </c>
      <c r="H534">
        <v>1337.5739745999999</v>
      </c>
      <c r="I534">
        <v>1321.9577637</v>
      </c>
      <c r="J534">
        <v>1317.7867432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101.43543699999999</v>
      </c>
      <c r="B535" s="1">
        <f>DATE(2010,8,10) + TIME(10,27,1)</f>
        <v>40400.435428240744</v>
      </c>
      <c r="C535">
        <v>80</v>
      </c>
      <c r="D535">
        <v>79.949111938000001</v>
      </c>
      <c r="E535">
        <v>50</v>
      </c>
      <c r="F535">
        <v>16.105335235999998</v>
      </c>
      <c r="G535">
        <v>1339.9101562000001</v>
      </c>
      <c r="H535">
        <v>1337.5694579999999</v>
      </c>
      <c r="I535">
        <v>1321.9670410000001</v>
      </c>
      <c r="J535">
        <v>1317.7944336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102.09759</v>
      </c>
      <c r="B536" s="1">
        <f>DATE(2010,8,11) + TIME(2,20,31)</f>
        <v>40401.097581018519</v>
      </c>
      <c r="C536">
        <v>80</v>
      </c>
      <c r="D536">
        <v>79.949150084999999</v>
      </c>
      <c r="E536">
        <v>50</v>
      </c>
      <c r="F536">
        <v>16.237117767000001</v>
      </c>
      <c r="G536">
        <v>1339.9042969</v>
      </c>
      <c r="H536">
        <v>1337.5648193</v>
      </c>
      <c r="I536">
        <v>1321.9769286999999</v>
      </c>
      <c r="J536">
        <v>1317.8028564000001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102.430954</v>
      </c>
      <c r="B537" s="1">
        <f>DATE(2010,8,11) + TIME(10,20,34)</f>
        <v>40401.430949074071</v>
      </c>
      <c r="C537">
        <v>80</v>
      </c>
      <c r="D537">
        <v>79.949157714999998</v>
      </c>
      <c r="E537">
        <v>50</v>
      </c>
      <c r="F537">
        <v>16.33335495</v>
      </c>
      <c r="G537">
        <v>1339.8991699000001</v>
      </c>
      <c r="H537">
        <v>1337.5607910000001</v>
      </c>
      <c r="I537">
        <v>1321.9893798999999</v>
      </c>
      <c r="J537">
        <v>1317.8110352000001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102.76431700000001</v>
      </c>
      <c r="B538" s="1">
        <f>DATE(2010,8,11) + TIME(18,20,37)</f>
        <v>40401.764317129629</v>
      </c>
      <c r="C538">
        <v>80</v>
      </c>
      <c r="D538">
        <v>79.949165343999994</v>
      </c>
      <c r="E538">
        <v>50</v>
      </c>
      <c r="F538">
        <v>16.427907944000001</v>
      </c>
      <c r="G538">
        <v>1339.8956298999999</v>
      </c>
      <c r="H538">
        <v>1337.5578613</v>
      </c>
      <c r="I538">
        <v>1321.9941406</v>
      </c>
      <c r="J538">
        <v>1317.8162841999999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103.09768099999999</v>
      </c>
      <c r="B539" s="1">
        <f>DATE(2010,8,12) + TIME(2,20,39)</f>
        <v>40402.097673611112</v>
      </c>
      <c r="C539">
        <v>80</v>
      </c>
      <c r="D539">
        <v>79.949180603000002</v>
      </c>
      <c r="E539">
        <v>50</v>
      </c>
      <c r="F539">
        <v>16.522558212</v>
      </c>
      <c r="G539">
        <v>1339.8924560999999</v>
      </c>
      <c r="H539">
        <v>1337.5552978999999</v>
      </c>
      <c r="I539">
        <v>1321.9987793</v>
      </c>
      <c r="J539">
        <v>1317.8212891000001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103.431044</v>
      </c>
      <c r="B540" s="1">
        <f>DATE(2010,8,12) + TIME(10,20,42)</f>
        <v>40402.431041666663</v>
      </c>
      <c r="C540">
        <v>80</v>
      </c>
      <c r="D540">
        <v>79.949195861999996</v>
      </c>
      <c r="E540">
        <v>50</v>
      </c>
      <c r="F540">
        <v>16.618625641000001</v>
      </c>
      <c r="G540">
        <v>1339.8894043</v>
      </c>
      <c r="H540">
        <v>1337.5528564000001</v>
      </c>
      <c r="I540">
        <v>1322.0035399999999</v>
      </c>
      <c r="J540">
        <v>1317.8264160000001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103.764408</v>
      </c>
      <c r="B541" s="1">
        <f>DATE(2010,8,12) + TIME(18,20,44)</f>
        <v>40402.764398148145</v>
      </c>
      <c r="C541">
        <v>80</v>
      </c>
      <c r="D541">
        <v>79.94921875</v>
      </c>
      <c r="E541">
        <v>50</v>
      </c>
      <c r="F541">
        <v>16.717082977</v>
      </c>
      <c r="G541">
        <v>1339.8863524999999</v>
      </c>
      <c r="H541">
        <v>1337.5504149999999</v>
      </c>
      <c r="I541">
        <v>1322.0083007999999</v>
      </c>
      <c r="J541">
        <v>1317.8316649999999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104.09777099999999</v>
      </c>
      <c r="B542" s="1">
        <f>DATE(2010,8,13) + TIME(2,20,47)</f>
        <v>40403.097766203704</v>
      </c>
      <c r="C542">
        <v>80</v>
      </c>
      <c r="D542">
        <v>79.949234008999994</v>
      </c>
      <c r="E542">
        <v>50</v>
      </c>
      <c r="F542">
        <v>16.818647384999998</v>
      </c>
      <c r="G542">
        <v>1339.8834228999999</v>
      </c>
      <c r="H542">
        <v>1337.5479736</v>
      </c>
      <c r="I542">
        <v>1322.0131836</v>
      </c>
      <c r="J542">
        <v>1317.8370361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104.431134</v>
      </c>
      <c r="B543" s="1">
        <f>DATE(2010,8,13) + TIME(10,20,50)</f>
        <v>40403.431134259263</v>
      </c>
      <c r="C543">
        <v>80</v>
      </c>
      <c r="D543">
        <v>79.949249268000003</v>
      </c>
      <c r="E543">
        <v>50</v>
      </c>
      <c r="F543">
        <v>16.923816681000002</v>
      </c>
      <c r="G543">
        <v>1339.8804932</v>
      </c>
      <c r="H543">
        <v>1337.5455322</v>
      </c>
      <c r="I543">
        <v>1322.0180664</v>
      </c>
      <c r="J543">
        <v>1317.8425293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104.764498</v>
      </c>
      <c r="B544" s="1">
        <f>DATE(2010,8,13) + TIME(18,20,52)</f>
        <v>40403.764490740738</v>
      </c>
      <c r="C544">
        <v>80</v>
      </c>
      <c r="D544">
        <v>79.949264525999993</v>
      </c>
      <c r="E544">
        <v>50</v>
      </c>
      <c r="F544">
        <v>17.032987595000002</v>
      </c>
      <c r="G544">
        <v>1339.8774414</v>
      </c>
      <c r="H544">
        <v>1337.5432129000001</v>
      </c>
      <c r="I544">
        <v>1322.0229492000001</v>
      </c>
      <c r="J544">
        <v>1317.8481445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105.09786099999999</v>
      </c>
      <c r="B545" s="1">
        <f>DATE(2010,8,14) + TIME(2,20,55)</f>
        <v>40404.097858796296</v>
      </c>
      <c r="C545">
        <v>80</v>
      </c>
      <c r="D545">
        <v>79.949279785000002</v>
      </c>
      <c r="E545">
        <v>50</v>
      </c>
      <c r="F545">
        <v>17.146444321000001</v>
      </c>
      <c r="G545">
        <v>1339.8745117000001</v>
      </c>
      <c r="H545">
        <v>1337.5407714999999</v>
      </c>
      <c r="I545">
        <v>1322.027832</v>
      </c>
      <c r="J545">
        <v>1317.8540039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105.431225</v>
      </c>
      <c r="B546" s="1">
        <f>DATE(2010,8,14) + TIME(10,20,57)</f>
        <v>40404.431215277778</v>
      </c>
      <c r="C546">
        <v>80</v>
      </c>
      <c r="D546">
        <v>79.949295043999996</v>
      </c>
      <c r="E546">
        <v>50</v>
      </c>
      <c r="F546">
        <v>17.264389038000001</v>
      </c>
      <c r="G546">
        <v>1339.871582</v>
      </c>
      <c r="H546">
        <v>1337.5384521000001</v>
      </c>
      <c r="I546">
        <v>1322.0327147999999</v>
      </c>
      <c r="J546">
        <v>1317.8598632999999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105.764588</v>
      </c>
      <c r="B547" s="1">
        <f>DATE(2010,8,14) + TIME(18,21,0)</f>
        <v>40404.76458333333</v>
      </c>
      <c r="C547">
        <v>80</v>
      </c>
      <c r="D547">
        <v>79.949317932</v>
      </c>
      <c r="E547">
        <v>50</v>
      </c>
      <c r="F547">
        <v>17.386951447000001</v>
      </c>
      <c r="G547">
        <v>1339.8686522999999</v>
      </c>
      <c r="H547">
        <v>1337.5360106999999</v>
      </c>
      <c r="I547">
        <v>1322.0375977000001</v>
      </c>
      <c r="J547">
        <v>1317.8659668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106.09795200000001</v>
      </c>
      <c r="B548" s="1">
        <f>DATE(2010,8,15) + TIME(2,21,3)</f>
        <v>40405.097951388889</v>
      </c>
      <c r="C548">
        <v>80</v>
      </c>
      <c r="D548">
        <v>79.949333190999994</v>
      </c>
      <c r="E548">
        <v>50</v>
      </c>
      <c r="F548">
        <v>17.514223098999999</v>
      </c>
      <c r="G548">
        <v>1339.8657227000001</v>
      </c>
      <c r="H548">
        <v>1337.5336914</v>
      </c>
      <c r="I548">
        <v>1322.0424805</v>
      </c>
      <c r="J548">
        <v>1317.8721923999999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106.431315</v>
      </c>
      <c r="B549" s="1">
        <f>DATE(2010,8,15) + TIME(10,21,5)</f>
        <v>40405.431307870371</v>
      </c>
      <c r="C549">
        <v>80</v>
      </c>
      <c r="D549">
        <v>79.949348450000002</v>
      </c>
      <c r="E549">
        <v>50</v>
      </c>
      <c r="F549">
        <v>17.646255493000002</v>
      </c>
      <c r="G549">
        <v>1339.862793</v>
      </c>
      <c r="H549">
        <v>1337.53125</v>
      </c>
      <c r="I549">
        <v>1322.0472411999999</v>
      </c>
      <c r="J549">
        <v>1317.8785399999999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106.764679</v>
      </c>
      <c r="B550" s="1">
        <f>DATE(2010,8,15) + TIME(18,21,8)</f>
        <v>40405.764675925922</v>
      </c>
      <c r="C550">
        <v>80</v>
      </c>
      <c r="D550">
        <v>79.949363708000007</v>
      </c>
      <c r="E550">
        <v>50</v>
      </c>
      <c r="F550">
        <v>17.783075332999999</v>
      </c>
      <c r="G550">
        <v>1339.8598632999999</v>
      </c>
      <c r="H550">
        <v>1337.5289307</v>
      </c>
      <c r="I550">
        <v>1322.0520019999999</v>
      </c>
      <c r="J550">
        <v>1317.8850098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107.09804200000001</v>
      </c>
      <c r="B551" s="1">
        <f>DATE(2010,8,16) + TIME(2,21,10)</f>
        <v>40406.098032407404</v>
      </c>
      <c r="C551">
        <v>80</v>
      </c>
      <c r="D551">
        <v>79.949378967000001</v>
      </c>
      <c r="E551">
        <v>50</v>
      </c>
      <c r="F551">
        <v>17.924686432000001</v>
      </c>
      <c r="G551">
        <v>1339.8569336</v>
      </c>
      <c r="H551">
        <v>1337.5264893000001</v>
      </c>
      <c r="I551">
        <v>1322.0566406</v>
      </c>
      <c r="J551">
        <v>1317.8917236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107.431405</v>
      </c>
      <c r="B552" s="1">
        <f>DATE(2010,8,16) + TIME(10,21,13)</f>
        <v>40406.431400462963</v>
      </c>
      <c r="C552">
        <v>80</v>
      </c>
      <c r="D552">
        <v>79.949401855000005</v>
      </c>
      <c r="E552">
        <v>50</v>
      </c>
      <c r="F552">
        <v>18.071077346999999</v>
      </c>
      <c r="G552">
        <v>1339.8540039</v>
      </c>
      <c r="H552">
        <v>1337.5241699000001</v>
      </c>
      <c r="I552">
        <v>1322.0612793</v>
      </c>
      <c r="J552">
        <v>1317.8984375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107.764769</v>
      </c>
      <c r="B553" s="1">
        <f>DATE(2010,8,16) + TIME(18,21,16)</f>
        <v>40406.764768518522</v>
      </c>
      <c r="C553">
        <v>80</v>
      </c>
      <c r="D553">
        <v>79.949417113999999</v>
      </c>
      <c r="E553">
        <v>50</v>
      </c>
      <c r="F553">
        <v>18.222221375</v>
      </c>
      <c r="G553">
        <v>1339.8510742000001</v>
      </c>
      <c r="H553">
        <v>1337.5218506000001</v>
      </c>
      <c r="I553">
        <v>1322.065918</v>
      </c>
      <c r="J553">
        <v>1317.9053954999999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108.09813200000001</v>
      </c>
      <c r="B554" s="1">
        <f>DATE(2010,8,17) + TIME(2,21,18)</f>
        <v>40407.098124999997</v>
      </c>
      <c r="C554">
        <v>80</v>
      </c>
      <c r="D554">
        <v>79.949432372999993</v>
      </c>
      <c r="E554">
        <v>50</v>
      </c>
      <c r="F554">
        <v>18.378084182999999</v>
      </c>
      <c r="G554">
        <v>1339.8482666</v>
      </c>
      <c r="H554">
        <v>1337.5194091999999</v>
      </c>
      <c r="I554">
        <v>1322.0704346</v>
      </c>
      <c r="J554">
        <v>1317.9124756000001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108.431496</v>
      </c>
      <c r="B555" s="1">
        <f>DATE(2010,8,17) + TIME(10,21,21)</f>
        <v>40407.431493055556</v>
      </c>
      <c r="C555">
        <v>80</v>
      </c>
      <c r="D555">
        <v>79.949447632000002</v>
      </c>
      <c r="E555">
        <v>50</v>
      </c>
      <c r="F555">
        <v>18.538619995000001</v>
      </c>
      <c r="G555">
        <v>1339.8453368999999</v>
      </c>
      <c r="H555">
        <v>1337.5170897999999</v>
      </c>
      <c r="I555">
        <v>1322.0749512</v>
      </c>
      <c r="J555">
        <v>1317.9196777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108.764859</v>
      </c>
      <c r="B556" s="1">
        <f>DATE(2010,8,17) + TIME(18,21,23)</f>
        <v>40407.764849537038</v>
      </c>
      <c r="C556">
        <v>80</v>
      </c>
      <c r="D556">
        <v>79.949462890999996</v>
      </c>
      <c r="E556">
        <v>50</v>
      </c>
      <c r="F556">
        <v>18.703769684000001</v>
      </c>
      <c r="G556">
        <v>1339.8424072</v>
      </c>
      <c r="H556">
        <v>1337.5147704999999</v>
      </c>
      <c r="I556">
        <v>1322.0794678</v>
      </c>
      <c r="J556">
        <v>1317.927124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109.098223</v>
      </c>
      <c r="B557" s="1">
        <f>DATE(2010,8,18) + TIME(2,21,26)</f>
        <v>40408.098217592589</v>
      </c>
      <c r="C557">
        <v>80</v>
      </c>
      <c r="D557">
        <v>79.949485779</v>
      </c>
      <c r="E557">
        <v>50</v>
      </c>
      <c r="F557">
        <v>18.873474121000001</v>
      </c>
      <c r="G557">
        <v>1339.8395995999999</v>
      </c>
      <c r="H557">
        <v>1337.5124512</v>
      </c>
      <c r="I557">
        <v>1322.0838623</v>
      </c>
      <c r="J557">
        <v>1317.9346923999999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109.764949</v>
      </c>
      <c r="B558" s="1">
        <f>DATE(2010,8,18) + TIME(18,21,31)</f>
        <v>40408.76494212963</v>
      </c>
      <c r="C558">
        <v>80</v>
      </c>
      <c r="D558">
        <v>79.949523925999998</v>
      </c>
      <c r="E558">
        <v>50</v>
      </c>
      <c r="F558">
        <v>19.137441634999998</v>
      </c>
      <c r="G558">
        <v>1339.8361815999999</v>
      </c>
      <c r="H558">
        <v>1337.5095214999999</v>
      </c>
      <c r="I558">
        <v>1322.0837402</v>
      </c>
      <c r="J558">
        <v>1317.9434814000001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110.432765</v>
      </c>
      <c r="B559" s="1">
        <f>DATE(2010,8,19) + TIME(10,23,10)</f>
        <v>40409.432754629626</v>
      </c>
      <c r="C559">
        <v>80</v>
      </c>
      <c r="D559">
        <v>79.949562072999996</v>
      </c>
      <c r="E559">
        <v>50</v>
      </c>
      <c r="F559">
        <v>19.455770492999999</v>
      </c>
      <c r="G559">
        <v>1339.8308105000001</v>
      </c>
      <c r="H559">
        <v>1337.505249</v>
      </c>
      <c r="I559">
        <v>1322.09375</v>
      </c>
      <c r="J559">
        <v>1317.9580077999999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111.126276</v>
      </c>
      <c r="B560" s="1">
        <f>DATE(2010,8,20) + TIME(3,1,50)</f>
        <v>40410.126273148147</v>
      </c>
      <c r="C560">
        <v>80</v>
      </c>
      <c r="D560">
        <v>79.949600219999994</v>
      </c>
      <c r="E560">
        <v>50</v>
      </c>
      <c r="F560">
        <v>19.817119598000001</v>
      </c>
      <c r="G560">
        <v>1339.8251952999999</v>
      </c>
      <c r="H560">
        <v>1337.5007324000001</v>
      </c>
      <c r="I560">
        <v>1322.1026611</v>
      </c>
      <c r="J560">
        <v>1317.9737548999999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111.483407</v>
      </c>
      <c r="B561" s="1">
        <f>DATE(2010,8,20) + TIME(11,36,6)</f>
        <v>40410.483402777776</v>
      </c>
      <c r="C561">
        <v>80</v>
      </c>
      <c r="D561">
        <v>79.949607849000003</v>
      </c>
      <c r="E561">
        <v>50</v>
      </c>
      <c r="F561">
        <v>20.083423615000001</v>
      </c>
      <c r="G561">
        <v>1339.8201904</v>
      </c>
      <c r="H561">
        <v>1337.4967041</v>
      </c>
      <c r="I561">
        <v>1322.1179199000001</v>
      </c>
      <c r="J561">
        <v>1317.9888916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112.135341</v>
      </c>
      <c r="B562" s="1">
        <f>DATE(2010,8,21) + TIME(3,14,53)</f>
        <v>40411.135335648149</v>
      </c>
      <c r="C562">
        <v>80</v>
      </c>
      <c r="D562">
        <v>79.949645996000001</v>
      </c>
      <c r="E562">
        <v>50</v>
      </c>
      <c r="F562">
        <v>20.442575455</v>
      </c>
      <c r="G562">
        <v>1339.8161620999999</v>
      </c>
      <c r="H562">
        <v>1337.4932861</v>
      </c>
      <c r="I562">
        <v>1322.1156006000001</v>
      </c>
      <c r="J562">
        <v>1318.0004882999999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112.835836</v>
      </c>
      <c r="B563" s="1">
        <f>DATE(2010,8,21) + TIME(20,3,36)</f>
        <v>40411.835833333331</v>
      </c>
      <c r="C563">
        <v>80</v>
      </c>
      <c r="D563">
        <v>79.949691771999994</v>
      </c>
      <c r="E563">
        <v>50</v>
      </c>
      <c r="F563">
        <v>20.846918106</v>
      </c>
      <c r="G563">
        <v>1339.8107910000001</v>
      </c>
      <c r="H563">
        <v>1337.4888916</v>
      </c>
      <c r="I563">
        <v>1322.1231689000001</v>
      </c>
      <c r="J563">
        <v>1318.0170897999999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113.54345600000001</v>
      </c>
      <c r="B564" s="1">
        <f>DATE(2010,8,22) + TIME(13,2,34)</f>
        <v>40412.543449074074</v>
      </c>
      <c r="C564">
        <v>80</v>
      </c>
      <c r="D564">
        <v>79.949722289999997</v>
      </c>
      <c r="E564">
        <v>50</v>
      </c>
      <c r="F564">
        <v>21.281169891000001</v>
      </c>
      <c r="G564">
        <v>1339.8050536999999</v>
      </c>
      <c r="H564">
        <v>1337.4841309000001</v>
      </c>
      <c r="I564">
        <v>1322.1318358999999</v>
      </c>
      <c r="J564">
        <v>1318.0354004000001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114.263339</v>
      </c>
      <c r="B565" s="1">
        <f>DATE(2010,8,23) + TIME(6,19,12)</f>
        <v>40413.263333333336</v>
      </c>
      <c r="C565">
        <v>80</v>
      </c>
      <c r="D565">
        <v>79.949760436999995</v>
      </c>
      <c r="E565">
        <v>50</v>
      </c>
      <c r="F565">
        <v>21.739690781</v>
      </c>
      <c r="G565">
        <v>1339.7991943</v>
      </c>
      <c r="H565">
        <v>1337.4793701000001</v>
      </c>
      <c r="I565">
        <v>1322.1401367000001</v>
      </c>
      <c r="J565">
        <v>1318.0544434000001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114.99261300000001</v>
      </c>
      <c r="B566" s="1">
        <f>DATE(2010,8,23) + TIME(23,49,21)</f>
        <v>40413.992604166669</v>
      </c>
      <c r="C566">
        <v>80</v>
      </c>
      <c r="D566">
        <v>79.949798584000007</v>
      </c>
      <c r="E566">
        <v>50</v>
      </c>
      <c r="F566">
        <v>22.220285415999999</v>
      </c>
      <c r="G566">
        <v>1339.7933350000001</v>
      </c>
      <c r="H566">
        <v>1337.4744873</v>
      </c>
      <c r="I566">
        <v>1322.1485596</v>
      </c>
      <c r="J566">
        <v>1318.0744629000001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115.724473</v>
      </c>
      <c r="B567" s="1">
        <f>DATE(2010,8,24) + TIME(17,23,14)</f>
        <v>40414.72446759259</v>
      </c>
      <c r="C567">
        <v>80</v>
      </c>
      <c r="D567">
        <v>79.94984436</v>
      </c>
      <c r="E567">
        <v>50</v>
      </c>
      <c r="F567">
        <v>22.719837189</v>
      </c>
      <c r="G567">
        <v>1339.7873535000001</v>
      </c>
      <c r="H567">
        <v>1337.4696045000001</v>
      </c>
      <c r="I567">
        <v>1322.1569824000001</v>
      </c>
      <c r="J567">
        <v>1318.0950928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116.463909</v>
      </c>
      <c r="B568" s="1">
        <f>DATE(2010,8,25) + TIME(11,8,1)</f>
        <v>40415.463900462964</v>
      </c>
      <c r="C568">
        <v>80</v>
      </c>
      <c r="D568">
        <v>79.949882506999998</v>
      </c>
      <c r="E568">
        <v>50</v>
      </c>
      <c r="F568">
        <v>23.237430573000001</v>
      </c>
      <c r="G568">
        <v>1339.7813721</v>
      </c>
      <c r="H568">
        <v>1337.4647216999999</v>
      </c>
      <c r="I568">
        <v>1322.1652832</v>
      </c>
      <c r="J568">
        <v>1318.1163329999999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117.21539300000001</v>
      </c>
      <c r="B569" s="1">
        <f>DATE(2010,8,26) + TIME(5,10,9)</f>
        <v>40416.215381944443</v>
      </c>
      <c r="C569">
        <v>80</v>
      </c>
      <c r="D569">
        <v>79.949920653999996</v>
      </c>
      <c r="E569">
        <v>50</v>
      </c>
      <c r="F569">
        <v>23.773214339999999</v>
      </c>
      <c r="G569">
        <v>1339.7753906</v>
      </c>
      <c r="H569">
        <v>1337.4597168</v>
      </c>
      <c r="I569">
        <v>1322.1734618999999</v>
      </c>
      <c r="J569">
        <v>1318.1381836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117.983473</v>
      </c>
      <c r="B570" s="1">
        <f>DATE(2010,8,26) + TIME(23,36,12)</f>
        <v>40416.983472222222</v>
      </c>
      <c r="C570">
        <v>80</v>
      </c>
      <c r="D570">
        <v>79.949958800999994</v>
      </c>
      <c r="E570">
        <v>50</v>
      </c>
      <c r="F570">
        <v>24.327623367000001</v>
      </c>
      <c r="G570">
        <v>1339.7692870999999</v>
      </c>
      <c r="H570">
        <v>1337.4548339999999</v>
      </c>
      <c r="I570">
        <v>1322.1816406</v>
      </c>
      <c r="J570">
        <v>1318.1607666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118.770064</v>
      </c>
      <c r="B571" s="1">
        <f>DATE(2010,8,27) + TIME(18,28,53)</f>
        <v>40417.770057870373</v>
      </c>
      <c r="C571">
        <v>80</v>
      </c>
      <c r="D571">
        <v>79.950004578000005</v>
      </c>
      <c r="E571">
        <v>50</v>
      </c>
      <c r="F571">
        <v>24.900323868000001</v>
      </c>
      <c r="G571">
        <v>1339.7631836</v>
      </c>
      <c r="H571">
        <v>1337.4498291</v>
      </c>
      <c r="I571">
        <v>1322.1899414</v>
      </c>
      <c r="J571">
        <v>1318.1842041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119.56690500000001</v>
      </c>
      <c r="B572" s="1">
        <f>DATE(2010,8,28) + TIME(13,36,20)</f>
        <v>40418.56689814815</v>
      </c>
      <c r="C572">
        <v>80</v>
      </c>
      <c r="D572">
        <v>79.950042725000003</v>
      </c>
      <c r="E572">
        <v>50</v>
      </c>
      <c r="F572">
        <v>25.487125397</v>
      </c>
      <c r="G572">
        <v>1339.7570800999999</v>
      </c>
      <c r="H572">
        <v>1337.4447021000001</v>
      </c>
      <c r="I572">
        <v>1322.1984863</v>
      </c>
      <c r="J572">
        <v>1318.2082519999999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120.376603</v>
      </c>
      <c r="B573" s="1">
        <f>DATE(2010,8,29) + TIME(9,2,18)</f>
        <v>40419.376597222225</v>
      </c>
      <c r="C573">
        <v>80</v>
      </c>
      <c r="D573">
        <v>79.950088500999996</v>
      </c>
      <c r="E573">
        <v>50</v>
      </c>
      <c r="F573">
        <v>26.083925247</v>
      </c>
      <c r="G573">
        <v>1339.7508545000001</v>
      </c>
      <c r="H573">
        <v>1337.4395752</v>
      </c>
      <c r="I573">
        <v>1322.2071533000001</v>
      </c>
      <c r="J573">
        <v>1318.2329102000001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120.78919999999999</v>
      </c>
      <c r="B574" s="1">
        <f>DATE(2010,8,29) + TIME(18,56,26)</f>
        <v>40419.789189814815</v>
      </c>
      <c r="C574">
        <v>80</v>
      </c>
      <c r="D574">
        <v>79.950103760000005</v>
      </c>
      <c r="E574">
        <v>50</v>
      </c>
      <c r="F574">
        <v>26.506969452</v>
      </c>
      <c r="G574">
        <v>1339.7454834</v>
      </c>
      <c r="H574">
        <v>1337.4353027</v>
      </c>
      <c r="I574">
        <v>1322.2232666</v>
      </c>
      <c r="J574">
        <v>1318.255249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121.201797</v>
      </c>
      <c r="B575" s="1">
        <f>DATE(2010,8,30) + TIME(4,50,35)</f>
        <v>40420.201793981483</v>
      </c>
      <c r="C575">
        <v>80</v>
      </c>
      <c r="D575">
        <v>79.950126647999994</v>
      </c>
      <c r="E575">
        <v>50</v>
      </c>
      <c r="F575">
        <v>26.880908966</v>
      </c>
      <c r="G575">
        <v>1339.7418213000001</v>
      </c>
      <c r="H575">
        <v>1337.4321289</v>
      </c>
      <c r="I575">
        <v>1322.2255858999999</v>
      </c>
      <c r="J575">
        <v>1318.2701416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121.614394</v>
      </c>
      <c r="B576" s="1">
        <f>DATE(2010,8,30) + TIME(14,44,43)</f>
        <v>40420.614386574074</v>
      </c>
      <c r="C576">
        <v>80</v>
      </c>
      <c r="D576">
        <v>79.950141907000003</v>
      </c>
      <c r="E576">
        <v>50</v>
      </c>
      <c r="F576">
        <v>27.223867416000001</v>
      </c>
      <c r="G576">
        <v>1339.7384033000001</v>
      </c>
      <c r="H576">
        <v>1337.4293213000001</v>
      </c>
      <c r="I576">
        <v>1322.2287598</v>
      </c>
      <c r="J576">
        <v>1318.2841797000001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122.026701</v>
      </c>
      <c r="B577" s="1">
        <f>DATE(2010,8,31) + TIME(0,38,26)</f>
        <v>40421.026689814818</v>
      </c>
      <c r="C577">
        <v>80</v>
      </c>
      <c r="D577">
        <v>79.950164795000006</v>
      </c>
      <c r="E577">
        <v>50</v>
      </c>
      <c r="F577">
        <v>27.546596526999998</v>
      </c>
      <c r="G577">
        <v>1339.7352295000001</v>
      </c>
      <c r="H577">
        <v>1337.4267577999999</v>
      </c>
      <c r="I577">
        <v>1322.2326660000001</v>
      </c>
      <c r="J577">
        <v>1318.2976074000001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122.43851600000001</v>
      </c>
      <c r="B578" s="1">
        <f>DATE(2010,8,31) + TIME(10,31,27)</f>
        <v>40421.438506944447</v>
      </c>
      <c r="C578">
        <v>80</v>
      </c>
      <c r="D578">
        <v>79.950187682999996</v>
      </c>
      <c r="E578">
        <v>50</v>
      </c>
      <c r="F578">
        <v>27.855514526</v>
      </c>
      <c r="G578">
        <v>1339.7320557</v>
      </c>
      <c r="H578">
        <v>1337.4240723</v>
      </c>
      <c r="I578">
        <v>1322.2369385</v>
      </c>
      <c r="J578">
        <v>1318.3109131000001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123</v>
      </c>
      <c r="B579" s="1">
        <f>DATE(2010,9,1) + TIME(0,0,0)</f>
        <v>40422</v>
      </c>
      <c r="C579">
        <v>80</v>
      </c>
      <c r="D579">
        <v>79.950218200999998</v>
      </c>
      <c r="E579">
        <v>50</v>
      </c>
      <c r="F579">
        <v>28.210830688000001</v>
      </c>
      <c r="G579">
        <v>1339.7286377</v>
      </c>
      <c r="H579">
        <v>1337.4212646000001</v>
      </c>
      <c r="I579">
        <v>1322.2393798999999</v>
      </c>
      <c r="J579">
        <v>1318.3248291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123.41168999999999</v>
      </c>
      <c r="B580" s="1">
        <f>DATE(2010,9,1) + TIME(9,52,49)</f>
        <v>40422.411678240744</v>
      </c>
      <c r="C580">
        <v>80</v>
      </c>
      <c r="D580">
        <v>79.950241089000002</v>
      </c>
      <c r="E580">
        <v>50</v>
      </c>
      <c r="F580">
        <v>28.521640777999998</v>
      </c>
      <c r="G580">
        <v>1339.7249756000001</v>
      </c>
      <c r="H580">
        <v>1337.4183350000001</v>
      </c>
      <c r="I580">
        <v>1322.2490233999999</v>
      </c>
      <c r="J580">
        <v>1318.3406981999999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123.823379</v>
      </c>
      <c r="B581" s="1">
        <f>DATE(2010,9,1) + TIME(19,45,39)</f>
        <v>40422.823368055557</v>
      </c>
      <c r="C581">
        <v>80</v>
      </c>
      <c r="D581">
        <v>79.950263977000006</v>
      </c>
      <c r="E581">
        <v>50</v>
      </c>
      <c r="F581">
        <v>28.818408966</v>
      </c>
      <c r="G581">
        <v>1339.7218018000001</v>
      </c>
      <c r="H581">
        <v>1337.4156493999999</v>
      </c>
      <c r="I581">
        <v>1322.2537841999999</v>
      </c>
      <c r="J581">
        <v>1318.3540039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124.235069</v>
      </c>
      <c r="B582" s="1">
        <f>DATE(2010,9,2) + TIME(5,38,29)</f>
        <v>40423.23505787037</v>
      </c>
      <c r="C582">
        <v>80</v>
      </c>
      <c r="D582">
        <v>79.950286864999995</v>
      </c>
      <c r="E582">
        <v>50</v>
      </c>
      <c r="F582">
        <v>29.105390548999999</v>
      </c>
      <c r="G582">
        <v>1339.71875</v>
      </c>
      <c r="H582">
        <v>1337.4130858999999</v>
      </c>
      <c r="I582">
        <v>1322.2587891000001</v>
      </c>
      <c r="J582">
        <v>1318.3670654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124.64675800000001</v>
      </c>
      <c r="B583" s="1">
        <f>DATE(2010,9,2) + TIME(15,31,19)</f>
        <v>40423.646747685183</v>
      </c>
      <c r="C583">
        <v>80</v>
      </c>
      <c r="D583">
        <v>79.950309752999999</v>
      </c>
      <c r="E583">
        <v>50</v>
      </c>
      <c r="F583">
        <v>29.385137558</v>
      </c>
      <c r="G583">
        <v>1339.7156981999999</v>
      </c>
      <c r="H583">
        <v>1337.4106445</v>
      </c>
      <c r="I583">
        <v>1322.2640381000001</v>
      </c>
      <c r="J583">
        <v>1318.3800048999999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125.058448</v>
      </c>
      <c r="B584" s="1">
        <f>DATE(2010,9,3) + TIME(1,24,9)</f>
        <v>40424.058437500003</v>
      </c>
      <c r="C584">
        <v>80</v>
      </c>
      <c r="D584">
        <v>79.950332642000006</v>
      </c>
      <c r="E584">
        <v>50</v>
      </c>
      <c r="F584">
        <v>29.659206390000001</v>
      </c>
      <c r="G584">
        <v>1339.7126464999999</v>
      </c>
      <c r="H584">
        <v>1337.4080810999999</v>
      </c>
      <c r="I584">
        <v>1322.2692870999999</v>
      </c>
      <c r="J584">
        <v>1318.3929443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125.47013699999999</v>
      </c>
      <c r="B585" s="1">
        <f>DATE(2010,9,3) + TIME(11,16,59)</f>
        <v>40424.470127314817</v>
      </c>
      <c r="C585">
        <v>80</v>
      </c>
      <c r="D585">
        <v>79.950355529999996</v>
      </c>
      <c r="E585">
        <v>50</v>
      </c>
      <c r="F585">
        <v>29.928560257000001</v>
      </c>
      <c r="G585">
        <v>1339.7097168</v>
      </c>
      <c r="H585">
        <v>1337.4056396000001</v>
      </c>
      <c r="I585">
        <v>1322.2747803</v>
      </c>
      <c r="J585">
        <v>1318.4057617000001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125.881827</v>
      </c>
      <c r="B586" s="1">
        <f>DATE(2010,9,3) + TIME(21,9,49)</f>
        <v>40424.88181712963</v>
      </c>
      <c r="C586">
        <v>80</v>
      </c>
      <c r="D586">
        <v>79.950370789000004</v>
      </c>
      <c r="E586">
        <v>50</v>
      </c>
      <c r="F586">
        <v>30.19386673</v>
      </c>
      <c r="G586">
        <v>1339.7066649999999</v>
      </c>
      <c r="H586">
        <v>1337.4031981999999</v>
      </c>
      <c r="I586">
        <v>1322.2803954999999</v>
      </c>
      <c r="J586">
        <v>1318.4185791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126.293516</v>
      </c>
      <c r="B587" s="1">
        <f>DATE(2010,9,4) + TIME(7,2,39)</f>
        <v>40425.293506944443</v>
      </c>
      <c r="C587">
        <v>80</v>
      </c>
      <c r="D587">
        <v>79.950393676999994</v>
      </c>
      <c r="E587">
        <v>50</v>
      </c>
      <c r="F587">
        <v>30.455503464</v>
      </c>
      <c r="G587">
        <v>1339.7037353999999</v>
      </c>
      <c r="H587">
        <v>1337.4007568</v>
      </c>
      <c r="I587">
        <v>1322.2861327999999</v>
      </c>
      <c r="J587">
        <v>1318.4313964999999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127.116895</v>
      </c>
      <c r="B588" s="1">
        <f>DATE(2010,9,5) + TIME(2,48,19)</f>
        <v>40426.116886574076</v>
      </c>
      <c r="C588">
        <v>80</v>
      </c>
      <c r="D588">
        <v>79.950447083</v>
      </c>
      <c r="E588">
        <v>50</v>
      </c>
      <c r="F588">
        <v>30.819828033</v>
      </c>
      <c r="G588">
        <v>1339.7003173999999</v>
      </c>
      <c r="H588">
        <v>1337.3978271000001</v>
      </c>
      <c r="I588">
        <v>1322.2879639</v>
      </c>
      <c r="J588">
        <v>1318.4460449000001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127.944372</v>
      </c>
      <c r="B589" s="1">
        <f>DATE(2010,9,5) + TIME(22,39,53)</f>
        <v>40426.944363425922</v>
      </c>
      <c r="C589">
        <v>80</v>
      </c>
      <c r="D589">
        <v>79.950500488000003</v>
      </c>
      <c r="E589">
        <v>50</v>
      </c>
      <c r="F589">
        <v>31.264987946000002</v>
      </c>
      <c r="G589">
        <v>1339.6948242000001</v>
      </c>
      <c r="H589">
        <v>1337.3934326000001</v>
      </c>
      <c r="I589">
        <v>1322.3012695</v>
      </c>
      <c r="J589">
        <v>1318.4691161999999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128.78711999999999</v>
      </c>
      <c r="B590" s="1">
        <f>DATE(2010,9,6) + TIME(18,53,27)</f>
        <v>40427.787118055552</v>
      </c>
      <c r="C590">
        <v>80</v>
      </c>
      <c r="D590">
        <v>79.950546265</v>
      </c>
      <c r="E590">
        <v>50</v>
      </c>
      <c r="F590">
        <v>31.740985869999999</v>
      </c>
      <c r="G590">
        <v>1339.6890868999999</v>
      </c>
      <c r="H590">
        <v>1337.3887939000001</v>
      </c>
      <c r="I590">
        <v>1322.3139647999999</v>
      </c>
      <c r="J590">
        <v>1318.4938964999999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129.647785</v>
      </c>
      <c r="B591" s="1">
        <f>DATE(2010,9,7) + TIME(15,32,48)</f>
        <v>40428.647777777776</v>
      </c>
      <c r="C591">
        <v>80</v>
      </c>
      <c r="D591">
        <v>79.950592040999993</v>
      </c>
      <c r="E591">
        <v>50</v>
      </c>
      <c r="F591">
        <v>32.228931426999999</v>
      </c>
      <c r="G591">
        <v>1339.6833495999999</v>
      </c>
      <c r="H591">
        <v>1337.3840332</v>
      </c>
      <c r="I591">
        <v>1322.3267822</v>
      </c>
      <c r="J591">
        <v>1318.5196533000001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130.08852999999999</v>
      </c>
      <c r="B592" s="1">
        <f>DATE(2010,9,8) + TIME(2,7,29)</f>
        <v>40429.088530092595</v>
      </c>
      <c r="C592">
        <v>80</v>
      </c>
      <c r="D592">
        <v>79.950607300000001</v>
      </c>
      <c r="E592">
        <v>50</v>
      </c>
      <c r="F592">
        <v>32.583999634000001</v>
      </c>
      <c r="G592">
        <v>1339.6782227000001</v>
      </c>
      <c r="H592">
        <v>1337.3800048999999</v>
      </c>
      <c r="I592">
        <v>1322.3447266000001</v>
      </c>
      <c r="J592">
        <v>1318.5437012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130.52927500000001</v>
      </c>
      <c r="B593" s="1">
        <f>DATE(2010,9,8) + TIME(12,42,9)</f>
        <v>40429.529270833336</v>
      </c>
      <c r="C593">
        <v>80</v>
      </c>
      <c r="D593">
        <v>79.950630188000005</v>
      </c>
      <c r="E593">
        <v>50</v>
      </c>
      <c r="F593">
        <v>32.890434265000003</v>
      </c>
      <c r="G593">
        <v>1339.6748047000001</v>
      </c>
      <c r="H593">
        <v>1337.3770752</v>
      </c>
      <c r="I593">
        <v>1322.3503418</v>
      </c>
      <c r="J593">
        <v>1318.5596923999999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130.97002000000001</v>
      </c>
      <c r="B594" s="1">
        <f>DATE(2010,9,8) + TIME(23,16,49)</f>
        <v>40429.970011574071</v>
      </c>
      <c r="C594">
        <v>80</v>
      </c>
      <c r="D594">
        <v>79.950653075999995</v>
      </c>
      <c r="E594">
        <v>50</v>
      </c>
      <c r="F594">
        <v>33.168273925999998</v>
      </c>
      <c r="G594">
        <v>1339.6716309000001</v>
      </c>
      <c r="H594">
        <v>1337.3743896000001</v>
      </c>
      <c r="I594">
        <v>1322.3565673999999</v>
      </c>
      <c r="J594">
        <v>1318.574707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131.410765</v>
      </c>
      <c r="B595" s="1">
        <f>DATE(2010,9,9) + TIME(9,51,30)</f>
        <v>40430.410763888889</v>
      </c>
      <c r="C595">
        <v>80</v>
      </c>
      <c r="D595">
        <v>79.950675963999998</v>
      </c>
      <c r="E595">
        <v>50</v>
      </c>
      <c r="F595">
        <v>33.428779601999999</v>
      </c>
      <c r="G595">
        <v>1339.6685791</v>
      </c>
      <c r="H595">
        <v>1337.3719481999999</v>
      </c>
      <c r="I595">
        <v>1322.3631591999999</v>
      </c>
      <c r="J595">
        <v>1318.5892334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131.85150999999999</v>
      </c>
      <c r="B596" s="1">
        <f>DATE(2010,9,9) + TIME(20,26,10)</f>
        <v>40430.851504629631</v>
      </c>
      <c r="C596">
        <v>80</v>
      </c>
      <c r="D596">
        <v>79.950698853000006</v>
      </c>
      <c r="E596">
        <v>50</v>
      </c>
      <c r="F596">
        <v>33.678306579999997</v>
      </c>
      <c r="G596">
        <v>1339.6656493999999</v>
      </c>
      <c r="H596">
        <v>1337.3695068</v>
      </c>
      <c r="I596">
        <v>1322.3699951000001</v>
      </c>
      <c r="J596">
        <v>1318.6033935999999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132.29225500000001</v>
      </c>
      <c r="B597" s="1">
        <f>DATE(2010,9,10) + TIME(7,0,50)</f>
        <v>40431.292245370372</v>
      </c>
      <c r="C597">
        <v>80</v>
      </c>
      <c r="D597">
        <v>79.950721740999995</v>
      </c>
      <c r="E597">
        <v>50</v>
      </c>
      <c r="F597">
        <v>33.920467377000001</v>
      </c>
      <c r="G597">
        <v>1339.6627197</v>
      </c>
      <c r="H597">
        <v>1337.3670654</v>
      </c>
      <c r="I597">
        <v>1322.3770752</v>
      </c>
      <c r="J597">
        <v>1318.6175536999999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132.733</v>
      </c>
      <c r="B598" s="1">
        <f>DATE(2010,9,10) + TIME(17,35,31)</f>
        <v>40431.732997685183</v>
      </c>
      <c r="C598">
        <v>80</v>
      </c>
      <c r="D598">
        <v>79.950744628999999</v>
      </c>
      <c r="E598">
        <v>50</v>
      </c>
      <c r="F598">
        <v>34.157299041999998</v>
      </c>
      <c r="G598">
        <v>1339.6597899999999</v>
      </c>
      <c r="H598">
        <v>1337.364624</v>
      </c>
      <c r="I598">
        <v>1322.3841553</v>
      </c>
      <c r="J598">
        <v>1318.6315918</v>
      </c>
      <c r="K598">
        <v>2400</v>
      </c>
      <c r="L598">
        <v>0</v>
      </c>
      <c r="M598">
        <v>0</v>
      </c>
      <c r="N598">
        <v>2400</v>
      </c>
    </row>
    <row r="599" spans="1:14" x14ac:dyDescent="0.25">
      <c r="A599">
        <v>133.173745</v>
      </c>
      <c r="B599" s="1">
        <f>DATE(2010,9,11) + TIME(4,10,11)</f>
        <v>40432.173738425925</v>
      </c>
      <c r="C599">
        <v>80</v>
      </c>
      <c r="D599">
        <v>79.950775145999998</v>
      </c>
      <c r="E599">
        <v>50</v>
      </c>
      <c r="F599">
        <v>34.389953613000003</v>
      </c>
      <c r="G599">
        <v>1339.6568603999999</v>
      </c>
      <c r="H599">
        <v>1337.3623047000001</v>
      </c>
      <c r="I599">
        <v>1322.3914795000001</v>
      </c>
      <c r="J599">
        <v>1318.6456298999999</v>
      </c>
      <c r="K599">
        <v>2400</v>
      </c>
      <c r="L599">
        <v>0</v>
      </c>
      <c r="M599">
        <v>0</v>
      </c>
      <c r="N599">
        <v>2400</v>
      </c>
    </row>
    <row r="600" spans="1:14" x14ac:dyDescent="0.25">
      <c r="A600">
        <v>133.61448999999999</v>
      </c>
      <c r="B600" s="1">
        <f>DATE(2010,9,11) + TIME(14,44,51)</f>
        <v>40432.614479166667</v>
      </c>
      <c r="C600">
        <v>80</v>
      </c>
      <c r="D600">
        <v>79.950798035000005</v>
      </c>
      <c r="E600">
        <v>50</v>
      </c>
      <c r="F600">
        <v>34.619102478000002</v>
      </c>
      <c r="G600">
        <v>1339.6539307</v>
      </c>
      <c r="H600">
        <v>1337.3598632999999</v>
      </c>
      <c r="I600">
        <v>1322.3988036999999</v>
      </c>
      <c r="J600">
        <v>1318.6595459</v>
      </c>
      <c r="K600">
        <v>2400</v>
      </c>
      <c r="L600">
        <v>0</v>
      </c>
      <c r="M600">
        <v>0</v>
      </c>
      <c r="N600">
        <v>2400</v>
      </c>
    </row>
    <row r="601" spans="1:14" x14ac:dyDescent="0.25">
      <c r="A601">
        <v>134.05523500000001</v>
      </c>
      <c r="B601" s="1">
        <f>DATE(2010,9,12) + TIME(1,19,32)</f>
        <v>40433.055231481485</v>
      </c>
      <c r="C601">
        <v>80</v>
      </c>
      <c r="D601">
        <v>79.950820922999995</v>
      </c>
      <c r="E601">
        <v>50</v>
      </c>
      <c r="F601">
        <v>34.845142365000001</v>
      </c>
      <c r="G601">
        <v>1339.6511230000001</v>
      </c>
      <c r="H601">
        <v>1337.3575439000001</v>
      </c>
      <c r="I601">
        <v>1322.40625</v>
      </c>
      <c r="J601">
        <v>1318.6735839999999</v>
      </c>
      <c r="K601">
        <v>2400</v>
      </c>
      <c r="L601">
        <v>0</v>
      </c>
      <c r="M601">
        <v>0</v>
      </c>
      <c r="N601">
        <v>2400</v>
      </c>
    </row>
    <row r="602" spans="1:14" x14ac:dyDescent="0.25">
      <c r="A602">
        <v>134.49598</v>
      </c>
      <c r="B602" s="1">
        <f>DATE(2010,9,12) + TIME(11,54,12)</f>
        <v>40433.495972222219</v>
      </c>
      <c r="C602">
        <v>80</v>
      </c>
      <c r="D602">
        <v>79.950843810999999</v>
      </c>
      <c r="E602">
        <v>50</v>
      </c>
      <c r="F602">
        <v>35.068332671999997</v>
      </c>
      <c r="G602">
        <v>1339.6483154</v>
      </c>
      <c r="H602">
        <v>1337.3552245999999</v>
      </c>
      <c r="I602">
        <v>1322.4136963000001</v>
      </c>
      <c r="J602">
        <v>1318.6875</v>
      </c>
      <c r="K602">
        <v>2400</v>
      </c>
      <c r="L602">
        <v>0</v>
      </c>
      <c r="M602">
        <v>0</v>
      </c>
      <c r="N602">
        <v>2400</v>
      </c>
    </row>
    <row r="603" spans="1:14" x14ac:dyDescent="0.25">
      <c r="A603">
        <v>134.93672599999999</v>
      </c>
      <c r="B603" s="1">
        <f>DATE(2010,9,12) + TIME(22,28,53)</f>
        <v>40433.936724537038</v>
      </c>
      <c r="C603">
        <v>80</v>
      </c>
      <c r="D603">
        <v>79.950866699000002</v>
      </c>
      <c r="E603">
        <v>50</v>
      </c>
      <c r="F603">
        <v>35.288841247999997</v>
      </c>
      <c r="G603">
        <v>1339.6453856999999</v>
      </c>
      <c r="H603">
        <v>1337.3529053</v>
      </c>
      <c r="I603">
        <v>1322.4212646000001</v>
      </c>
      <c r="J603">
        <v>1318.7015381000001</v>
      </c>
      <c r="K603">
        <v>2400</v>
      </c>
      <c r="L603">
        <v>0</v>
      </c>
      <c r="M603">
        <v>0</v>
      </c>
      <c r="N603">
        <v>2400</v>
      </c>
    </row>
    <row r="604" spans="1:14" x14ac:dyDescent="0.25">
      <c r="A604">
        <v>135.81821600000001</v>
      </c>
      <c r="B604" s="1">
        <f>DATE(2010,9,13) + TIME(19,38,13)</f>
        <v>40434.818206018521</v>
      </c>
      <c r="C604">
        <v>80</v>
      </c>
      <c r="D604">
        <v>79.950927734000004</v>
      </c>
      <c r="E604">
        <v>50</v>
      </c>
      <c r="F604">
        <v>35.589508057000003</v>
      </c>
      <c r="G604">
        <v>1339.6420897999999</v>
      </c>
      <c r="H604">
        <v>1337.3500977000001</v>
      </c>
      <c r="I604">
        <v>1322.4261475000001</v>
      </c>
      <c r="J604">
        <v>1318.7172852000001</v>
      </c>
      <c r="K604">
        <v>2400</v>
      </c>
      <c r="L604">
        <v>0</v>
      </c>
      <c r="M604">
        <v>0</v>
      </c>
      <c r="N604">
        <v>2400</v>
      </c>
    </row>
    <row r="605" spans="1:14" x14ac:dyDescent="0.25">
      <c r="A605">
        <v>136.70316800000001</v>
      </c>
      <c r="B605" s="1">
        <f>DATE(2010,9,14) + TIME(16,52,33)</f>
        <v>40435.703159722223</v>
      </c>
      <c r="C605">
        <v>80</v>
      </c>
      <c r="D605">
        <v>79.950973511000001</v>
      </c>
      <c r="E605">
        <v>50</v>
      </c>
      <c r="F605">
        <v>35.967655182000001</v>
      </c>
      <c r="G605">
        <v>1339.6369629000001</v>
      </c>
      <c r="H605">
        <v>1337.3458252</v>
      </c>
      <c r="I605">
        <v>1322.4420166</v>
      </c>
      <c r="J605">
        <v>1318.7423096</v>
      </c>
      <c r="K605">
        <v>2400</v>
      </c>
      <c r="L605">
        <v>0</v>
      </c>
      <c r="M605">
        <v>0</v>
      </c>
      <c r="N605">
        <v>2400</v>
      </c>
    </row>
    <row r="606" spans="1:14" x14ac:dyDescent="0.25">
      <c r="A606">
        <v>137.60282000000001</v>
      </c>
      <c r="B606" s="1">
        <f>DATE(2010,9,15) + TIME(14,28,3)</f>
        <v>40436.602812500001</v>
      </c>
      <c r="C606">
        <v>80</v>
      </c>
      <c r="D606">
        <v>79.951026916999993</v>
      </c>
      <c r="E606">
        <v>50</v>
      </c>
      <c r="F606">
        <v>36.372676849000001</v>
      </c>
      <c r="G606">
        <v>1339.6314697</v>
      </c>
      <c r="H606">
        <v>1337.3414307</v>
      </c>
      <c r="I606">
        <v>1322.4576416</v>
      </c>
      <c r="J606">
        <v>1318.7692870999999</v>
      </c>
      <c r="K606">
        <v>2400</v>
      </c>
      <c r="L606">
        <v>0</v>
      </c>
      <c r="M606">
        <v>0</v>
      </c>
      <c r="N606">
        <v>2400</v>
      </c>
    </row>
    <row r="607" spans="1:14" x14ac:dyDescent="0.25">
      <c r="A607">
        <v>138.51987</v>
      </c>
      <c r="B607" s="1">
        <f>DATE(2010,9,16) + TIME(12,28,36)</f>
        <v>40437.519861111112</v>
      </c>
      <c r="C607">
        <v>80</v>
      </c>
      <c r="D607">
        <v>79.951072693</v>
      </c>
      <c r="E607">
        <v>50</v>
      </c>
      <c r="F607">
        <v>36.787261962999999</v>
      </c>
      <c r="G607">
        <v>1339.6258545000001</v>
      </c>
      <c r="H607">
        <v>1337.3369141000001</v>
      </c>
      <c r="I607">
        <v>1322.4735106999999</v>
      </c>
      <c r="J607">
        <v>1318.7972411999999</v>
      </c>
      <c r="K607">
        <v>2400</v>
      </c>
      <c r="L607">
        <v>0</v>
      </c>
      <c r="M607">
        <v>0</v>
      </c>
      <c r="N607">
        <v>2400</v>
      </c>
    </row>
    <row r="608" spans="1:14" x14ac:dyDescent="0.25">
      <c r="A608">
        <v>139.457269</v>
      </c>
      <c r="B608" s="1">
        <f>DATE(2010,9,17) + TIME(10,58,28)</f>
        <v>40438.457268518519</v>
      </c>
      <c r="C608">
        <v>80</v>
      </c>
      <c r="D608">
        <v>79.951126099000007</v>
      </c>
      <c r="E608">
        <v>50</v>
      </c>
      <c r="F608">
        <v>37.205696105999998</v>
      </c>
      <c r="G608">
        <v>1339.6203613</v>
      </c>
      <c r="H608">
        <v>1337.3322754000001</v>
      </c>
      <c r="I608">
        <v>1322.4897461</v>
      </c>
      <c r="J608">
        <v>1318.8261719</v>
      </c>
      <c r="K608">
        <v>2400</v>
      </c>
      <c r="L608">
        <v>0</v>
      </c>
      <c r="M608">
        <v>0</v>
      </c>
      <c r="N608">
        <v>2400</v>
      </c>
    </row>
    <row r="609" spans="1:14" x14ac:dyDescent="0.25">
      <c r="A609">
        <v>139.937333</v>
      </c>
      <c r="B609" s="1">
        <f>DATE(2010,9,17) + TIME(22,29,45)</f>
        <v>40438.937326388892</v>
      </c>
      <c r="C609">
        <v>80</v>
      </c>
      <c r="D609">
        <v>79.951148986999996</v>
      </c>
      <c r="E609">
        <v>50</v>
      </c>
      <c r="F609">
        <v>37.516601561999998</v>
      </c>
      <c r="G609">
        <v>1339.6154785000001</v>
      </c>
      <c r="H609">
        <v>1337.3284911999999</v>
      </c>
      <c r="I609">
        <v>1322.5096435999999</v>
      </c>
      <c r="J609">
        <v>1318.8531493999999</v>
      </c>
      <c r="K609">
        <v>2400</v>
      </c>
      <c r="L609">
        <v>0</v>
      </c>
      <c r="M609">
        <v>0</v>
      </c>
      <c r="N609">
        <v>2400</v>
      </c>
    </row>
    <row r="610" spans="1:14" x14ac:dyDescent="0.25">
      <c r="A610">
        <v>140.41739799999999</v>
      </c>
      <c r="B610" s="1">
        <f>DATE(2010,9,18) + TIME(10,1,3)</f>
        <v>40439.417395833334</v>
      </c>
      <c r="C610">
        <v>80</v>
      </c>
      <c r="D610">
        <v>79.951171875</v>
      </c>
      <c r="E610">
        <v>50</v>
      </c>
      <c r="F610">
        <v>37.779174804999997</v>
      </c>
      <c r="G610">
        <v>1339.6120605000001</v>
      </c>
      <c r="H610">
        <v>1337.3256836</v>
      </c>
      <c r="I610">
        <v>1322.5178223</v>
      </c>
      <c r="J610">
        <v>1318.8710937999999</v>
      </c>
      <c r="K610">
        <v>2400</v>
      </c>
      <c r="L610">
        <v>0</v>
      </c>
      <c r="M610">
        <v>0</v>
      </c>
      <c r="N610">
        <v>2400</v>
      </c>
    </row>
    <row r="611" spans="1:14" x14ac:dyDescent="0.25">
      <c r="A611">
        <v>140.89721299999999</v>
      </c>
      <c r="B611" s="1">
        <f>DATE(2010,9,18) + TIME(21,31,59)</f>
        <v>40439.897210648145</v>
      </c>
      <c r="C611">
        <v>80</v>
      </c>
      <c r="D611">
        <v>79.951194763000004</v>
      </c>
      <c r="E611">
        <v>50</v>
      </c>
      <c r="F611">
        <v>38.015464782999999</v>
      </c>
      <c r="G611">
        <v>1339.6091309000001</v>
      </c>
      <c r="H611">
        <v>1337.3232422000001</v>
      </c>
      <c r="I611">
        <v>1322.5261230000001</v>
      </c>
      <c r="J611">
        <v>1318.8878173999999</v>
      </c>
      <c r="K611">
        <v>2400</v>
      </c>
      <c r="L611">
        <v>0</v>
      </c>
      <c r="M611">
        <v>0</v>
      </c>
      <c r="N611">
        <v>2400</v>
      </c>
    </row>
    <row r="612" spans="1:14" x14ac:dyDescent="0.25">
      <c r="A612">
        <v>141.37681799999999</v>
      </c>
      <c r="B612" s="1">
        <f>DATE(2010,9,19) + TIME(9,2,37)</f>
        <v>40440.376817129632</v>
      </c>
      <c r="C612">
        <v>80</v>
      </c>
      <c r="D612">
        <v>79.951217650999993</v>
      </c>
      <c r="E612">
        <v>50</v>
      </c>
      <c r="F612">
        <v>38.237052917</v>
      </c>
      <c r="G612">
        <v>1339.6062012</v>
      </c>
      <c r="H612">
        <v>1337.3208007999999</v>
      </c>
      <c r="I612">
        <v>1322.5345459</v>
      </c>
      <c r="J612">
        <v>1318.9038086</v>
      </c>
      <c r="K612">
        <v>2400</v>
      </c>
      <c r="L612">
        <v>0</v>
      </c>
      <c r="M612">
        <v>0</v>
      </c>
      <c r="N612">
        <v>2400</v>
      </c>
    </row>
    <row r="613" spans="1:14" x14ac:dyDescent="0.25">
      <c r="A613">
        <v>141.856424</v>
      </c>
      <c r="B613" s="1">
        <f>DATE(2010,9,19) + TIME(20,33,15)</f>
        <v>40440.856423611112</v>
      </c>
      <c r="C613">
        <v>80</v>
      </c>
      <c r="D613">
        <v>79.951248168999996</v>
      </c>
      <c r="E613">
        <v>50</v>
      </c>
      <c r="F613">
        <v>38.450027466000002</v>
      </c>
      <c r="G613">
        <v>1339.6032714999999</v>
      </c>
      <c r="H613">
        <v>1337.3184814000001</v>
      </c>
      <c r="I613">
        <v>1322.5432129000001</v>
      </c>
      <c r="J613">
        <v>1318.9194336</v>
      </c>
      <c r="K613">
        <v>2400</v>
      </c>
      <c r="L613">
        <v>0</v>
      </c>
      <c r="M613">
        <v>0</v>
      </c>
      <c r="N613">
        <v>2400</v>
      </c>
    </row>
    <row r="614" spans="1:14" x14ac:dyDescent="0.25">
      <c r="A614">
        <v>142.336029</v>
      </c>
      <c r="B614" s="1">
        <f>DATE(2010,9,20) + TIME(8,3,52)</f>
        <v>40441.336018518516</v>
      </c>
      <c r="C614">
        <v>80</v>
      </c>
      <c r="D614">
        <v>79.951271057</v>
      </c>
      <c r="E614">
        <v>50</v>
      </c>
      <c r="F614">
        <v>38.657585144000002</v>
      </c>
      <c r="G614">
        <v>1339.6004639</v>
      </c>
      <c r="H614">
        <v>1337.3161620999999</v>
      </c>
      <c r="I614">
        <v>1322.5518798999999</v>
      </c>
      <c r="J614">
        <v>1318.9348144999999</v>
      </c>
      <c r="K614">
        <v>2400</v>
      </c>
      <c r="L614">
        <v>0</v>
      </c>
      <c r="M614">
        <v>0</v>
      </c>
      <c r="N614">
        <v>2400</v>
      </c>
    </row>
    <row r="615" spans="1:14" x14ac:dyDescent="0.25">
      <c r="A615">
        <v>142.81563399999999</v>
      </c>
      <c r="B615" s="1">
        <f>DATE(2010,9,20) + TIME(19,34,30)</f>
        <v>40441.815625000003</v>
      </c>
      <c r="C615">
        <v>80</v>
      </c>
      <c r="D615">
        <v>79.951301575000002</v>
      </c>
      <c r="E615">
        <v>50</v>
      </c>
      <c r="F615">
        <v>38.861385345000002</v>
      </c>
      <c r="G615">
        <v>1339.5977783000001</v>
      </c>
      <c r="H615">
        <v>1337.3138428</v>
      </c>
      <c r="I615">
        <v>1322.5605469</v>
      </c>
      <c r="J615">
        <v>1318.9500731999999</v>
      </c>
      <c r="K615">
        <v>2400</v>
      </c>
      <c r="L615">
        <v>0</v>
      </c>
      <c r="M615">
        <v>0</v>
      </c>
      <c r="N615">
        <v>2400</v>
      </c>
    </row>
    <row r="616" spans="1:14" x14ac:dyDescent="0.25">
      <c r="A616">
        <v>143.29524000000001</v>
      </c>
      <c r="B616" s="1">
        <f>DATE(2010,9,21) + TIME(7,5,8)</f>
        <v>40442.295231481483</v>
      </c>
      <c r="C616">
        <v>80</v>
      </c>
      <c r="D616">
        <v>79.951324463000006</v>
      </c>
      <c r="E616">
        <v>50</v>
      </c>
      <c r="F616">
        <v>39.062309265000003</v>
      </c>
      <c r="G616">
        <v>1339.5949707</v>
      </c>
      <c r="H616">
        <v>1337.3116454999999</v>
      </c>
      <c r="I616">
        <v>1322.5692139</v>
      </c>
      <c r="J616">
        <v>1318.9652100000001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143.774845</v>
      </c>
      <c r="B617" s="1">
        <f>DATE(2010,9,21) + TIME(18,35,46)</f>
        <v>40442.774837962963</v>
      </c>
      <c r="C617">
        <v>80</v>
      </c>
      <c r="D617">
        <v>79.951354980000005</v>
      </c>
      <c r="E617">
        <v>50</v>
      </c>
      <c r="F617">
        <v>39.260807036999999</v>
      </c>
      <c r="G617">
        <v>1339.5921631000001</v>
      </c>
      <c r="H617">
        <v>1337.3094481999999</v>
      </c>
      <c r="I617">
        <v>1322.5778809000001</v>
      </c>
      <c r="J617">
        <v>1318.9802245999999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144.25444999999999</v>
      </c>
      <c r="B618" s="1">
        <f>DATE(2010,9,22) + TIME(6,6,24)</f>
        <v>40443.254444444443</v>
      </c>
      <c r="C618">
        <v>80</v>
      </c>
      <c r="D618">
        <v>79.951377868999998</v>
      </c>
      <c r="E618">
        <v>50</v>
      </c>
      <c r="F618">
        <v>39.457122802999997</v>
      </c>
      <c r="G618">
        <v>1339.5894774999999</v>
      </c>
      <c r="H618">
        <v>1337.3071289</v>
      </c>
      <c r="I618">
        <v>1322.5865478999999</v>
      </c>
      <c r="J618">
        <v>1318.9951172000001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144.73405600000001</v>
      </c>
      <c r="B619" s="1">
        <f>DATE(2010,9,22) + TIME(17,37,2)</f>
        <v>40443.734050925923</v>
      </c>
      <c r="C619">
        <v>80</v>
      </c>
      <c r="D619">
        <v>79.951408385999997</v>
      </c>
      <c r="E619">
        <v>50</v>
      </c>
      <c r="F619">
        <v>39.651378631999997</v>
      </c>
      <c r="G619">
        <v>1339.5867920000001</v>
      </c>
      <c r="H619">
        <v>1337.3049315999999</v>
      </c>
      <c r="I619">
        <v>1322.5952147999999</v>
      </c>
      <c r="J619">
        <v>1319.0100098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145.213661</v>
      </c>
      <c r="B620" s="1">
        <f>DATE(2010,9,23) + TIME(5,7,40)</f>
        <v>40444.21365740741</v>
      </c>
      <c r="C620">
        <v>80</v>
      </c>
      <c r="D620">
        <v>79.951431274000001</v>
      </c>
      <c r="E620">
        <v>50</v>
      </c>
      <c r="F620">
        <v>39.843635558999999</v>
      </c>
      <c r="G620">
        <v>1339.5841064000001</v>
      </c>
      <c r="H620">
        <v>1337.3027344</v>
      </c>
      <c r="I620">
        <v>1322.6037598</v>
      </c>
      <c r="J620">
        <v>1319.0247803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145.69326599999999</v>
      </c>
      <c r="B621" s="1">
        <f>DATE(2010,9,23) + TIME(16,38,18)</f>
        <v>40444.69326388889</v>
      </c>
      <c r="C621">
        <v>80</v>
      </c>
      <c r="D621">
        <v>79.951461792000003</v>
      </c>
      <c r="E621">
        <v>50</v>
      </c>
      <c r="F621">
        <v>40.033950806</v>
      </c>
      <c r="G621">
        <v>1339.5814209</v>
      </c>
      <c r="H621">
        <v>1337.3006591999999</v>
      </c>
      <c r="I621">
        <v>1322.6124268000001</v>
      </c>
      <c r="J621">
        <v>1319.0395507999999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146.17287200000001</v>
      </c>
      <c r="B622" s="1">
        <f>DATE(2010,9,24) + TIME(4,8,56)</f>
        <v>40445.17287037037</v>
      </c>
      <c r="C622">
        <v>80</v>
      </c>
      <c r="D622">
        <v>79.951484679999993</v>
      </c>
      <c r="E622">
        <v>50</v>
      </c>
      <c r="F622">
        <v>40.222377776999998</v>
      </c>
      <c r="G622">
        <v>1339.5787353999999</v>
      </c>
      <c r="H622">
        <v>1337.2984618999999</v>
      </c>
      <c r="I622">
        <v>1322.6210937999999</v>
      </c>
      <c r="J622">
        <v>1319.0541992000001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147.13208299999999</v>
      </c>
      <c r="B623" s="1">
        <f>DATE(2010,9,25) + TIME(3,10,11)</f>
        <v>40446.132071759261</v>
      </c>
      <c r="C623">
        <v>80</v>
      </c>
      <c r="D623">
        <v>79.951545714999995</v>
      </c>
      <c r="E623">
        <v>50</v>
      </c>
      <c r="F623">
        <v>40.473712921000001</v>
      </c>
      <c r="G623">
        <v>1339.5756836</v>
      </c>
      <c r="H623">
        <v>1337.2958983999999</v>
      </c>
      <c r="I623">
        <v>1322.6279297000001</v>
      </c>
      <c r="J623">
        <v>1319.0704346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148.09742900000001</v>
      </c>
      <c r="B624" s="1">
        <f>DATE(2010,9,26) + TIME(2,20,17)</f>
        <v>40447.097418981481</v>
      </c>
      <c r="C624">
        <v>80</v>
      </c>
      <c r="D624">
        <v>79.951599121000001</v>
      </c>
      <c r="E624">
        <v>50</v>
      </c>
      <c r="F624">
        <v>40.799755095999998</v>
      </c>
      <c r="G624">
        <v>1339.5708007999999</v>
      </c>
      <c r="H624">
        <v>1337.2919922000001</v>
      </c>
      <c r="I624">
        <v>1322.6448975000001</v>
      </c>
      <c r="J624">
        <v>1319.0960693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149.08389299999999</v>
      </c>
      <c r="B625" s="1">
        <f>DATE(2010,9,27) + TIME(2,0,48)</f>
        <v>40448.08388888889</v>
      </c>
      <c r="C625">
        <v>80</v>
      </c>
      <c r="D625">
        <v>79.951652526999993</v>
      </c>
      <c r="E625">
        <v>50</v>
      </c>
      <c r="F625">
        <v>41.150386810000001</v>
      </c>
      <c r="G625">
        <v>1339.5656738</v>
      </c>
      <c r="H625">
        <v>1337.2878418</v>
      </c>
      <c r="I625">
        <v>1322.6618652</v>
      </c>
      <c r="J625">
        <v>1319.1237793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150.094548</v>
      </c>
      <c r="B626" s="1">
        <f>DATE(2010,9,28) + TIME(2,16,8)</f>
        <v>40449.094537037039</v>
      </c>
      <c r="C626">
        <v>80</v>
      </c>
      <c r="D626">
        <v>79.951713561999995</v>
      </c>
      <c r="E626">
        <v>50</v>
      </c>
      <c r="F626">
        <v>41.510131835999999</v>
      </c>
      <c r="G626">
        <v>1339.5604248</v>
      </c>
      <c r="H626">
        <v>1337.2836914</v>
      </c>
      <c r="I626">
        <v>1322.6793213000001</v>
      </c>
      <c r="J626">
        <v>1319.1523437999999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150.61357699999999</v>
      </c>
      <c r="B627" s="1">
        <f>DATE(2010,9,28) + TIME(14,43,33)</f>
        <v>40449.613576388889</v>
      </c>
      <c r="C627">
        <v>80</v>
      </c>
      <c r="D627">
        <v>79.951728821000003</v>
      </c>
      <c r="E627">
        <v>50</v>
      </c>
      <c r="F627">
        <v>41.784492493000002</v>
      </c>
      <c r="G627">
        <v>1339.5559082</v>
      </c>
      <c r="H627">
        <v>1337.2800293</v>
      </c>
      <c r="I627">
        <v>1322.6994629000001</v>
      </c>
      <c r="J627">
        <v>1319.1794434000001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151.13202100000001</v>
      </c>
      <c r="B628" s="1">
        <f>DATE(2010,9,29) + TIME(3,10,6)</f>
        <v>40450.132013888891</v>
      </c>
      <c r="C628">
        <v>80</v>
      </c>
      <c r="D628">
        <v>79.951759338000002</v>
      </c>
      <c r="E628">
        <v>50</v>
      </c>
      <c r="F628">
        <v>42.011657714999998</v>
      </c>
      <c r="G628">
        <v>1339.5528564000001</v>
      </c>
      <c r="H628">
        <v>1337.2774658000001</v>
      </c>
      <c r="I628">
        <v>1322.7084961</v>
      </c>
      <c r="J628">
        <v>1319.1973877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151.64977400000001</v>
      </c>
      <c r="B629" s="1">
        <f>DATE(2010,9,29) + TIME(15,35,40)</f>
        <v>40450.649768518517</v>
      </c>
      <c r="C629">
        <v>80</v>
      </c>
      <c r="D629">
        <v>79.951782226999995</v>
      </c>
      <c r="E629">
        <v>50</v>
      </c>
      <c r="F629">
        <v>42.214454650999997</v>
      </c>
      <c r="G629">
        <v>1339.5500488</v>
      </c>
      <c r="H629">
        <v>1337.2751464999999</v>
      </c>
      <c r="I629">
        <v>1322.7176514</v>
      </c>
      <c r="J629">
        <v>1319.2138672000001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152.16719900000001</v>
      </c>
      <c r="B630" s="1">
        <f>DATE(2010,9,30) + TIME(4,0,45)</f>
        <v>40451.167187500003</v>
      </c>
      <c r="C630">
        <v>80</v>
      </c>
      <c r="D630">
        <v>79.951812743999994</v>
      </c>
      <c r="E630">
        <v>50</v>
      </c>
      <c r="F630">
        <v>42.404167174999998</v>
      </c>
      <c r="G630">
        <v>1339.5472411999999</v>
      </c>
      <c r="H630">
        <v>1337.2729492000001</v>
      </c>
      <c r="I630">
        <v>1322.7266846</v>
      </c>
      <c r="J630">
        <v>1319.2296143000001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153</v>
      </c>
      <c r="B631" s="1">
        <f>DATE(2010,10,1) + TIME(0,0,0)</f>
        <v>40452</v>
      </c>
      <c r="C631">
        <v>80</v>
      </c>
      <c r="D631">
        <v>79.951866150000001</v>
      </c>
      <c r="E631">
        <v>50</v>
      </c>
      <c r="F631">
        <v>42.628055572999997</v>
      </c>
      <c r="G631">
        <v>1339.5443115</v>
      </c>
      <c r="H631">
        <v>1337.2705077999999</v>
      </c>
      <c r="I631">
        <v>1322.7347411999999</v>
      </c>
      <c r="J631">
        <v>1319.2458495999999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153.517425</v>
      </c>
      <c r="B632" s="1">
        <f>DATE(2010,10,1) + TIME(12,25,5)</f>
        <v>40452.517418981479</v>
      </c>
      <c r="C632">
        <v>80</v>
      </c>
      <c r="D632">
        <v>79.951889038000004</v>
      </c>
      <c r="E632">
        <v>50</v>
      </c>
      <c r="F632">
        <v>42.838008881</v>
      </c>
      <c r="G632">
        <v>1339.5407714999999</v>
      </c>
      <c r="H632">
        <v>1337.2678223</v>
      </c>
      <c r="I632">
        <v>1322.7503661999999</v>
      </c>
      <c r="J632">
        <v>1319.2664795000001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154.03485000000001</v>
      </c>
      <c r="B633" s="1">
        <f>DATE(2010,10,2) + TIME(0,50,11)</f>
        <v>40453.034849537034</v>
      </c>
      <c r="C633">
        <v>80</v>
      </c>
      <c r="D633">
        <v>79.951911925999994</v>
      </c>
      <c r="E633">
        <v>50</v>
      </c>
      <c r="F633">
        <v>43.027530669999997</v>
      </c>
      <c r="G633">
        <v>1339.5379639</v>
      </c>
      <c r="H633">
        <v>1337.2655029</v>
      </c>
      <c r="I633">
        <v>1322.7593993999999</v>
      </c>
      <c r="J633">
        <v>1319.2823486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154.55227500000001</v>
      </c>
      <c r="B634" s="1">
        <f>DATE(2010,10,2) + TIME(13,15,16)</f>
        <v>40453.552268518521</v>
      </c>
      <c r="C634">
        <v>80</v>
      </c>
      <c r="D634">
        <v>79.951942443999997</v>
      </c>
      <c r="E634">
        <v>50</v>
      </c>
      <c r="F634">
        <v>43.206062316999997</v>
      </c>
      <c r="G634">
        <v>1339.5354004000001</v>
      </c>
      <c r="H634">
        <v>1337.2634277</v>
      </c>
      <c r="I634">
        <v>1322.7684326000001</v>
      </c>
      <c r="J634">
        <v>1319.2974853999999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155.06970000000001</v>
      </c>
      <c r="B635" s="1">
        <f>DATE(2010,10,3) + TIME(1,40,22)</f>
        <v>40454.069699074076</v>
      </c>
      <c r="C635">
        <v>80</v>
      </c>
      <c r="D635">
        <v>79.951972960999996</v>
      </c>
      <c r="E635">
        <v>50</v>
      </c>
      <c r="F635">
        <v>43.378238678000002</v>
      </c>
      <c r="G635">
        <v>1339.5328368999999</v>
      </c>
      <c r="H635">
        <v>1337.2613524999999</v>
      </c>
      <c r="I635">
        <v>1322.7774658000001</v>
      </c>
      <c r="J635">
        <v>1319.3122559000001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155.58712499999999</v>
      </c>
      <c r="B636" s="1">
        <f>DATE(2010,10,3) + TIME(14,5,27)</f>
        <v>40454.587118055555</v>
      </c>
      <c r="C636">
        <v>80</v>
      </c>
      <c r="D636">
        <v>79.951995850000003</v>
      </c>
      <c r="E636">
        <v>50</v>
      </c>
      <c r="F636">
        <v>43.546340942</v>
      </c>
      <c r="G636">
        <v>1339.5302733999999</v>
      </c>
      <c r="H636">
        <v>1337.2592772999999</v>
      </c>
      <c r="I636">
        <v>1322.7863769999999</v>
      </c>
      <c r="J636">
        <v>1319.3267822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156.62197399999999</v>
      </c>
      <c r="B637" s="1">
        <f>DATE(2010,10,4) + TIME(14,55,38)</f>
        <v>40455.621967592589</v>
      </c>
      <c r="C637">
        <v>80</v>
      </c>
      <c r="D637">
        <v>79.952064514</v>
      </c>
      <c r="E637">
        <v>50</v>
      </c>
      <c r="F637">
        <v>43.764934539999999</v>
      </c>
      <c r="G637">
        <v>1339.5273437999999</v>
      </c>
      <c r="H637">
        <v>1337.2568358999999</v>
      </c>
      <c r="I637">
        <v>1322.7940673999999</v>
      </c>
      <c r="J637">
        <v>1319.3426514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157.65876600000001</v>
      </c>
      <c r="B638" s="1">
        <f>DATE(2010,10,5) + TIME(15,48,37)</f>
        <v>40456.658761574072</v>
      </c>
      <c r="C638">
        <v>80</v>
      </c>
      <c r="D638">
        <v>79.952125549000002</v>
      </c>
      <c r="E638">
        <v>50</v>
      </c>
      <c r="F638">
        <v>44.052673339999998</v>
      </c>
      <c r="G638">
        <v>1339.5227050999999</v>
      </c>
      <c r="H638">
        <v>1337.2531738</v>
      </c>
      <c r="I638">
        <v>1322.8111572</v>
      </c>
      <c r="J638">
        <v>1319.3675536999999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158.71014400000001</v>
      </c>
      <c r="B639" s="1">
        <f>DATE(2010,10,6) + TIME(17,2,36)</f>
        <v>40457.710138888891</v>
      </c>
      <c r="C639">
        <v>80</v>
      </c>
      <c r="D639">
        <v>79.952178954999994</v>
      </c>
      <c r="E639">
        <v>50</v>
      </c>
      <c r="F639">
        <v>44.359714508000003</v>
      </c>
      <c r="G639">
        <v>1339.5178223</v>
      </c>
      <c r="H639">
        <v>1337.2492675999999</v>
      </c>
      <c r="I639">
        <v>1322.8286132999999</v>
      </c>
      <c r="J639">
        <v>1319.3945312000001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159.779583</v>
      </c>
      <c r="B640" s="1">
        <f>DATE(2010,10,7) + TIME(18,42,36)</f>
        <v>40458.779583333337</v>
      </c>
      <c r="C640">
        <v>80</v>
      </c>
      <c r="D640">
        <v>79.952239989999995</v>
      </c>
      <c r="E640">
        <v>50</v>
      </c>
      <c r="F640">
        <v>44.671710967999999</v>
      </c>
      <c r="G640">
        <v>1339.5129394999999</v>
      </c>
      <c r="H640">
        <v>1337.2453613</v>
      </c>
      <c r="I640">
        <v>1322.8464355000001</v>
      </c>
      <c r="J640">
        <v>1319.4223632999999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160.870721</v>
      </c>
      <c r="B641" s="1">
        <f>DATE(2010,10,8) + TIME(20,53,50)</f>
        <v>40459.870717592596</v>
      </c>
      <c r="C641">
        <v>80</v>
      </c>
      <c r="D641">
        <v>79.952293396000002</v>
      </c>
      <c r="E641">
        <v>50</v>
      </c>
      <c r="F641">
        <v>44.984516143999997</v>
      </c>
      <c r="G641">
        <v>1339.5079346</v>
      </c>
      <c r="H641">
        <v>1337.2414550999999</v>
      </c>
      <c r="I641">
        <v>1322.8643798999999</v>
      </c>
      <c r="J641">
        <v>1319.4505615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161.98106799999999</v>
      </c>
      <c r="B642" s="1">
        <f>DATE(2010,10,9) + TIME(23,32,44)</f>
        <v>40460.981064814812</v>
      </c>
      <c r="C642">
        <v>80</v>
      </c>
      <c r="D642">
        <v>79.952354431000003</v>
      </c>
      <c r="E642">
        <v>50</v>
      </c>
      <c r="F642">
        <v>45.296707153</v>
      </c>
      <c r="G642">
        <v>1339.5030518000001</v>
      </c>
      <c r="H642">
        <v>1337.2374268000001</v>
      </c>
      <c r="I642">
        <v>1322.8826904</v>
      </c>
      <c r="J642">
        <v>1319.4792480000001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162.54147900000001</v>
      </c>
      <c r="B643" s="1">
        <f>DATE(2010,10,10) + TIME(12,59,43)</f>
        <v>40461.54146990741</v>
      </c>
      <c r="C643">
        <v>80</v>
      </c>
      <c r="D643">
        <v>79.952377318999993</v>
      </c>
      <c r="E643">
        <v>50</v>
      </c>
      <c r="F643">
        <v>45.534732818999998</v>
      </c>
      <c r="G643">
        <v>1339.4987793</v>
      </c>
      <c r="H643">
        <v>1337.2341309000001</v>
      </c>
      <c r="I643">
        <v>1322.902832</v>
      </c>
      <c r="J643">
        <v>1319.5059814000001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163.09865099999999</v>
      </c>
      <c r="B644" s="1">
        <f>DATE(2010,10,11) + TIME(2,22,3)</f>
        <v>40462.098645833335</v>
      </c>
      <c r="C644">
        <v>80</v>
      </c>
      <c r="D644">
        <v>79.952407836999996</v>
      </c>
      <c r="E644">
        <v>50</v>
      </c>
      <c r="F644">
        <v>45.72624588</v>
      </c>
      <c r="G644">
        <v>1339.4958495999999</v>
      </c>
      <c r="H644">
        <v>1337.2318115</v>
      </c>
      <c r="I644">
        <v>1322.9125977000001</v>
      </c>
      <c r="J644">
        <v>1319.5235596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163.65575699999999</v>
      </c>
      <c r="B645" s="1">
        <f>DATE(2010,10,11) + TIME(15,44,17)</f>
        <v>40462.655752314815</v>
      </c>
      <c r="C645">
        <v>80</v>
      </c>
      <c r="D645">
        <v>79.952438353999995</v>
      </c>
      <c r="E645">
        <v>50</v>
      </c>
      <c r="F645">
        <v>45.895301818999997</v>
      </c>
      <c r="G645">
        <v>1339.4932861</v>
      </c>
      <c r="H645">
        <v>1337.2297363</v>
      </c>
      <c r="I645">
        <v>1322.9221190999999</v>
      </c>
      <c r="J645">
        <v>1319.5395507999999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164.212863</v>
      </c>
      <c r="B646" s="1">
        <f>DATE(2010,10,12) + TIME(5,6,31)</f>
        <v>40463.212858796294</v>
      </c>
      <c r="C646">
        <v>80</v>
      </c>
      <c r="D646">
        <v>79.952468871999997</v>
      </c>
      <c r="E646">
        <v>50</v>
      </c>
      <c r="F646">
        <v>46.052955627000003</v>
      </c>
      <c r="G646">
        <v>1339.4907227000001</v>
      </c>
      <c r="H646">
        <v>1337.2276611</v>
      </c>
      <c r="I646">
        <v>1322.9313964999999</v>
      </c>
      <c r="J646">
        <v>1319.5545654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164.769969</v>
      </c>
      <c r="B647" s="1">
        <f>DATE(2010,10,12) + TIME(18,28,45)</f>
        <v>40463.769965277781</v>
      </c>
      <c r="C647">
        <v>80</v>
      </c>
      <c r="D647">
        <v>79.95249939</v>
      </c>
      <c r="E647">
        <v>50</v>
      </c>
      <c r="F647">
        <v>46.204380035</v>
      </c>
      <c r="G647">
        <v>1339.4882812000001</v>
      </c>
      <c r="H647">
        <v>1337.2257079999999</v>
      </c>
      <c r="I647">
        <v>1322.9407959</v>
      </c>
      <c r="J647">
        <v>1319.5693358999999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165.32707500000001</v>
      </c>
      <c r="B648" s="1">
        <f>DATE(2010,10,13) + TIME(7,50,59)</f>
        <v>40464.32707175926</v>
      </c>
      <c r="C648">
        <v>80</v>
      </c>
      <c r="D648">
        <v>79.952529906999999</v>
      </c>
      <c r="E648">
        <v>50</v>
      </c>
      <c r="F648">
        <v>46.352001190000003</v>
      </c>
      <c r="G648">
        <v>1339.4858397999999</v>
      </c>
      <c r="H648">
        <v>1337.2238769999999</v>
      </c>
      <c r="I648">
        <v>1322.9500731999999</v>
      </c>
      <c r="J648">
        <v>1319.5837402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165.88418200000001</v>
      </c>
      <c r="B649" s="1">
        <f>DATE(2010,10,13) + TIME(21,13,13)</f>
        <v>40464.88417824074</v>
      </c>
      <c r="C649">
        <v>80</v>
      </c>
      <c r="D649">
        <v>79.952560425000001</v>
      </c>
      <c r="E649">
        <v>50</v>
      </c>
      <c r="F649">
        <v>46.496982574</v>
      </c>
      <c r="G649">
        <v>1339.4835204999999</v>
      </c>
      <c r="H649">
        <v>1337.2219238</v>
      </c>
      <c r="I649">
        <v>1322.9592285000001</v>
      </c>
      <c r="J649">
        <v>1319.5980225000001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166.44128799999999</v>
      </c>
      <c r="B650" s="1">
        <f>DATE(2010,10,14) + TIME(10,35,27)</f>
        <v>40465.441284722219</v>
      </c>
      <c r="C650">
        <v>80</v>
      </c>
      <c r="D650">
        <v>79.952583313000005</v>
      </c>
      <c r="E650">
        <v>50</v>
      </c>
      <c r="F650">
        <v>46.639877319</v>
      </c>
      <c r="G650">
        <v>1339.4810791</v>
      </c>
      <c r="H650">
        <v>1337.2200928</v>
      </c>
      <c r="I650">
        <v>1322.9685059000001</v>
      </c>
      <c r="J650">
        <v>1319.6121826000001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166.99839399999999</v>
      </c>
      <c r="B651" s="1">
        <f>DATE(2010,10,14) + TIME(23,57,41)</f>
        <v>40465.998391203706</v>
      </c>
      <c r="C651">
        <v>80</v>
      </c>
      <c r="D651">
        <v>79.952613830999994</v>
      </c>
      <c r="E651">
        <v>50</v>
      </c>
      <c r="F651">
        <v>46.780963898000003</v>
      </c>
      <c r="G651">
        <v>1339.4787598</v>
      </c>
      <c r="H651">
        <v>1337.2181396000001</v>
      </c>
      <c r="I651">
        <v>1322.9776611</v>
      </c>
      <c r="J651">
        <v>1319.6262207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168.112606</v>
      </c>
      <c r="B652" s="1">
        <f>DATE(2010,10,16) + TIME(2,42,9)</f>
        <v>40467.112604166665</v>
      </c>
      <c r="C652">
        <v>80</v>
      </c>
      <c r="D652">
        <v>79.952682495000005</v>
      </c>
      <c r="E652">
        <v>50</v>
      </c>
      <c r="F652">
        <v>46.962505341000004</v>
      </c>
      <c r="G652">
        <v>1339.4760742000001</v>
      </c>
      <c r="H652">
        <v>1337.2159423999999</v>
      </c>
      <c r="I652">
        <v>1322.9859618999999</v>
      </c>
      <c r="J652">
        <v>1319.6416016000001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169.22788199999999</v>
      </c>
      <c r="B653" s="1">
        <f>DATE(2010,10,17) + TIME(5,28,8)</f>
        <v>40468.227870370371</v>
      </c>
      <c r="C653">
        <v>80</v>
      </c>
      <c r="D653">
        <v>79.952743530000006</v>
      </c>
      <c r="E653">
        <v>50</v>
      </c>
      <c r="F653">
        <v>47.207565308</v>
      </c>
      <c r="G653">
        <v>1339.4716797000001</v>
      </c>
      <c r="H653">
        <v>1337.2125243999999</v>
      </c>
      <c r="I653">
        <v>1323.0031738</v>
      </c>
      <c r="J653">
        <v>1319.6658935999999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170.360547</v>
      </c>
      <c r="B654" s="1">
        <f>DATE(2010,10,18) + TIME(8,39,11)</f>
        <v>40469.360543981478</v>
      </c>
      <c r="C654">
        <v>80</v>
      </c>
      <c r="D654">
        <v>79.952804564999994</v>
      </c>
      <c r="E654">
        <v>50</v>
      </c>
      <c r="F654">
        <v>47.469188690000003</v>
      </c>
      <c r="G654">
        <v>1339.4671631000001</v>
      </c>
      <c r="H654">
        <v>1337.2089844</v>
      </c>
      <c r="I654">
        <v>1323.0209961</v>
      </c>
      <c r="J654">
        <v>1319.6922606999999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171.51452499999999</v>
      </c>
      <c r="B655" s="1">
        <f>DATE(2010,10,19) + TIME(12,20,54)</f>
        <v>40470.514513888891</v>
      </c>
      <c r="C655">
        <v>80</v>
      </c>
      <c r="D655">
        <v>79.952873229999994</v>
      </c>
      <c r="E655">
        <v>50</v>
      </c>
      <c r="F655">
        <v>47.735149384000003</v>
      </c>
      <c r="G655">
        <v>1339.4626464999999</v>
      </c>
      <c r="H655">
        <v>1337.2053223</v>
      </c>
      <c r="I655">
        <v>1323.0390625</v>
      </c>
      <c r="J655">
        <v>1319.7196045000001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172.693173</v>
      </c>
      <c r="B656" s="1">
        <f>DATE(2010,10,20) + TIME(16,38,10)</f>
        <v>40471.693171296298</v>
      </c>
      <c r="C656">
        <v>80</v>
      </c>
      <c r="D656">
        <v>79.952934264999996</v>
      </c>
      <c r="E656">
        <v>50</v>
      </c>
      <c r="F656">
        <v>48.002239226999997</v>
      </c>
      <c r="G656">
        <v>1339.4580077999999</v>
      </c>
      <c r="H656">
        <v>1337.2017822</v>
      </c>
      <c r="I656">
        <v>1323.0574951000001</v>
      </c>
      <c r="J656">
        <v>1319.7475586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173.88583499999999</v>
      </c>
      <c r="B657" s="1">
        <f>DATE(2010,10,21) + TIME(21,15,36)</f>
        <v>40472.885833333334</v>
      </c>
      <c r="C657">
        <v>80</v>
      </c>
      <c r="D657">
        <v>79.952995299999998</v>
      </c>
      <c r="E657">
        <v>50</v>
      </c>
      <c r="F657">
        <v>48.268985747999999</v>
      </c>
      <c r="G657">
        <v>1339.4533690999999</v>
      </c>
      <c r="H657">
        <v>1337.1981201000001</v>
      </c>
      <c r="I657">
        <v>1323.0762939000001</v>
      </c>
      <c r="J657">
        <v>1319.7757568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174.489631</v>
      </c>
      <c r="B658" s="1">
        <f>DATE(2010,10,22) + TIME(11,45,4)</f>
        <v>40473.489629629628</v>
      </c>
      <c r="C658">
        <v>80</v>
      </c>
      <c r="D658">
        <v>79.953018188000001</v>
      </c>
      <c r="E658">
        <v>50</v>
      </c>
      <c r="F658">
        <v>48.475498199</v>
      </c>
      <c r="G658">
        <v>1339.4493408000001</v>
      </c>
      <c r="H658">
        <v>1337.1950684000001</v>
      </c>
      <c r="I658">
        <v>1323.0961914</v>
      </c>
      <c r="J658">
        <v>1319.8022461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175.091227</v>
      </c>
      <c r="B659" s="1">
        <f>DATE(2010,10,23) + TIME(2,11,22)</f>
        <v>40474.091226851851</v>
      </c>
      <c r="C659">
        <v>80</v>
      </c>
      <c r="D659">
        <v>79.953048706000004</v>
      </c>
      <c r="E659">
        <v>50</v>
      </c>
      <c r="F659">
        <v>48.639263153000002</v>
      </c>
      <c r="G659">
        <v>1339.4466553</v>
      </c>
      <c r="H659">
        <v>1337.1928711</v>
      </c>
      <c r="I659">
        <v>1323.1064452999999</v>
      </c>
      <c r="J659">
        <v>1319.8195800999999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175.69245000000001</v>
      </c>
      <c r="B660" s="1">
        <f>DATE(2010,10,23) + TIME(16,37,7)</f>
        <v>40474.692442129628</v>
      </c>
      <c r="C660">
        <v>80</v>
      </c>
      <c r="D660">
        <v>79.953079224000007</v>
      </c>
      <c r="E660">
        <v>50</v>
      </c>
      <c r="F660">
        <v>48.783367157000001</v>
      </c>
      <c r="G660">
        <v>1339.4442139</v>
      </c>
      <c r="H660">
        <v>1337.190918</v>
      </c>
      <c r="I660">
        <v>1323.1162108999999</v>
      </c>
      <c r="J660">
        <v>1319.8353271000001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176.29367199999999</v>
      </c>
      <c r="B661" s="1">
        <f>DATE(2010,10,24) + TIME(7,2,53)</f>
        <v>40475.293668981481</v>
      </c>
      <c r="C661">
        <v>80</v>
      </c>
      <c r="D661">
        <v>79.953117371000005</v>
      </c>
      <c r="E661">
        <v>50</v>
      </c>
      <c r="F661">
        <v>48.917949677000003</v>
      </c>
      <c r="G661">
        <v>1339.4418945</v>
      </c>
      <c r="H661">
        <v>1337.1890868999999</v>
      </c>
      <c r="I661">
        <v>1323.1258545000001</v>
      </c>
      <c r="J661">
        <v>1319.8500977000001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176.89489499999999</v>
      </c>
      <c r="B662" s="1">
        <f>DATE(2010,10,24) + TIME(21,28,38)</f>
        <v>40475.894884259258</v>
      </c>
      <c r="C662">
        <v>80</v>
      </c>
      <c r="D662">
        <v>79.953147888000004</v>
      </c>
      <c r="E662">
        <v>50</v>
      </c>
      <c r="F662">
        <v>49.047504425</v>
      </c>
      <c r="G662">
        <v>1339.4395752</v>
      </c>
      <c r="H662">
        <v>1337.1872559000001</v>
      </c>
      <c r="I662">
        <v>1323.1352539</v>
      </c>
      <c r="J662">
        <v>1319.8645019999999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177.496118</v>
      </c>
      <c r="B663" s="1">
        <f>DATE(2010,10,25) + TIME(11,54,24)</f>
        <v>40476.496111111112</v>
      </c>
      <c r="C663">
        <v>80</v>
      </c>
      <c r="D663">
        <v>79.953178406000006</v>
      </c>
      <c r="E663">
        <v>50</v>
      </c>
      <c r="F663">
        <v>49.174037933000001</v>
      </c>
      <c r="G663">
        <v>1339.4373779</v>
      </c>
      <c r="H663">
        <v>1337.1855469</v>
      </c>
      <c r="I663">
        <v>1323.1446533000001</v>
      </c>
      <c r="J663">
        <v>1319.8785399999999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178.097341</v>
      </c>
      <c r="B664" s="1">
        <f>DATE(2010,10,26) + TIME(2,20,10)</f>
        <v>40477.097337962965</v>
      </c>
      <c r="C664">
        <v>80</v>
      </c>
      <c r="D664">
        <v>79.953208923000005</v>
      </c>
      <c r="E664">
        <v>50</v>
      </c>
      <c r="F664">
        <v>49.298431395999998</v>
      </c>
      <c r="G664">
        <v>1339.4351807</v>
      </c>
      <c r="H664">
        <v>1337.1837158000001</v>
      </c>
      <c r="I664">
        <v>1323.1539307</v>
      </c>
      <c r="J664">
        <v>1319.8924560999999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178.69856300000001</v>
      </c>
      <c r="B665" s="1">
        <f>DATE(2010,10,26) + TIME(16,45,55)</f>
        <v>40477.698553240742</v>
      </c>
      <c r="C665">
        <v>80</v>
      </c>
      <c r="D665">
        <v>79.953239440999994</v>
      </c>
      <c r="E665">
        <v>50</v>
      </c>
      <c r="F665">
        <v>49.421089172000002</v>
      </c>
      <c r="G665">
        <v>1339.4328613</v>
      </c>
      <c r="H665">
        <v>1337.1820068</v>
      </c>
      <c r="I665">
        <v>1323.1632079999999</v>
      </c>
      <c r="J665">
        <v>1319.90625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179.29978600000001</v>
      </c>
      <c r="B666" s="1">
        <f>DATE(2010,10,27) + TIME(7,11,41)</f>
        <v>40478.299780092595</v>
      </c>
      <c r="C666">
        <v>80</v>
      </c>
      <c r="D666">
        <v>79.953277588000006</v>
      </c>
      <c r="E666">
        <v>50</v>
      </c>
      <c r="F666">
        <v>49.542198181000003</v>
      </c>
      <c r="G666">
        <v>1339.4306641000001</v>
      </c>
      <c r="H666">
        <v>1337.1802978999999</v>
      </c>
      <c r="I666">
        <v>1323.1723632999999</v>
      </c>
      <c r="J666">
        <v>1319.9199219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179.90100899999999</v>
      </c>
      <c r="B667" s="1">
        <f>DATE(2010,10,27) + TIME(21,37,27)</f>
        <v>40478.901006944441</v>
      </c>
      <c r="C667">
        <v>80</v>
      </c>
      <c r="D667">
        <v>79.953308105000005</v>
      </c>
      <c r="E667">
        <v>50</v>
      </c>
      <c r="F667">
        <v>49.661857605000002</v>
      </c>
      <c r="G667">
        <v>1339.4285889</v>
      </c>
      <c r="H667">
        <v>1337.1785889</v>
      </c>
      <c r="I667">
        <v>1323.1815185999999</v>
      </c>
      <c r="J667">
        <v>1319.9334716999999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181.103454</v>
      </c>
      <c r="B668" s="1">
        <f>DATE(2010,10,29) + TIME(2,28,58)</f>
        <v>40480.103449074071</v>
      </c>
      <c r="C668">
        <v>80</v>
      </c>
      <c r="D668">
        <v>79.953376770000006</v>
      </c>
      <c r="E668">
        <v>50</v>
      </c>
      <c r="F668">
        <v>49.813537598000003</v>
      </c>
      <c r="G668">
        <v>1339.4260254000001</v>
      </c>
      <c r="H668">
        <v>1337.1766356999999</v>
      </c>
      <c r="I668">
        <v>1323.1900635</v>
      </c>
      <c r="J668">
        <v>1319.9481201000001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182.307984</v>
      </c>
      <c r="B669" s="1">
        <f>DATE(2010,10,30) + TIME(7,23,29)</f>
        <v>40481.307974537034</v>
      </c>
      <c r="C669">
        <v>80</v>
      </c>
      <c r="D669">
        <v>79.953445435000006</v>
      </c>
      <c r="E669">
        <v>50</v>
      </c>
      <c r="F669">
        <v>50.022277832</v>
      </c>
      <c r="G669">
        <v>1339.4219971</v>
      </c>
      <c r="H669">
        <v>1337.1734618999999</v>
      </c>
      <c r="I669">
        <v>1323.2069091999999</v>
      </c>
      <c r="J669">
        <v>1319.9713135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183.53167500000001</v>
      </c>
      <c r="B670" s="1">
        <f>DATE(2010,10,31) + TIME(12,45,36)</f>
        <v>40482.531666666669</v>
      </c>
      <c r="C670">
        <v>80</v>
      </c>
      <c r="D670">
        <v>79.953506469999994</v>
      </c>
      <c r="E670">
        <v>50</v>
      </c>
      <c r="F670">
        <v>50.244571686</v>
      </c>
      <c r="G670">
        <v>1339.4178466999999</v>
      </c>
      <c r="H670">
        <v>1337.1702881000001</v>
      </c>
      <c r="I670">
        <v>1323.2244873</v>
      </c>
      <c r="J670">
        <v>1319.996582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184</v>
      </c>
      <c r="B671" s="1">
        <f>DATE(2010,11,1) + TIME(0,0,0)</f>
        <v>40483</v>
      </c>
      <c r="C671">
        <v>80</v>
      </c>
      <c r="D671">
        <v>79.953521729000002</v>
      </c>
      <c r="E671">
        <v>50</v>
      </c>
      <c r="F671">
        <v>50.399578093999999</v>
      </c>
      <c r="G671">
        <v>1339.4144286999999</v>
      </c>
      <c r="H671">
        <v>1337.1677245999999</v>
      </c>
      <c r="I671">
        <v>1323.2434082</v>
      </c>
      <c r="J671">
        <v>1320.0203856999999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184.000001</v>
      </c>
      <c r="B672" s="1">
        <f>DATE(2010,11,1) + TIME(0,0,0)</f>
        <v>40483</v>
      </c>
      <c r="C672">
        <v>80</v>
      </c>
      <c r="D672">
        <v>79.953491210999999</v>
      </c>
      <c r="E672">
        <v>50</v>
      </c>
      <c r="F672">
        <v>50.399604797000002</v>
      </c>
      <c r="G672">
        <v>1337.1568603999999</v>
      </c>
      <c r="H672">
        <v>1336.6241454999999</v>
      </c>
      <c r="I672">
        <v>1326.5701904</v>
      </c>
      <c r="J672">
        <v>1323.2602539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184.00000399999999</v>
      </c>
      <c r="B673" s="1">
        <f>DATE(2010,11,1) + TIME(0,0,0)</f>
        <v>40483</v>
      </c>
      <c r="C673">
        <v>80</v>
      </c>
      <c r="D673">
        <v>79.953384399000001</v>
      </c>
      <c r="E673">
        <v>50</v>
      </c>
      <c r="F673">
        <v>50.399684905999997</v>
      </c>
      <c r="G673">
        <v>1337.1247559000001</v>
      </c>
      <c r="H673">
        <v>1336.59375</v>
      </c>
      <c r="I673">
        <v>1326.6016846</v>
      </c>
      <c r="J673">
        <v>1323.3098144999999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184.000013</v>
      </c>
      <c r="B674" s="1">
        <f>DATE(2010,11,1) + TIME(0,0,1)</f>
        <v>40483.000011574077</v>
      </c>
      <c r="C674">
        <v>80</v>
      </c>
      <c r="D674">
        <v>79.953094481999997</v>
      </c>
      <c r="E674">
        <v>50</v>
      </c>
      <c r="F674">
        <v>50.399913787999999</v>
      </c>
      <c r="G674">
        <v>1337.0345459</v>
      </c>
      <c r="H674">
        <v>1336.5074463000001</v>
      </c>
      <c r="I674">
        <v>1326.6932373</v>
      </c>
      <c r="J674">
        <v>1323.4522704999999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184.00004000000001</v>
      </c>
      <c r="B675" s="1">
        <f>DATE(2010,11,1) + TIME(0,0,3)</f>
        <v>40483.000034722223</v>
      </c>
      <c r="C675">
        <v>80</v>
      </c>
      <c r="D675">
        <v>79.952354431000003</v>
      </c>
      <c r="E675">
        <v>50</v>
      </c>
      <c r="F675">
        <v>50.400535583</v>
      </c>
      <c r="G675">
        <v>1336.8060303</v>
      </c>
      <c r="H675">
        <v>1336.2871094</v>
      </c>
      <c r="I675">
        <v>1326.9471435999999</v>
      </c>
      <c r="J675">
        <v>1323.8297118999999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184.00012100000001</v>
      </c>
      <c r="B676" s="1">
        <f>DATE(2010,11,1) + TIME(0,0,10)</f>
        <v>40483.000115740739</v>
      </c>
      <c r="C676">
        <v>80</v>
      </c>
      <c r="D676">
        <v>79.950851439999994</v>
      </c>
      <c r="E676">
        <v>50</v>
      </c>
      <c r="F676">
        <v>50.402038574000002</v>
      </c>
      <c r="G676">
        <v>1336.3406981999999</v>
      </c>
      <c r="H676">
        <v>1335.8287353999999</v>
      </c>
      <c r="I676">
        <v>1327.5688477000001</v>
      </c>
      <c r="J676">
        <v>1324.6688231999999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184.00036399999999</v>
      </c>
      <c r="B677" s="1">
        <f>DATE(2010,11,1) + TIME(0,0,31)</f>
        <v>40483.000358796293</v>
      </c>
      <c r="C677">
        <v>80</v>
      </c>
      <c r="D677">
        <v>79.94859314</v>
      </c>
      <c r="E677">
        <v>50</v>
      </c>
      <c r="F677">
        <v>50.404022216999998</v>
      </c>
      <c r="G677">
        <v>1335.6463623</v>
      </c>
      <c r="H677">
        <v>1335.1257324000001</v>
      </c>
      <c r="I677">
        <v>1328.7631836</v>
      </c>
      <c r="J677">
        <v>1326.0258789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184.001093</v>
      </c>
      <c r="B678" s="1">
        <f>DATE(2010,11,1) + TIME(0,1,34)</f>
        <v>40483.001087962963</v>
      </c>
      <c r="C678">
        <v>80</v>
      </c>
      <c r="D678">
        <v>79.945915221999996</v>
      </c>
      <c r="E678">
        <v>50</v>
      </c>
      <c r="F678">
        <v>50.406154633</v>
      </c>
      <c r="G678">
        <v>1334.8465576000001</v>
      </c>
      <c r="H678">
        <v>1334.2999268000001</v>
      </c>
      <c r="I678">
        <v>1330.4589844</v>
      </c>
      <c r="J678">
        <v>1327.7301024999999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184.00327999999999</v>
      </c>
      <c r="B679" s="1">
        <f>DATE(2010,11,1) + TIME(0,4,43)</f>
        <v>40483.003275462965</v>
      </c>
      <c r="C679">
        <v>80</v>
      </c>
      <c r="D679">
        <v>79.942855835000003</v>
      </c>
      <c r="E679">
        <v>50</v>
      </c>
      <c r="F679">
        <v>50.407302856000001</v>
      </c>
      <c r="G679">
        <v>1334.0107422000001</v>
      </c>
      <c r="H679">
        <v>1333.4289550999999</v>
      </c>
      <c r="I679">
        <v>1332.3562012</v>
      </c>
      <c r="J679">
        <v>1329.6005858999999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184.00984099999999</v>
      </c>
      <c r="B680" s="1">
        <f>DATE(2010,11,1) + TIME(0,14,10)</f>
        <v>40483.009837962964</v>
      </c>
      <c r="C680">
        <v>80</v>
      </c>
      <c r="D680">
        <v>79.938827515</v>
      </c>
      <c r="E680">
        <v>50</v>
      </c>
      <c r="F680">
        <v>50.404796599999997</v>
      </c>
      <c r="G680">
        <v>1333.1298827999999</v>
      </c>
      <c r="H680">
        <v>1332.4985352000001</v>
      </c>
      <c r="I680">
        <v>1334.2774658000001</v>
      </c>
      <c r="J680">
        <v>1331.5131836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184.02952400000001</v>
      </c>
      <c r="B681" s="1">
        <f>DATE(2010,11,1) + TIME(0,42,30)</f>
        <v>40483.029513888891</v>
      </c>
      <c r="C681">
        <v>80</v>
      </c>
      <c r="D681">
        <v>79.931968689000001</v>
      </c>
      <c r="E681">
        <v>50</v>
      </c>
      <c r="F681">
        <v>50.391464233000001</v>
      </c>
      <c r="G681">
        <v>1332.1734618999999</v>
      </c>
      <c r="H681">
        <v>1331.4738769999999</v>
      </c>
      <c r="I681">
        <v>1336.1418457</v>
      </c>
      <c r="J681">
        <v>1333.3654785000001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184.05890099999999</v>
      </c>
      <c r="B682" s="1">
        <f>DATE(2010,11,1) + TIME(1,24,49)</f>
        <v>40483.058900462966</v>
      </c>
      <c r="C682">
        <v>80</v>
      </c>
      <c r="D682">
        <v>79.923988342000001</v>
      </c>
      <c r="E682">
        <v>50</v>
      </c>
      <c r="F682">
        <v>50.370052338000001</v>
      </c>
      <c r="G682">
        <v>1331.4959716999999</v>
      </c>
      <c r="H682">
        <v>1330.7454834</v>
      </c>
      <c r="I682">
        <v>1337.3068848</v>
      </c>
      <c r="J682">
        <v>1334.5147704999999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184.08921100000001</v>
      </c>
      <c r="B683" s="1">
        <f>DATE(2010,11,1) + TIME(2,8,27)</f>
        <v>40483.089201388888</v>
      </c>
      <c r="C683">
        <v>80</v>
      </c>
      <c r="D683">
        <v>79.916557311999995</v>
      </c>
      <c r="E683">
        <v>50</v>
      </c>
      <c r="F683">
        <v>50.348251343000001</v>
      </c>
      <c r="G683">
        <v>1331.0784911999999</v>
      </c>
      <c r="H683">
        <v>1330.2976074000001</v>
      </c>
      <c r="I683">
        <v>1337.9566649999999</v>
      </c>
      <c r="J683">
        <v>1335.1513672000001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184.12046900000001</v>
      </c>
      <c r="B684" s="1">
        <f>DATE(2010,11,1) + TIME(2,53,28)</f>
        <v>40483.120462962965</v>
      </c>
      <c r="C684">
        <v>80</v>
      </c>
      <c r="D684">
        <v>79.909309386999993</v>
      </c>
      <c r="E684">
        <v>50</v>
      </c>
      <c r="F684">
        <v>50.326606750000003</v>
      </c>
      <c r="G684">
        <v>1330.7906493999999</v>
      </c>
      <c r="H684">
        <v>1329.9906006000001</v>
      </c>
      <c r="I684">
        <v>1338.3635254000001</v>
      </c>
      <c r="J684">
        <v>1335.5511475000001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184.15269699999999</v>
      </c>
      <c r="B685" s="1">
        <f>DATE(2010,11,1) + TIME(3,39,52)</f>
        <v>40483.152685185189</v>
      </c>
      <c r="C685">
        <v>80</v>
      </c>
      <c r="D685">
        <v>79.902091979999994</v>
      </c>
      <c r="E685">
        <v>50</v>
      </c>
      <c r="F685">
        <v>50.305355071999998</v>
      </c>
      <c r="G685">
        <v>1330.5786132999999</v>
      </c>
      <c r="H685">
        <v>1329.7657471</v>
      </c>
      <c r="I685">
        <v>1338.6369629000001</v>
      </c>
      <c r="J685">
        <v>1335.8218993999999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184.18592799999999</v>
      </c>
      <c r="B686" s="1">
        <f>DATE(2010,11,1) + TIME(4,27,44)</f>
        <v>40483.185925925929</v>
      </c>
      <c r="C686">
        <v>80</v>
      </c>
      <c r="D686">
        <v>79.894828795999999</v>
      </c>
      <c r="E686">
        <v>50</v>
      </c>
      <c r="F686">
        <v>50.284629821999999</v>
      </c>
      <c r="G686">
        <v>1330.4150391000001</v>
      </c>
      <c r="H686">
        <v>1329.5930175999999</v>
      </c>
      <c r="I686">
        <v>1338.8295897999999</v>
      </c>
      <c r="J686">
        <v>1336.0147704999999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184.22011699999999</v>
      </c>
      <c r="B687" s="1">
        <f>DATE(2010,11,1) + TIME(5,16,58)</f>
        <v>40483.22011574074</v>
      </c>
      <c r="C687">
        <v>80</v>
      </c>
      <c r="D687">
        <v>79.887496948000006</v>
      </c>
      <c r="E687">
        <v>50</v>
      </c>
      <c r="F687">
        <v>50.264545441000003</v>
      </c>
      <c r="G687">
        <v>1330.2847899999999</v>
      </c>
      <c r="H687">
        <v>1329.4559326000001</v>
      </c>
      <c r="I687">
        <v>1338.9693603999999</v>
      </c>
      <c r="J687">
        <v>1336.1568603999999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184.25534200000001</v>
      </c>
      <c r="B688" s="1">
        <f>DATE(2010,11,1) + TIME(6,7,41)</f>
        <v>40483.255335648151</v>
      </c>
      <c r="C688">
        <v>80</v>
      </c>
      <c r="D688">
        <v>79.880050659000005</v>
      </c>
      <c r="E688">
        <v>50</v>
      </c>
      <c r="F688">
        <v>50.245048523000001</v>
      </c>
      <c r="G688">
        <v>1330.1782227000001</v>
      </c>
      <c r="H688">
        <v>1329.3438721</v>
      </c>
      <c r="I688">
        <v>1339.0734863</v>
      </c>
      <c r="J688">
        <v>1336.2646483999999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184.29166900000001</v>
      </c>
      <c r="B689" s="1">
        <f>DATE(2010,11,1) + TIME(7,0,0)</f>
        <v>40483.291666666664</v>
      </c>
      <c r="C689">
        <v>80</v>
      </c>
      <c r="D689">
        <v>79.872474670000003</v>
      </c>
      <c r="E689">
        <v>50</v>
      </c>
      <c r="F689">
        <v>50.226119994999998</v>
      </c>
      <c r="G689">
        <v>1330.0891113</v>
      </c>
      <c r="H689">
        <v>1329.2503661999999</v>
      </c>
      <c r="I689">
        <v>1339.1525879000001</v>
      </c>
      <c r="J689">
        <v>1336.3480225000001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184.32917699999999</v>
      </c>
      <c r="B690" s="1">
        <f>DATE(2010,11,1) + TIME(7,54,0)</f>
        <v>40483.32916666667</v>
      </c>
      <c r="C690">
        <v>80</v>
      </c>
      <c r="D690">
        <v>79.864738463999998</v>
      </c>
      <c r="E690">
        <v>50</v>
      </c>
      <c r="F690">
        <v>50.207775116000001</v>
      </c>
      <c r="G690">
        <v>1330.0134277</v>
      </c>
      <c r="H690">
        <v>1329.1708983999999</v>
      </c>
      <c r="I690">
        <v>1339.2133789</v>
      </c>
      <c r="J690">
        <v>1336.4136963000001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184.36795000000001</v>
      </c>
      <c r="B691" s="1">
        <f>DATE(2010,11,1) + TIME(8,49,50)</f>
        <v>40483.367939814816</v>
      </c>
      <c r="C691">
        <v>80</v>
      </c>
      <c r="D691">
        <v>79.856826781999999</v>
      </c>
      <c r="E691">
        <v>50</v>
      </c>
      <c r="F691">
        <v>50.190029144</v>
      </c>
      <c r="G691">
        <v>1329.9481201000001</v>
      </c>
      <c r="H691">
        <v>1329.1021728999999</v>
      </c>
      <c r="I691">
        <v>1339.2606201000001</v>
      </c>
      <c r="J691">
        <v>1336.4658202999999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184.40807000000001</v>
      </c>
      <c r="B692" s="1">
        <f>DATE(2010,11,1) + TIME(9,47,37)</f>
        <v>40483.408067129632</v>
      </c>
      <c r="C692">
        <v>80</v>
      </c>
      <c r="D692">
        <v>79.848724364999995</v>
      </c>
      <c r="E692">
        <v>50</v>
      </c>
      <c r="F692">
        <v>50.172904967999997</v>
      </c>
      <c r="G692">
        <v>1329.8911132999999</v>
      </c>
      <c r="H692">
        <v>1329.0421143000001</v>
      </c>
      <c r="I692">
        <v>1339.2976074000001</v>
      </c>
      <c r="J692">
        <v>1336.5076904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184.449669</v>
      </c>
      <c r="B693" s="1">
        <f>DATE(2010,11,1) + TIME(10,47,31)</f>
        <v>40483.449664351851</v>
      </c>
      <c r="C693">
        <v>80</v>
      </c>
      <c r="D693">
        <v>79.840393066000004</v>
      </c>
      <c r="E693">
        <v>50</v>
      </c>
      <c r="F693">
        <v>50.156394958</v>
      </c>
      <c r="G693">
        <v>1329.8408202999999</v>
      </c>
      <c r="H693">
        <v>1328.9888916</v>
      </c>
      <c r="I693">
        <v>1339.3266602000001</v>
      </c>
      <c r="J693">
        <v>1336.5413818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184.49287699999999</v>
      </c>
      <c r="B694" s="1">
        <f>DATE(2010,11,1) + TIME(11,49,44)</f>
        <v>40483.49287037037</v>
      </c>
      <c r="C694">
        <v>80</v>
      </c>
      <c r="D694">
        <v>79.831817627000007</v>
      </c>
      <c r="E694">
        <v>50</v>
      </c>
      <c r="F694">
        <v>50.140506744</v>
      </c>
      <c r="G694">
        <v>1329.7962646000001</v>
      </c>
      <c r="H694">
        <v>1328.9415283000001</v>
      </c>
      <c r="I694">
        <v>1339.3494873</v>
      </c>
      <c r="J694">
        <v>1336.5686035000001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184.537837</v>
      </c>
      <c r="B695" s="1">
        <f>DATE(2010,11,1) + TIME(12,54,29)</f>
        <v>40483.537835648145</v>
      </c>
      <c r="C695">
        <v>80</v>
      </c>
      <c r="D695">
        <v>79.822975158999995</v>
      </c>
      <c r="E695">
        <v>50</v>
      </c>
      <c r="F695">
        <v>50.125240325999997</v>
      </c>
      <c r="G695">
        <v>1329.7562256000001</v>
      </c>
      <c r="H695">
        <v>1328.8989257999999</v>
      </c>
      <c r="I695">
        <v>1339.3673096</v>
      </c>
      <c r="J695">
        <v>1336.5906981999999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184.58471700000001</v>
      </c>
      <c r="B696" s="1">
        <f>DATE(2010,11,1) + TIME(14,1,59)</f>
        <v>40483.584710648145</v>
      </c>
      <c r="C696">
        <v>80</v>
      </c>
      <c r="D696">
        <v>79.813835143999995</v>
      </c>
      <c r="E696">
        <v>50</v>
      </c>
      <c r="F696">
        <v>50.110599518000001</v>
      </c>
      <c r="G696">
        <v>1329.7202147999999</v>
      </c>
      <c r="H696">
        <v>1328.8603516000001</v>
      </c>
      <c r="I696">
        <v>1339.3813477000001</v>
      </c>
      <c r="J696">
        <v>1336.6083983999999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184.633692</v>
      </c>
      <c r="B697" s="1">
        <f>DATE(2010,11,1) + TIME(15,12,31)</f>
        <v>40483.633692129632</v>
      </c>
      <c r="C697">
        <v>80</v>
      </c>
      <c r="D697">
        <v>79.804367064999994</v>
      </c>
      <c r="E697">
        <v>50</v>
      </c>
      <c r="F697">
        <v>50.096591949</v>
      </c>
      <c r="G697">
        <v>1329.6876221</v>
      </c>
      <c r="H697">
        <v>1328.8251952999999</v>
      </c>
      <c r="I697">
        <v>1339.3922118999999</v>
      </c>
      <c r="J697">
        <v>1336.6226807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184.68499199999999</v>
      </c>
      <c r="B698" s="1">
        <f>DATE(2010,11,1) + TIME(16,26,23)</f>
        <v>40483.684988425928</v>
      </c>
      <c r="C698">
        <v>80</v>
      </c>
      <c r="D698">
        <v>79.794532775999997</v>
      </c>
      <c r="E698">
        <v>50</v>
      </c>
      <c r="F698">
        <v>50.083221436000002</v>
      </c>
      <c r="G698">
        <v>1329.6579589999999</v>
      </c>
      <c r="H698">
        <v>1328.7929687999999</v>
      </c>
      <c r="I698">
        <v>1339.4005127</v>
      </c>
      <c r="J698">
        <v>1336.6339111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184.73886899999999</v>
      </c>
      <c r="B699" s="1">
        <f>DATE(2010,11,1) + TIME(17,43,58)</f>
        <v>40483.738865740743</v>
      </c>
      <c r="C699">
        <v>80</v>
      </c>
      <c r="D699">
        <v>79.784301757999998</v>
      </c>
      <c r="E699">
        <v>50</v>
      </c>
      <c r="F699">
        <v>50.070484161000003</v>
      </c>
      <c r="G699">
        <v>1329.6307373</v>
      </c>
      <c r="H699">
        <v>1328.7631836</v>
      </c>
      <c r="I699">
        <v>1339.4068603999999</v>
      </c>
      <c r="J699">
        <v>1336.6429443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184.79561799999999</v>
      </c>
      <c r="B700" s="1">
        <f>DATE(2010,11,1) + TIME(19,5,41)</f>
        <v>40483.795613425929</v>
      </c>
      <c r="C700">
        <v>80</v>
      </c>
      <c r="D700">
        <v>79.773620605000005</v>
      </c>
      <c r="E700">
        <v>50</v>
      </c>
      <c r="F700">
        <v>50.058391571000001</v>
      </c>
      <c r="G700">
        <v>1329.6057129000001</v>
      </c>
      <c r="H700">
        <v>1328.7355957</v>
      </c>
      <c r="I700">
        <v>1339.4117432</v>
      </c>
      <c r="J700">
        <v>1336.6499022999999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184.85558599999999</v>
      </c>
      <c r="B701" s="1">
        <f>DATE(2010,11,1) + TIME(20,32,2)</f>
        <v>40483.855578703704</v>
      </c>
      <c r="C701">
        <v>80</v>
      </c>
      <c r="D701">
        <v>79.762443542</v>
      </c>
      <c r="E701">
        <v>50</v>
      </c>
      <c r="F701">
        <v>50.046947479000004</v>
      </c>
      <c r="G701">
        <v>1329.5825195</v>
      </c>
      <c r="H701">
        <v>1328.7098389</v>
      </c>
      <c r="I701">
        <v>1339.4152832</v>
      </c>
      <c r="J701">
        <v>1336.6552733999999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184.91918699999999</v>
      </c>
      <c r="B702" s="1">
        <f>DATE(2010,11,1) + TIME(22,3,37)</f>
        <v>40483.919178240743</v>
      </c>
      <c r="C702">
        <v>80</v>
      </c>
      <c r="D702">
        <v>79.750701903999996</v>
      </c>
      <c r="E702">
        <v>50</v>
      </c>
      <c r="F702">
        <v>50.036155700999998</v>
      </c>
      <c r="G702">
        <v>1329.5610352000001</v>
      </c>
      <c r="H702">
        <v>1328.6857910000001</v>
      </c>
      <c r="I702">
        <v>1339.4180908000001</v>
      </c>
      <c r="J702">
        <v>1336.6594238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184.98691500000001</v>
      </c>
      <c r="B703" s="1">
        <f>DATE(2010,11,1) + TIME(23,41,9)</f>
        <v>40483.986909722225</v>
      </c>
      <c r="C703">
        <v>80</v>
      </c>
      <c r="D703">
        <v>79.738319396999998</v>
      </c>
      <c r="E703">
        <v>50</v>
      </c>
      <c r="F703">
        <v>50.02602005</v>
      </c>
      <c r="G703">
        <v>1329.5408935999999</v>
      </c>
      <c r="H703">
        <v>1328.6629639</v>
      </c>
      <c r="I703">
        <v>1339.4201660000001</v>
      </c>
      <c r="J703">
        <v>1336.6624756000001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185.059371</v>
      </c>
      <c r="B704" s="1">
        <f>DATE(2010,11,2) + TIME(1,25,29)</f>
        <v>40484.059363425928</v>
      </c>
      <c r="C704">
        <v>80</v>
      </c>
      <c r="D704">
        <v>79.725212096999996</v>
      </c>
      <c r="E704">
        <v>50</v>
      </c>
      <c r="F704">
        <v>50.016551970999998</v>
      </c>
      <c r="G704">
        <v>1329.5219727000001</v>
      </c>
      <c r="H704">
        <v>1328.6413574000001</v>
      </c>
      <c r="I704">
        <v>1339.4217529</v>
      </c>
      <c r="J704">
        <v>1336.6647949000001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185.137292</v>
      </c>
      <c r="B705" s="1">
        <f>DATE(2010,11,2) + TIME(3,17,42)</f>
        <v>40484.137291666666</v>
      </c>
      <c r="C705">
        <v>80</v>
      </c>
      <c r="D705">
        <v>79.711265564000001</v>
      </c>
      <c r="E705">
        <v>50</v>
      </c>
      <c r="F705">
        <v>50.007755279999998</v>
      </c>
      <c r="G705">
        <v>1329.5041504000001</v>
      </c>
      <c r="H705">
        <v>1328.6206055</v>
      </c>
      <c r="I705">
        <v>1339.4229736</v>
      </c>
      <c r="J705">
        <v>1336.6665039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185.22159600000001</v>
      </c>
      <c r="B706" s="1">
        <f>DATE(2010,11,2) + TIME(5,19,5)</f>
        <v>40484.221585648149</v>
      </c>
      <c r="C706">
        <v>80</v>
      </c>
      <c r="D706">
        <v>79.696357727000006</v>
      </c>
      <c r="E706">
        <v>50</v>
      </c>
      <c r="F706">
        <v>49.999645233000003</v>
      </c>
      <c r="G706">
        <v>1329.4871826000001</v>
      </c>
      <c r="H706">
        <v>1328.6007079999999</v>
      </c>
      <c r="I706">
        <v>1339.4240723</v>
      </c>
      <c r="J706">
        <v>1336.6677245999999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185.31343899999999</v>
      </c>
      <c r="B707" s="1">
        <f>DATE(2010,11,2) + TIME(7,31,21)</f>
        <v>40484.313437500001</v>
      </c>
      <c r="C707">
        <v>80</v>
      </c>
      <c r="D707">
        <v>79.680320739999999</v>
      </c>
      <c r="E707">
        <v>50</v>
      </c>
      <c r="F707">
        <v>49.992225646999998</v>
      </c>
      <c r="G707">
        <v>1329.4708252</v>
      </c>
      <c r="H707">
        <v>1328.5812988</v>
      </c>
      <c r="I707">
        <v>1339.4250488</v>
      </c>
      <c r="J707">
        <v>1336.6685791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185.414309</v>
      </c>
      <c r="B708" s="1">
        <f>DATE(2010,11,2) + TIME(9,56,36)</f>
        <v>40484.414305555554</v>
      </c>
      <c r="C708">
        <v>80</v>
      </c>
      <c r="D708">
        <v>79.662940978999998</v>
      </c>
      <c r="E708">
        <v>50</v>
      </c>
      <c r="F708">
        <v>49.985507964999996</v>
      </c>
      <c r="G708">
        <v>1329.4550781</v>
      </c>
      <c r="H708">
        <v>1328.5622559000001</v>
      </c>
      <c r="I708">
        <v>1339.4259033000001</v>
      </c>
      <c r="J708">
        <v>1336.6690673999999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185.526194</v>
      </c>
      <c r="B709" s="1">
        <f>DATE(2010,11,2) + TIME(12,37,43)</f>
        <v>40484.526192129626</v>
      </c>
      <c r="C709">
        <v>80</v>
      </c>
      <c r="D709">
        <v>79.643951415999993</v>
      </c>
      <c r="E709">
        <v>50</v>
      </c>
      <c r="F709">
        <v>49.979503631999997</v>
      </c>
      <c r="G709">
        <v>1329.4396973</v>
      </c>
      <c r="H709">
        <v>1328.543457</v>
      </c>
      <c r="I709">
        <v>1339.4265137</v>
      </c>
      <c r="J709">
        <v>1336.6693115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185.64008200000001</v>
      </c>
      <c r="B710" s="1">
        <f>DATE(2010,11,2) + TIME(15,21,43)</f>
        <v>40484.640081018515</v>
      </c>
      <c r="C710">
        <v>80</v>
      </c>
      <c r="D710">
        <v>79.624755859000004</v>
      </c>
      <c r="E710">
        <v>50</v>
      </c>
      <c r="F710">
        <v>49.974624634000001</v>
      </c>
      <c r="G710">
        <v>1329.425293</v>
      </c>
      <c r="H710">
        <v>1328.5253906</v>
      </c>
      <c r="I710">
        <v>1339.4300536999999</v>
      </c>
      <c r="J710">
        <v>1336.6712646000001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185.754288</v>
      </c>
      <c r="B711" s="1">
        <f>DATE(2010,11,2) + TIME(18,6,10)</f>
        <v>40484.754282407404</v>
      </c>
      <c r="C711">
        <v>80</v>
      </c>
      <c r="D711">
        <v>79.605606078999998</v>
      </c>
      <c r="E711">
        <v>50</v>
      </c>
      <c r="F711">
        <v>49.970737456999998</v>
      </c>
      <c r="G711">
        <v>1329.4119873</v>
      </c>
      <c r="H711">
        <v>1328.5085449000001</v>
      </c>
      <c r="I711">
        <v>1339.4332274999999</v>
      </c>
      <c r="J711">
        <v>1336.6729736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185.869573</v>
      </c>
      <c r="B712" s="1">
        <f>DATE(2010,11,2) + TIME(20,52,11)</f>
        <v>40484.869571759256</v>
      </c>
      <c r="C712">
        <v>80</v>
      </c>
      <c r="D712">
        <v>79.586387634000005</v>
      </c>
      <c r="E712">
        <v>50</v>
      </c>
      <c r="F712">
        <v>49.967643738</v>
      </c>
      <c r="G712">
        <v>1329.3996582</v>
      </c>
      <c r="H712">
        <v>1328.4926757999999</v>
      </c>
      <c r="I712">
        <v>1339.4353027</v>
      </c>
      <c r="J712">
        <v>1336.6738281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185.986482</v>
      </c>
      <c r="B713" s="1">
        <f>DATE(2010,11,2) + TIME(23,40,32)</f>
        <v>40484.986481481479</v>
      </c>
      <c r="C713">
        <v>80</v>
      </c>
      <c r="D713">
        <v>79.567016601999995</v>
      </c>
      <c r="E713">
        <v>50</v>
      </c>
      <c r="F713">
        <v>49.965190886999999</v>
      </c>
      <c r="G713">
        <v>1329.3880615</v>
      </c>
      <c r="H713">
        <v>1328.4777832</v>
      </c>
      <c r="I713">
        <v>1339.4364014</v>
      </c>
      <c r="J713">
        <v>1336.6741943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186.10557</v>
      </c>
      <c r="B714" s="1">
        <f>DATE(2010,11,3) + TIME(2,32,1)</f>
        <v>40485.105567129627</v>
      </c>
      <c r="C714">
        <v>80</v>
      </c>
      <c r="D714">
        <v>79.547409058</v>
      </c>
      <c r="E714">
        <v>50</v>
      </c>
      <c r="F714">
        <v>49.963260650999999</v>
      </c>
      <c r="G714">
        <v>1329.3770752</v>
      </c>
      <c r="H714">
        <v>1328.4633789</v>
      </c>
      <c r="I714">
        <v>1339.4365233999999</v>
      </c>
      <c r="J714">
        <v>1336.6738281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186.22739100000001</v>
      </c>
      <c r="B715" s="1">
        <f>DATE(2010,11,3) + TIME(5,27,26)</f>
        <v>40485.227384259262</v>
      </c>
      <c r="C715">
        <v>80</v>
      </c>
      <c r="D715">
        <v>79.527488708000007</v>
      </c>
      <c r="E715">
        <v>50</v>
      </c>
      <c r="F715">
        <v>49.961761475000003</v>
      </c>
      <c r="G715">
        <v>1329.3665771000001</v>
      </c>
      <c r="H715">
        <v>1328.4493408000001</v>
      </c>
      <c r="I715">
        <v>1339.4356689000001</v>
      </c>
      <c r="J715">
        <v>1336.6728516000001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186.352518</v>
      </c>
      <c r="B716" s="1">
        <f>DATE(2010,11,3) + TIME(8,27,37)</f>
        <v>40485.352511574078</v>
      </c>
      <c r="C716">
        <v>80</v>
      </c>
      <c r="D716">
        <v>79.507164001000007</v>
      </c>
      <c r="E716">
        <v>50</v>
      </c>
      <c r="F716">
        <v>49.960609435999999</v>
      </c>
      <c r="G716">
        <v>1329.3563231999999</v>
      </c>
      <c r="H716">
        <v>1328.4356689000001</v>
      </c>
      <c r="I716">
        <v>1339.4339600000001</v>
      </c>
      <c r="J716">
        <v>1336.6712646000001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186.48159200000001</v>
      </c>
      <c r="B717" s="1">
        <f>DATE(2010,11,3) + TIME(11,33,29)</f>
        <v>40485.481585648151</v>
      </c>
      <c r="C717">
        <v>80</v>
      </c>
      <c r="D717">
        <v>79.486351013000004</v>
      </c>
      <c r="E717">
        <v>50</v>
      </c>
      <c r="F717">
        <v>49.959747313999998</v>
      </c>
      <c r="G717">
        <v>1329.3461914</v>
      </c>
      <c r="H717">
        <v>1328.4222411999999</v>
      </c>
      <c r="I717">
        <v>1339.4313964999999</v>
      </c>
      <c r="J717">
        <v>1336.6690673999999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186.61529300000001</v>
      </c>
      <c r="B718" s="1">
        <f>DATE(2010,11,3) + TIME(14,46,1)</f>
        <v>40485.615289351852</v>
      </c>
      <c r="C718">
        <v>80</v>
      </c>
      <c r="D718">
        <v>79.464950561999999</v>
      </c>
      <c r="E718">
        <v>50</v>
      </c>
      <c r="F718">
        <v>49.959121703999998</v>
      </c>
      <c r="G718">
        <v>1329.3363036999999</v>
      </c>
      <c r="H718">
        <v>1328.4088135</v>
      </c>
      <c r="I718">
        <v>1339.4278564000001</v>
      </c>
      <c r="J718">
        <v>1336.6662598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186.75438</v>
      </c>
      <c r="B719" s="1">
        <f>DATE(2010,11,3) + TIME(18,6,18)</f>
        <v>40485.754374999997</v>
      </c>
      <c r="C719">
        <v>80</v>
      </c>
      <c r="D719">
        <v>79.442863463999998</v>
      </c>
      <c r="E719">
        <v>50</v>
      </c>
      <c r="F719">
        <v>49.958686829000001</v>
      </c>
      <c r="G719">
        <v>1329.3264160000001</v>
      </c>
      <c r="H719">
        <v>1328.3953856999999</v>
      </c>
      <c r="I719">
        <v>1339.4235839999999</v>
      </c>
      <c r="J719">
        <v>1336.6627197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186.89971399999999</v>
      </c>
      <c r="B720" s="1">
        <f>DATE(2010,11,3) + TIME(21,35,35)</f>
        <v>40485.899710648147</v>
      </c>
      <c r="C720">
        <v>80</v>
      </c>
      <c r="D720">
        <v>79.419975281000006</v>
      </c>
      <c r="E720">
        <v>50</v>
      </c>
      <c r="F720">
        <v>49.958408356</v>
      </c>
      <c r="G720">
        <v>1329.3164062000001</v>
      </c>
      <c r="H720">
        <v>1328.3818358999999</v>
      </c>
      <c r="I720">
        <v>1339.4183350000001</v>
      </c>
      <c r="J720">
        <v>1336.6586914</v>
      </c>
      <c r="K720">
        <v>0</v>
      </c>
      <c r="L720">
        <v>2400</v>
      </c>
      <c r="M720">
        <v>2400</v>
      </c>
      <c r="N720">
        <v>0</v>
      </c>
    </row>
    <row r="721" spans="1:14" x14ac:dyDescent="0.25">
      <c r="A721">
        <v>187.052301</v>
      </c>
      <c r="B721" s="1">
        <f>DATE(2010,11,4) + TIME(1,15,18)</f>
        <v>40486.052291666667</v>
      </c>
      <c r="C721">
        <v>80</v>
      </c>
      <c r="D721">
        <v>79.396148682000003</v>
      </c>
      <c r="E721">
        <v>50</v>
      </c>
      <c r="F721">
        <v>49.958255768000001</v>
      </c>
      <c r="G721">
        <v>1329.3063964999999</v>
      </c>
      <c r="H721">
        <v>1328.3680420000001</v>
      </c>
      <c r="I721">
        <v>1339.4121094</v>
      </c>
      <c r="J721">
        <v>1336.6540527</v>
      </c>
      <c r="K721">
        <v>0</v>
      </c>
      <c r="L721">
        <v>2400</v>
      </c>
      <c r="M721">
        <v>2400</v>
      </c>
      <c r="N721">
        <v>0</v>
      </c>
    </row>
    <row r="722" spans="1:14" x14ac:dyDescent="0.25">
      <c r="A722">
        <v>187.21266700000001</v>
      </c>
      <c r="B722" s="1">
        <f>DATE(2010,11,4) + TIME(5,6,14)</f>
        <v>40486.21266203704</v>
      </c>
      <c r="C722">
        <v>80</v>
      </c>
      <c r="D722">
        <v>79.371322632000002</v>
      </c>
      <c r="E722">
        <v>50</v>
      </c>
      <c r="F722">
        <v>49.958209990999997</v>
      </c>
      <c r="G722">
        <v>1329.2960204999999</v>
      </c>
      <c r="H722">
        <v>1328.3540039</v>
      </c>
      <c r="I722">
        <v>1339.4051514</v>
      </c>
      <c r="J722">
        <v>1336.6488036999999</v>
      </c>
      <c r="K722">
        <v>0</v>
      </c>
      <c r="L722">
        <v>2400</v>
      </c>
      <c r="M722">
        <v>2400</v>
      </c>
      <c r="N722">
        <v>0</v>
      </c>
    </row>
    <row r="723" spans="1:14" x14ac:dyDescent="0.25">
      <c r="A723">
        <v>187.38135399999999</v>
      </c>
      <c r="B723" s="1">
        <f>DATE(2010,11,4) + TIME(9,9,8)</f>
        <v>40486.381342592591</v>
      </c>
      <c r="C723">
        <v>80</v>
      </c>
      <c r="D723">
        <v>79.345436096</v>
      </c>
      <c r="E723">
        <v>50</v>
      </c>
      <c r="F723">
        <v>49.958236694</v>
      </c>
      <c r="G723">
        <v>1329.2855225000001</v>
      </c>
      <c r="H723">
        <v>1328.3394774999999</v>
      </c>
      <c r="I723">
        <v>1339.3972168</v>
      </c>
      <c r="J723">
        <v>1336.6428223</v>
      </c>
      <c r="K723">
        <v>0</v>
      </c>
      <c r="L723">
        <v>2400</v>
      </c>
      <c r="M723">
        <v>2400</v>
      </c>
      <c r="N723">
        <v>0</v>
      </c>
    </row>
    <row r="724" spans="1:14" x14ac:dyDescent="0.25">
      <c r="A724">
        <v>187.55971400000001</v>
      </c>
      <c r="B724" s="1">
        <f>DATE(2010,11,4) + TIME(13,25,59)</f>
        <v>40486.559710648151</v>
      </c>
      <c r="C724">
        <v>80</v>
      </c>
      <c r="D724">
        <v>79.318313599000007</v>
      </c>
      <c r="E724">
        <v>50</v>
      </c>
      <c r="F724">
        <v>49.958328246999997</v>
      </c>
      <c r="G724">
        <v>1329.2746582</v>
      </c>
      <c r="H724">
        <v>1328.3245850000001</v>
      </c>
      <c r="I724">
        <v>1339.3885498</v>
      </c>
      <c r="J724">
        <v>1336.6363524999999</v>
      </c>
      <c r="K724">
        <v>0</v>
      </c>
      <c r="L724">
        <v>2400</v>
      </c>
      <c r="M724">
        <v>2400</v>
      </c>
      <c r="N724">
        <v>0</v>
      </c>
    </row>
    <row r="725" spans="1:14" x14ac:dyDescent="0.25">
      <c r="A725">
        <v>187.74932899999999</v>
      </c>
      <c r="B725" s="1">
        <f>DATE(2010,11,4) + TIME(17,59,2)</f>
        <v>40486.749328703707</v>
      </c>
      <c r="C725">
        <v>80</v>
      </c>
      <c r="D725">
        <v>79.289756775000001</v>
      </c>
      <c r="E725">
        <v>50</v>
      </c>
      <c r="F725">
        <v>49.958465576000002</v>
      </c>
      <c r="G725">
        <v>1329.2634277</v>
      </c>
      <c r="H725">
        <v>1328.3092041</v>
      </c>
      <c r="I725">
        <v>1339.3789062000001</v>
      </c>
      <c r="J725">
        <v>1336.6291504000001</v>
      </c>
      <c r="K725">
        <v>0</v>
      </c>
      <c r="L725">
        <v>2400</v>
      </c>
      <c r="M725">
        <v>2400</v>
      </c>
      <c r="N725">
        <v>0</v>
      </c>
    </row>
    <row r="726" spans="1:14" x14ac:dyDescent="0.25">
      <c r="A726">
        <v>187.95193599999999</v>
      </c>
      <c r="B726" s="1">
        <f>DATE(2010,11,4) + TIME(22,50,47)</f>
        <v>40486.951932870368</v>
      </c>
      <c r="C726">
        <v>80</v>
      </c>
      <c r="D726">
        <v>79.259567261000001</v>
      </c>
      <c r="E726">
        <v>50</v>
      </c>
      <c r="F726">
        <v>49.958633423000002</v>
      </c>
      <c r="G726">
        <v>1329.2517089999999</v>
      </c>
      <c r="H726">
        <v>1328.2930908000001</v>
      </c>
      <c r="I726">
        <v>1339.3682861</v>
      </c>
      <c r="J726">
        <v>1336.6213379000001</v>
      </c>
      <c r="K726">
        <v>0</v>
      </c>
      <c r="L726">
        <v>2400</v>
      </c>
      <c r="M726">
        <v>2400</v>
      </c>
      <c r="N726">
        <v>0</v>
      </c>
    </row>
    <row r="727" spans="1:14" x14ac:dyDescent="0.25">
      <c r="A727">
        <v>188.1669</v>
      </c>
      <c r="B727" s="1">
        <f>DATE(2010,11,5) + TIME(4,0,20)</f>
        <v>40487.166898148149</v>
      </c>
      <c r="C727">
        <v>80</v>
      </c>
      <c r="D727">
        <v>79.227821349999999</v>
      </c>
      <c r="E727">
        <v>50</v>
      </c>
      <c r="F727">
        <v>49.958820342999999</v>
      </c>
      <c r="G727">
        <v>1329.2393798999999</v>
      </c>
      <c r="H727">
        <v>1328.2762451000001</v>
      </c>
      <c r="I727">
        <v>1339.3568115</v>
      </c>
      <c r="J727">
        <v>1336.6129149999999</v>
      </c>
      <c r="K727">
        <v>0</v>
      </c>
      <c r="L727">
        <v>2400</v>
      </c>
      <c r="M727">
        <v>2400</v>
      </c>
      <c r="N727">
        <v>0</v>
      </c>
    </row>
    <row r="728" spans="1:14" x14ac:dyDescent="0.25">
      <c r="A728">
        <v>188.39158800000001</v>
      </c>
      <c r="B728" s="1">
        <f>DATE(2010,11,5) + TIME(9,23,53)</f>
        <v>40487.391585648147</v>
      </c>
      <c r="C728">
        <v>80</v>
      </c>
      <c r="D728">
        <v>79.194839478000006</v>
      </c>
      <c r="E728">
        <v>50</v>
      </c>
      <c r="F728">
        <v>49.959011078000003</v>
      </c>
      <c r="G728">
        <v>1329.2265625</v>
      </c>
      <c r="H728">
        <v>1328.2586670000001</v>
      </c>
      <c r="I728">
        <v>1339.3446045000001</v>
      </c>
      <c r="J728">
        <v>1336.6038818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188.61751899999999</v>
      </c>
      <c r="B729" s="1">
        <f>DATE(2010,11,5) + TIME(14,49,13)</f>
        <v>40487.617511574077</v>
      </c>
      <c r="C729">
        <v>80</v>
      </c>
      <c r="D729">
        <v>79.161651610999996</v>
      </c>
      <c r="E729">
        <v>50</v>
      </c>
      <c r="F729">
        <v>49.959194183000001</v>
      </c>
      <c r="G729">
        <v>1329.213501</v>
      </c>
      <c r="H729">
        <v>1328.2407227000001</v>
      </c>
      <c r="I729">
        <v>1339.3319091999999</v>
      </c>
      <c r="J729">
        <v>1336.5944824000001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188.84603799999999</v>
      </c>
      <c r="B730" s="1">
        <f>DATE(2010,11,5) + TIME(20,18,17)</f>
        <v>40487.846030092594</v>
      </c>
      <c r="C730">
        <v>80</v>
      </c>
      <c r="D730">
        <v>79.128128051999994</v>
      </c>
      <c r="E730">
        <v>50</v>
      </c>
      <c r="F730">
        <v>49.959369658999996</v>
      </c>
      <c r="G730">
        <v>1329.2003173999999</v>
      </c>
      <c r="H730">
        <v>1328.2226562000001</v>
      </c>
      <c r="I730">
        <v>1339.3192139</v>
      </c>
      <c r="J730">
        <v>1336.5850829999999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189.07847699999999</v>
      </c>
      <c r="B731" s="1">
        <f>DATE(2010,11,6) + TIME(1,53,0)</f>
        <v>40488.078472222223</v>
      </c>
      <c r="C731">
        <v>80</v>
      </c>
      <c r="D731">
        <v>79.094139099000003</v>
      </c>
      <c r="E731">
        <v>50</v>
      </c>
      <c r="F731">
        <v>49.959526062000002</v>
      </c>
      <c r="G731">
        <v>1329.1871338000001</v>
      </c>
      <c r="H731">
        <v>1328.2045897999999</v>
      </c>
      <c r="I731">
        <v>1339.3063964999999</v>
      </c>
      <c r="J731">
        <v>1336.5756836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189.31612899999999</v>
      </c>
      <c r="B732" s="1">
        <f>DATE(2010,11,6) + TIME(7,35,13)</f>
        <v>40488.316122685188</v>
      </c>
      <c r="C732">
        <v>80</v>
      </c>
      <c r="D732">
        <v>79.059555054</v>
      </c>
      <c r="E732">
        <v>50</v>
      </c>
      <c r="F732">
        <v>49.959671020999998</v>
      </c>
      <c r="G732">
        <v>1329.1738281</v>
      </c>
      <c r="H732">
        <v>1328.1864014</v>
      </c>
      <c r="I732">
        <v>1339.2935791</v>
      </c>
      <c r="J732">
        <v>1336.5661620999999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189.56037000000001</v>
      </c>
      <c r="B733" s="1">
        <f>DATE(2010,11,6) + TIME(13,26,55)</f>
        <v>40488.560358796298</v>
      </c>
      <c r="C733">
        <v>80</v>
      </c>
      <c r="D733">
        <v>79.024223328000005</v>
      </c>
      <c r="E733">
        <v>50</v>
      </c>
      <c r="F733">
        <v>49.959800719999997</v>
      </c>
      <c r="G733">
        <v>1329.1602783000001</v>
      </c>
      <c r="H733">
        <v>1328.1679687999999</v>
      </c>
      <c r="I733">
        <v>1339.2807617000001</v>
      </c>
      <c r="J733">
        <v>1336.5566406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189.81157400000001</v>
      </c>
      <c r="B734" s="1">
        <f>DATE(2010,11,6) + TIME(19,28,39)</f>
        <v>40488.811562499999</v>
      </c>
      <c r="C734">
        <v>80</v>
      </c>
      <c r="D734">
        <v>78.988121032999999</v>
      </c>
      <c r="E734">
        <v>50</v>
      </c>
      <c r="F734">
        <v>49.959918975999997</v>
      </c>
      <c r="G734">
        <v>1329.1466064000001</v>
      </c>
      <c r="H734">
        <v>1328.1491699000001</v>
      </c>
      <c r="I734">
        <v>1339.2678223</v>
      </c>
      <c r="J734">
        <v>1336.5471190999999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190.068893</v>
      </c>
      <c r="B735" s="1">
        <f>DATE(2010,11,7) + TIME(1,39,12)</f>
        <v>40489.068888888891</v>
      </c>
      <c r="C735">
        <v>80</v>
      </c>
      <c r="D735">
        <v>78.951347350999995</v>
      </c>
      <c r="E735">
        <v>50</v>
      </c>
      <c r="F735">
        <v>49.960025786999999</v>
      </c>
      <c r="G735">
        <v>1329.1326904</v>
      </c>
      <c r="H735">
        <v>1328.1301269999999</v>
      </c>
      <c r="I735">
        <v>1339.2547606999999</v>
      </c>
      <c r="J735">
        <v>1336.5375977000001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190.333665</v>
      </c>
      <c r="B736" s="1">
        <f>DATE(2010,11,7) + TIME(8,0,28)</f>
        <v>40489.333657407406</v>
      </c>
      <c r="C736">
        <v>80</v>
      </c>
      <c r="D736">
        <v>78.913764954000001</v>
      </c>
      <c r="E736">
        <v>50</v>
      </c>
      <c r="F736">
        <v>49.960117339999996</v>
      </c>
      <c r="G736">
        <v>1329.1184082</v>
      </c>
      <c r="H736">
        <v>1328.1108397999999</v>
      </c>
      <c r="I736">
        <v>1339.2418213000001</v>
      </c>
      <c r="J736">
        <v>1336.5279541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190.60729699999999</v>
      </c>
      <c r="B737" s="1">
        <f>DATE(2010,11,7) + TIME(14,34,30)</f>
        <v>40489.607291666667</v>
      </c>
      <c r="C737">
        <v>80</v>
      </c>
      <c r="D737">
        <v>78.875221252000003</v>
      </c>
      <c r="E737">
        <v>50</v>
      </c>
      <c r="F737">
        <v>49.960197448999999</v>
      </c>
      <c r="G737">
        <v>1329.1040039</v>
      </c>
      <c r="H737">
        <v>1328.0910644999999</v>
      </c>
      <c r="I737">
        <v>1339.2288818</v>
      </c>
      <c r="J737">
        <v>1336.5184326000001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190.89135899999999</v>
      </c>
      <c r="B738" s="1">
        <f>DATE(2010,11,7) + TIME(21,23,33)</f>
        <v>40489.89135416667</v>
      </c>
      <c r="C738">
        <v>80</v>
      </c>
      <c r="D738">
        <v>78.835563660000005</v>
      </c>
      <c r="E738">
        <v>50</v>
      </c>
      <c r="F738">
        <v>49.960266113000003</v>
      </c>
      <c r="G738">
        <v>1329.0892334</v>
      </c>
      <c r="H738">
        <v>1328.0708007999999</v>
      </c>
      <c r="I738">
        <v>1339.2159423999999</v>
      </c>
      <c r="J738">
        <v>1336.5089111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191.18770799999999</v>
      </c>
      <c r="B739" s="1">
        <f>DATE(2010,11,8) + TIME(4,30,17)</f>
        <v>40490.187696759262</v>
      </c>
      <c r="C739">
        <v>80</v>
      </c>
      <c r="D739">
        <v>78.794593810999999</v>
      </c>
      <c r="E739">
        <v>50</v>
      </c>
      <c r="F739">
        <v>49.960327147999998</v>
      </c>
      <c r="G739">
        <v>1329.0739745999999</v>
      </c>
      <c r="H739">
        <v>1328.0500488</v>
      </c>
      <c r="I739">
        <v>1339.2028809000001</v>
      </c>
      <c r="J739">
        <v>1336.4992675999999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191.49847800000001</v>
      </c>
      <c r="B740" s="1">
        <f>DATE(2010,11,8) + TIME(11,57,48)</f>
        <v>40490.498472222222</v>
      </c>
      <c r="C740">
        <v>80</v>
      </c>
      <c r="D740">
        <v>78.752082825000002</v>
      </c>
      <c r="E740">
        <v>50</v>
      </c>
      <c r="F740">
        <v>49.960376740000001</v>
      </c>
      <c r="G740">
        <v>1329.0582274999999</v>
      </c>
      <c r="H740">
        <v>1328.0286865</v>
      </c>
      <c r="I740">
        <v>1339.1895752</v>
      </c>
      <c r="J740">
        <v>1336.4895019999999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191.822419</v>
      </c>
      <c r="B741" s="1">
        <f>DATE(2010,11,8) + TIME(19,44,16)</f>
        <v>40490.82240740741</v>
      </c>
      <c r="C741">
        <v>80</v>
      </c>
      <c r="D741">
        <v>78.708152771000002</v>
      </c>
      <c r="E741">
        <v>50</v>
      </c>
      <c r="F741">
        <v>49.960418701000002</v>
      </c>
      <c r="G741">
        <v>1329.0419922000001</v>
      </c>
      <c r="H741">
        <v>1328.0064697</v>
      </c>
      <c r="I741">
        <v>1339.1762695</v>
      </c>
      <c r="J741">
        <v>1336.4797363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192.161632</v>
      </c>
      <c r="B742" s="1">
        <f>DATE(2010,11,9) + TIME(3,52,44)</f>
        <v>40491.161620370367</v>
      </c>
      <c r="C742">
        <v>80</v>
      </c>
      <c r="D742">
        <v>78.662597656000003</v>
      </c>
      <c r="E742">
        <v>50</v>
      </c>
      <c r="F742">
        <v>49.960453033</v>
      </c>
      <c r="G742">
        <v>1329.0251464999999</v>
      </c>
      <c r="H742">
        <v>1327.9836425999999</v>
      </c>
      <c r="I742">
        <v>1339.1628418</v>
      </c>
      <c r="J742">
        <v>1336.4698486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192.51320200000001</v>
      </c>
      <c r="B743" s="1">
        <f>DATE(2010,11,9) + TIME(12,19,0)</f>
        <v>40491.513194444444</v>
      </c>
      <c r="C743">
        <v>80</v>
      </c>
      <c r="D743">
        <v>78.615715026999993</v>
      </c>
      <c r="E743">
        <v>50</v>
      </c>
      <c r="F743">
        <v>49.960479736000003</v>
      </c>
      <c r="G743">
        <v>1329.0076904</v>
      </c>
      <c r="H743">
        <v>1327.9599608999999</v>
      </c>
      <c r="I743">
        <v>1339.1492920000001</v>
      </c>
      <c r="J743">
        <v>1336.4598389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192.87186700000001</v>
      </c>
      <c r="B744" s="1">
        <f>DATE(2010,11,9) + TIME(20,55,29)</f>
        <v>40491.871863425928</v>
      </c>
      <c r="C744">
        <v>80</v>
      </c>
      <c r="D744">
        <v>78.568016052000004</v>
      </c>
      <c r="E744">
        <v>50</v>
      </c>
      <c r="F744">
        <v>49.960494994999998</v>
      </c>
      <c r="G744">
        <v>1328.9897461</v>
      </c>
      <c r="H744">
        <v>1327.9356689000001</v>
      </c>
      <c r="I744">
        <v>1339.1357422000001</v>
      </c>
      <c r="J744">
        <v>1336.4498291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193.234858</v>
      </c>
      <c r="B745" s="1">
        <f>DATE(2010,11,10) + TIME(5,38,11)</f>
        <v>40492.234849537039</v>
      </c>
      <c r="C745">
        <v>80</v>
      </c>
      <c r="D745">
        <v>78.519851685000006</v>
      </c>
      <c r="E745">
        <v>50</v>
      </c>
      <c r="F745">
        <v>49.960510253999999</v>
      </c>
      <c r="G745">
        <v>1328.9715576000001</v>
      </c>
      <c r="H745">
        <v>1327.9110106999999</v>
      </c>
      <c r="I745">
        <v>1339.1224365</v>
      </c>
      <c r="J745">
        <v>1336.4400635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193.60422600000001</v>
      </c>
      <c r="B746" s="1">
        <f>DATE(2010,11,10) + TIME(14,30,5)</f>
        <v>40492.604224537034</v>
      </c>
      <c r="C746">
        <v>80</v>
      </c>
      <c r="D746">
        <v>78.471099854000002</v>
      </c>
      <c r="E746">
        <v>50</v>
      </c>
      <c r="F746">
        <v>49.960514068999998</v>
      </c>
      <c r="G746">
        <v>1328.9532471</v>
      </c>
      <c r="H746">
        <v>1327.8861084</v>
      </c>
      <c r="I746">
        <v>1339.109375</v>
      </c>
      <c r="J746">
        <v>1336.4305420000001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193.982112</v>
      </c>
      <c r="B747" s="1">
        <f>DATE(2010,11,10) + TIME(23,34,14)</f>
        <v>40492.982106481482</v>
      </c>
      <c r="C747">
        <v>80</v>
      </c>
      <c r="D747">
        <v>78.421607971</v>
      </c>
      <c r="E747">
        <v>50</v>
      </c>
      <c r="F747">
        <v>49.960517883000001</v>
      </c>
      <c r="G747">
        <v>1328.9348144999999</v>
      </c>
      <c r="H747">
        <v>1327.8610839999999</v>
      </c>
      <c r="I747">
        <v>1339.0966797000001</v>
      </c>
      <c r="J747">
        <v>1336.4212646000001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194.366862</v>
      </c>
      <c r="B748" s="1">
        <f>DATE(2010,11,11) + TIME(8,48,16)</f>
        <v>40493.366851851853</v>
      </c>
      <c r="C748">
        <v>80</v>
      </c>
      <c r="D748">
        <v>78.371551514000004</v>
      </c>
      <c r="E748">
        <v>50</v>
      </c>
      <c r="F748">
        <v>49.960517883000001</v>
      </c>
      <c r="G748">
        <v>1328.9160156</v>
      </c>
      <c r="H748">
        <v>1327.8355713000001</v>
      </c>
      <c r="I748">
        <v>1339.0841064000001</v>
      </c>
      <c r="J748">
        <v>1336.4119873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194.76028099999999</v>
      </c>
      <c r="B749" s="1">
        <f>DATE(2010,11,11) + TIME(18,14,48)</f>
        <v>40493.760277777779</v>
      </c>
      <c r="C749">
        <v>80</v>
      </c>
      <c r="D749">
        <v>78.320793151999993</v>
      </c>
      <c r="E749">
        <v>50</v>
      </c>
      <c r="F749">
        <v>49.960514068999998</v>
      </c>
      <c r="G749">
        <v>1328.8970947</v>
      </c>
      <c r="H749">
        <v>1327.8099365</v>
      </c>
      <c r="I749">
        <v>1339.0717772999999</v>
      </c>
      <c r="J749">
        <v>1336.4029541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195.16466600000001</v>
      </c>
      <c r="B750" s="1">
        <f>DATE(2010,11,12) + TIME(3,57,7)</f>
        <v>40494.164664351854</v>
      </c>
      <c r="C750">
        <v>80</v>
      </c>
      <c r="D750">
        <v>78.269149780000006</v>
      </c>
      <c r="E750">
        <v>50</v>
      </c>
      <c r="F750">
        <v>49.960510253999999</v>
      </c>
      <c r="G750">
        <v>1328.8778076000001</v>
      </c>
      <c r="H750">
        <v>1327.7838135</v>
      </c>
      <c r="I750">
        <v>1339.0596923999999</v>
      </c>
      <c r="J750">
        <v>1336.394043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195.58234100000001</v>
      </c>
      <c r="B751" s="1">
        <f>DATE(2010,11,12) + TIME(13,58,34)</f>
        <v>40494.582337962966</v>
      </c>
      <c r="C751">
        <v>80</v>
      </c>
      <c r="D751">
        <v>78.216415405000006</v>
      </c>
      <c r="E751">
        <v>50</v>
      </c>
      <c r="F751">
        <v>49.960502624999997</v>
      </c>
      <c r="G751">
        <v>1328.8582764</v>
      </c>
      <c r="H751">
        <v>1327.7573242000001</v>
      </c>
      <c r="I751">
        <v>1339.0476074000001</v>
      </c>
      <c r="J751">
        <v>1336.3852539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196.01591500000001</v>
      </c>
      <c r="B752" s="1">
        <f>DATE(2010,11,13) + TIME(0,22,55)</f>
        <v>40495.015914351854</v>
      </c>
      <c r="C752">
        <v>80</v>
      </c>
      <c r="D752">
        <v>78.162353515999996</v>
      </c>
      <c r="E752">
        <v>50</v>
      </c>
      <c r="F752">
        <v>49.960494994999998</v>
      </c>
      <c r="G752">
        <v>1328.8381348</v>
      </c>
      <c r="H752">
        <v>1327.7301024999999</v>
      </c>
      <c r="I752">
        <v>1339.0356445</v>
      </c>
      <c r="J752">
        <v>1336.3764647999999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196.46319700000001</v>
      </c>
      <c r="B753" s="1">
        <f>DATE(2010,11,13) + TIME(11,7,0)</f>
        <v>40495.463194444441</v>
      </c>
      <c r="C753">
        <v>80</v>
      </c>
      <c r="D753">
        <v>78.107109070000007</v>
      </c>
      <c r="E753">
        <v>50</v>
      </c>
      <c r="F753">
        <v>49.960487366000002</v>
      </c>
      <c r="G753">
        <v>1328.8176269999999</v>
      </c>
      <c r="H753">
        <v>1327.7022704999999</v>
      </c>
      <c r="I753">
        <v>1339.0235596</v>
      </c>
      <c r="J753">
        <v>1336.3676757999999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196.92549399999999</v>
      </c>
      <c r="B754" s="1">
        <f>DATE(2010,11,13) + TIME(22,12,42)</f>
        <v>40495.925486111111</v>
      </c>
      <c r="C754">
        <v>80</v>
      </c>
      <c r="D754">
        <v>78.050598144999995</v>
      </c>
      <c r="E754">
        <v>50</v>
      </c>
      <c r="F754">
        <v>49.960475922000001</v>
      </c>
      <c r="G754">
        <v>1328.7965088000001</v>
      </c>
      <c r="H754">
        <v>1327.6737060999999</v>
      </c>
      <c r="I754">
        <v>1339.0115966999999</v>
      </c>
      <c r="J754">
        <v>1336.3588867000001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197.405733</v>
      </c>
      <c r="B755" s="1">
        <f>DATE(2010,11,14) + TIME(9,44,15)</f>
        <v>40496.405729166669</v>
      </c>
      <c r="C755">
        <v>80</v>
      </c>
      <c r="D755">
        <v>77.992599487000007</v>
      </c>
      <c r="E755">
        <v>50</v>
      </c>
      <c r="F755">
        <v>49.960464477999999</v>
      </c>
      <c r="G755">
        <v>1328.7749022999999</v>
      </c>
      <c r="H755">
        <v>1327.6444091999999</v>
      </c>
      <c r="I755">
        <v>1338.9996338000001</v>
      </c>
      <c r="J755">
        <v>1336.3502197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197.895804</v>
      </c>
      <c r="B756" s="1">
        <f>DATE(2010,11,14) + TIME(21,29,57)</f>
        <v>40496.895798611113</v>
      </c>
      <c r="C756">
        <v>80</v>
      </c>
      <c r="D756">
        <v>77.933708190999994</v>
      </c>
      <c r="E756">
        <v>50</v>
      </c>
      <c r="F756">
        <v>49.960453033</v>
      </c>
      <c r="G756">
        <v>1328.7526855000001</v>
      </c>
      <c r="H756">
        <v>1327.6143798999999</v>
      </c>
      <c r="I756">
        <v>1338.9876709</v>
      </c>
      <c r="J756">
        <v>1336.3414307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198.39383000000001</v>
      </c>
      <c r="B757" s="1">
        <f>DATE(2010,11,15) + TIME(9,27,6)</f>
        <v>40497.393819444442</v>
      </c>
      <c r="C757">
        <v>80</v>
      </c>
      <c r="D757">
        <v>77.874168396000002</v>
      </c>
      <c r="E757">
        <v>50</v>
      </c>
      <c r="F757">
        <v>49.960445403999998</v>
      </c>
      <c r="G757">
        <v>1328.7301024999999</v>
      </c>
      <c r="H757">
        <v>1327.5839844</v>
      </c>
      <c r="I757">
        <v>1338.9758300999999</v>
      </c>
      <c r="J757">
        <v>1336.3328856999999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198.902805</v>
      </c>
      <c r="B758" s="1">
        <f>DATE(2010,11,15) + TIME(21,40,2)</f>
        <v>40497.902800925927</v>
      </c>
      <c r="C758">
        <v>80</v>
      </c>
      <c r="D758">
        <v>77.813873290999993</v>
      </c>
      <c r="E758">
        <v>50</v>
      </c>
      <c r="F758">
        <v>49.960433960000003</v>
      </c>
      <c r="G758">
        <v>1328.7072754000001</v>
      </c>
      <c r="H758">
        <v>1327.5532227000001</v>
      </c>
      <c r="I758">
        <v>1338.9643555</v>
      </c>
      <c r="J758">
        <v>1336.3245850000001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199.42012099999999</v>
      </c>
      <c r="B759" s="1">
        <f>DATE(2010,11,16) + TIME(10,4,58)</f>
        <v>40498.420115740744</v>
      </c>
      <c r="C759">
        <v>80</v>
      </c>
      <c r="D759">
        <v>77.753044127999999</v>
      </c>
      <c r="E759">
        <v>50</v>
      </c>
      <c r="F759">
        <v>49.960422516000001</v>
      </c>
      <c r="G759">
        <v>1328.684082</v>
      </c>
      <c r="H759">
        <v>1327.5219727000001</v>
      </c>
      <c r="I759">
        <v>1338.9528809000001</v>
      </c>
      <c r="J759">
        <v>1336.3162841999999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199.944536</v>
      </c>
      <c r="B760" s="1">
        <f>DATE(2010,11,16) + TIME(22,40,7)</f>
        <v>40498.944525462961</v>
      </c>
      <c r="C760">
        <v>80</v>
      </c>
      <c r="D760">
        <v>77.691833496000001</v>
      </c>
      <c r="E760">
        <v>50</v>
      </c>
      <c r="F760">
        <v>49.960414886000002</v>
      </c>
      <c r="G760">
        <v>1328.6607666</v>
      </c>
      <c r="H760">
        <v>1327.4904785000001</v>
      </c>
      <c r="I760">
        <v>1338.9416504000001</v>
      </c>
      <c r="J760">
        <v>1336.3082274999999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200.47909899999999</v>
      </c>
      <c r="B761" s="1">
        <f>DATE(2010,11,17) + TIME(11,29,54)</f>
        <v>40499.479097222225</v>
      </c>
      <c r="C761">
        <v>80</v>
      </c>
      <c r="D761">
        <v>77.630096436000002</v>
      </c>
      <c r="E761">
        <v>50</v>
      </c>
      <c r="F761">
        <v>49.960407257</v>
      </c>
      <c r="G761">
        <v>1328.637207</v>
      </c>
      <c r="H761">
        <v>1327.4586182</v>
      </c>
      <c r="I761">
        <v>1338.9306641000001</v>
      </c>
      <c r="J761">
        <v>1336.300293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201.02671799999999</v>
      </c>
      <c r="B762" s="1">
        <f>DATE(2010,11,18) + TIME(0,38,28)</f>
        <v>40500.026712962965</v>
      </c>
      <c r="C762">
        <v>80</v>
      </c>
      <c r="D762">
        <v>77.567619324000006</v>
      </c>
      <c r="E762">
        <v>50</v>
      </c>
      <c r="F762">
        <v>49.960399627999998</v>
      </c>
      <c r="G762">
        <v>1328.6134033000001</v>
      </c>
      <c r="H762">
        <v>1327.4265137</v>
      </c>
      <c r="I762">
        <v>1338.9199219</v>
      </c>
      <c r="J762">
        <v>1336.2924805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201.59048799999999</v>
      </c>
      <c r="B763" s="1">
        <f>DATE(2010,11,18) + TIME(14,10,18)</f>
        <v>40500.590486111112</v>
      </c>
      <c r="C763">
        <v>80</v>
      </c>
      <c r="D763">
        <v>77.504180907999995</v>
      </c>
      <c r="E763">
        <v>50</v>
      </c>
      <c r="F763">
        <v>49.960391997999999</v>
      </c>
      <c r="G763">
        <v>1328.5892334</v>
      </c>
      <c r="H763">
        <v>1327.3939209</v>
      </c>
      <c r="I763">
        <v>1338.9091797000001</v>
      </c>
      <c r="J763">
        <v>1336.2847899999999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202.17382499999999</v>
      </c>
      <c r="B764" s="1">
        <f>DATE(2010,11,19) + TIME(4,10,18)</f>
        <v>40501.173819444448</v>
      </c>
      <c r="C764">
        <v>80</v>
      </c>
      <c r="D764">
        <v>77.439483643000003</v>
      </c>
      <c r="E764">
        <v>50</v>
      </c>
      <c r="F764">
        <v>49.960384369000003</v>
      </c>
      <c r="G764">
        <v>1328.5645752</v>
      </c>
      <c r="H764">
        <v>1327.3605957</v>
      </c>
      <c r="I764">
        <v>1338.8984375</v>
      </c>
      <c r="J764">
        <v>1336.2770995999999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202.776408</v>
      </c>
      <c r="B765" s="1">
        <f>DATE(2010,11,19) + TIME(18,38,1)</f>
        <v>40501.776400462964</v>
      </c>
      <c r="C765">
        <v>80</v>
      </c>
      <c r="D765">
        <v>77.373481749999996</v>
      </c>
      <c r="E765">
        <v>50</v>
      </c>
      <c r="F765">
        <v>49.960380553999997</v>
      </c>
      <c r="G765">
        <v>1328.5393065999999</v>
      </c>
      <c r="H765">
        <v>1327.3265381000001</v>
      </c>
      <c r="I765">
        <v>1338.8878173999999</v>
      </c>
      <c r="J765">
        <v>1336.2695312000001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203.39596700000001</v>
      </c>
      <c r="B766" s="1">
        <f>DATE(2010,11,20) + TIME(9,30,11)</f>
        <v>40502.395960648151</v>
      </c>
      <c r="C766">
        <v>80</v>
      </c>
      <c r="D766">
        <v>77.306282042999996</v>
      </c>
      <c r="E766">
        <v>50</v>
      </c>
      <c r="F766">
        <v>49.960376740000001</v>
      </c>
      <c r="G766">
        <v>1328.5134277</v>
      </c>
      <c r="H766">
        <v>1327.2917480000001</v>
      </c>
      <c r="I766">
        <v>1338.8770752</v>
      </c>
      <c r="J766">
        <v>1336.2618408000001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204.030587</v>
      </c>
      <c r="B767" s="1">
        <f>DATE(2010,11,21) + TIME(0,44,2)</f>
        <v>40503.030578703707</v>
      </c>
      <c r="C767">
        <v>80</v>
      </c>
      <c r="D767">
        <v>77.238037109000004</v>
      </c>
      <c r="E767">
        <v>50</v>
      </c>
      <c r="F767">
        <v>49.960376740000001</v>
      </c>
      <c r="G767">
        <v>1328.4869385</v>
      </c>
      <c r="H767">
        <v>1327.2561035000001</v>
      </c>
      <c r="I767">
        <v>1338.8664550999999</v>
      </c>
      <c r="J767">
        <v>1336.2542725000001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204.68430000000001</v>
      </c>
      <c r="B768" s="1">
        <f>DATE(2010,11,21) + TIME(16,25,23)</f>
        <v>40503.684293981481</v>
      </c>
      <c r="C768">
        <v>80</v>
      </c>
      <c r="D768">
        <v>77.168586731000005</v>
      </c>
      <c r="E768">
        <v>50</v>
      </c>
      <c r="F768">
        <v>49.960372925000001</v>
      </c>
      <c r="G768">
        <v>1328.4600829999999</v>
      </c>
      <c r="H768">
        <v>1327.2198486</v>
      </c>
      <c r="I768">
        <v>1338.855957</v>
      </c>
      <c r="J768">
        <v>1336.2468262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205.343357</v>
      </c>
      <c r="B769" s="1">
        <f>DATE(2010,11,22) + TIME(8,14,26)</f>
        <v>40504.343356481484</v>
      </c>
      <c r="C769">
        <v>80</v>
      </c>
      <c r="D769">
        <v>77.098709106000001</v>
      </c>
      <c r="E769">
        <v>50</v>
      </c>
      <c r="F769">
        <v>49.960372925000001</v>
      </c>
      <c r="G769">
        <v>1328.4326172000001</v>
      </c>
      <c r="H769">
        <v>1327.1829834</v>
      </c>
      <c r="I769">
        <v>1338.8454589999999</v>
      </c>
      <c r="J769">
        <v>1336.2393798999999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206.009128</v>
      </c>
      <c r="B770" s="1">
        <f>DATE(2010,11,23) + TIME(0,13,8)</f>
        <v>40505.009120370371</v>
      </c>
      <c r="C770">
        <v>80</v>
      </c>
      <c r="D770">
        <v>77.028579711999996</v>
      </c>
      <c r="E770">
        <v>50</v>
      </c>
      <c r="F770">
        <v>49.960372925000001</v>
      </c>
      <c r="G770">
        <v>1328.4049072</v>
      </c>
      <c r="H770">
        <v>1327.145874</v>
      </c>
      <c r="I770">
        <v>1338.8352050999999</v>
      </c>
      <c r="J770">
        <v>1336.2321777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206.68530100000001</v>
      </c>
      <c r="B771" s="1">
        <f>DATE(2010,11,23) + TIME(16,26,50)</f>
        <v>40505.685300925928</v>
      </c>
      <c r="C771">
        <v>80</v>
      </c>
      <c r="D771">
        <v>76.958122252999999</v>
      </c>
      <c r="E771">
        <v>50</v>
      </c>
      <c r="F771">
        <v>49.960372925000001</v>
      </c>
      <c r="G771">
        <v>1328.3771973</v>
      </c>
      <c r="H771">
        <v>1327.1085204999999</v>
      </c>
      <c r="I771">
        <v>1338.8251952999999</v>
      </c>
      <c r="J771">
        <v>1336.2250977000001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207.375595</v>
      </c>
      <c r="B772" s="1">
        <f>DATE(2010,11,24) + TIME(9,0,51)</f>
        <v>40506.375590277778</v>
      </c>
      <c r="C772">
        <v>80</v>
      </c>
      <c r="D772">
        <v>76.887123107999997</v>
      </c>
      <c r="E772">
        <v>50</v>
      </c>
      <c r="F772">
        <v>49.960376740000001</v>
      </c>
      <c r="G772">
        <v>1328.3492432</v>
      </c>
      <c r="H772">
        <v>1327.0709228999999</v>
      </c>
      <c r="I772">
        <v>1338.8153076000001</v>
      </c>
      <c r="J772">
        <v>1336.2182617000001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208.083944</v>
      </c>
      <c r="B773" s="1">
        <f>DATE(2010,11,25) + TIME(2,0,52)</f>
        <v>40507.083935185183</v>
      </c>
      <c r="C773">
        <v>80</v>
      </c>
      <c r="D773">
        <v>76.815284728999998</v>
      </c>
      <c r="E773">
        <v>50</v>
      </c>
      <c r="F773">
        <v>49.960376740000001</v>
      </c>
      <c r="G773">
        <v>1328.3209228999999</v>
      </c>
      <c r="H773">
        <v>1327.0328368999999</v>
      </c>
      <c r="I773">
        <v>1338.8055420000001</v>
      </c>
      <c r="J773">
        <v>1336.2114257999999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208.81464399999999</v>
      </c>
      <c r="B774" s="1">
        <f>DATE(2010,11,25) + TIME(19,33,5)</f>
        <v>40507.814641203702</v>
      </c>
      <c r="C774">
        <v>80</v>
      </c>
      <c r="D774">
        <v>76.742286682</v>
      </c>
      <c r="E774">
        <v>50</v>
      </c>
      <c r="F774">
        <v>49.960384369000003</v>
      </c>
      <c r="G774">
        <v>1328.2921143000001</v>
      </c>
      <c r="H774">
        <v>1326.9941406</v>
      </c>
      <c r="I774">
        <v>1338.7958983999999</v>
      </c>
      <c r="J774">
        <v>1336.2047118999999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209.56553199999999</v>
      </c>
      <c r="B775" s="1">
        <f>DATE(2010,11,26) + TIME(13,34,21)</f>
        <v>40508.565520833334</v>
      </c>
      <c r="C775">
        <v>80</v>
      </c>
      <c r="D775">
        <v>76.668075561999999</v>
      </c>
      <c r="E775">
        <v>50</v>
      </c>
      <c r="F775">
        <v>49.960388184000003</v>
      </c>
      <c r="G775">
        <v>1328.2628173999999</v>
      </c>
      <c r="H775">
        <v>1326.9545897999999</v>
      </c>
      <c r="I775">
        <v>1338.7861327999999</v>
      </c>
      <c r="J775">
        <v>1336.1979980000001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210.33406500000001</v>
      </c>
      <c r="B776" s="1">
        <f>DATE(2010,11,27) + TIME(8,1,3)</f>
        <v>40509.334062499998</v>
      </c>
      <c r="C776">
        <v>80</v>
      </c>
      <c r="D776">
        <v>76.592758179</v>
      </c>
      <c r="E776">
        <v>50</v>
      </c>
      <c r="F776">
        <v>49.960395812999998</v>
      </c>
      <c r="G776">
        <v>1328.2327881000001</v>
      </c>
      <c r="H776">
        <v>1326.9143065999999</v>
      </c>
      <c r="I776">
        <v>1338.7764893000001</v>
      </c>
      <c r="J776">
        <v>1336.1912841999999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211.12474</v>
      </c>
      <c r="B777" s="1">
        <f>DATE(2010,11,28) + TIME(2,59,37)</f>
        <v>40510.1247337963</v>
      </c>
      <c r="C777">
        <v>80</v>
      </c>
      <c r="D777">
        <v>76.516174316000004</v>
      </c>
      <c r="E777">
        <v>50</v>
      </c>
      <c r="F777">
        <v>49.960403442</v>
      </c>
      <c r="G777">
        <v>1328.2022704999999</v>
      </c>
      <c r="H777">
        <v>1326.8734131000001</v>
      </c>
      <c r="I777">
        <v>1338.7668457</v>
      </c>
      <c r="J777">
        <v>1336.1846923999999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211.935158</v>
      </c>
      <c r="B778" s="1">
        <f>DATE(2010,11,28) + TIME(22,26,37)</f>
        <v>40510.935150462959</v>
      </c>
      <c r="C778">
        <v>80</v>
      </c>
      <c r="D778">
        <v>76.438362122000001</v>
      </c>
      <c r="E778">
        <v>50</v>
      </c>
      <c r="F778">
        <v>49.960414886000002</v>
      </c>
      <c r="G778">
        <v>1328.1712646000001</v>
      </c>
      <c r="H778">
        <v>1326.8316649999999</v>
      </c>
      <c r="I778">
        <v>1338.7573242000001</v>
      </c>
      <c r="J778">
        <v>1336.1781006000001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212.76027099999999</v>
      </c>
      <c r="B779" s="1">
        <f>DATE(2010,11,29) + TIME(18,14,47)</f>
        <v>40511.760266203702</v>
      </c>
      <c r="C779">
        <v>80</v>
      </c>
      <c r="D779">
        <v>76.359580993999998</v>
      </c>
      <c r="E779">
        <v>50</v>
      </c>
      <c r="F779">
        <v>49.960422516000001</v>
      </c>
      <c r="G779">
        <v>1328.1396483999999</v>
      </c>
      <c r="H779">
        <v>1326.7893065999999</v>
      </c>
      <c r="I779">
        <v>1338.7478027</v>
      </c>
      <c r="J779">
        <v>1336.1716309000001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213.59385800000001</v>
      </c>
      <c r="B780" s="1">
        <f>DATE(2010,11,30) + TIME(14,15,9)</f>
        <v>40512.593854166669</v>
      </c>
      <c r="C780">
        <v>80</v>
      </c>
      <c r="D780">
        <v>76.280242920000006</v>
      </c>
      <c r="E780">
        <v>50</v>
      </c>
      <c r="F780">
        <v>49.960433960000003</v>
      </c>
      <c r="G780">
        <v>1328.1076660000001</v>
      </c>
      <c r="H780">
        <v>1326.7463379000001</v>
      </c>
      <c r="I780">
        <v>1338.7384033000001</v>
      </c>
      <c r="J780">
        <v>1336.1652832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214</v>
      </c>
      <c r="B781" s="1">
        <f>DATE(2010,12,1) + TIME(0,0,0)</f>
        <v>40513</v>
      </c>
      <c r="C781">
        <v>80</v>
      </c>
      <c r="D781">
        <v>76.227371215999995</v>
      </c>
      <c r="E781">
        <v>50</v>
      </c>
      <c r="F781">
        <v>49.960426331000001</v>
      </c>
      <c r="G781">
        <v>1328.0769043</v>
      </c>
      <c r="H781">
        <v>1326.7056885</v>
      </c>
      <c r="I781">
        <v>1338.729126</v>
      </c>
      <c r="J781">
        <v>1336.1589355000001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214.84614500000001</v>
      </c>
      <c r="B782" s="1">
        <f>DATE(2010,12,1) + TIME(20,18,26)</f>
        <v>40513.846134259256</v>
      </c>
      <c r="C782">
        <v>80</v>
      </c>
      <c r="D782">
        <v>76.155189514</v>
      </c>
      <c r="E782">
        <v>50</v>
      </c>
      <c r="F782">
        <v>49.960449218999997</v>
      </c>
      <c r="G782">
        <v>1328.0568848</v>
      </c>
      <c r="H782">
        <v>1326.6774902</v>
      </c>
      <c r="I782">
        <v>1338.7247314000001</v>
      </c>
      <c r="J782">
        <v>1336.1560059000001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215.714595</v>
      </c>
      <c r="B783" s="1">
        <f>DATE(2010,12,2) + TIME(17,9,1)</f>
        <v>40514.714594907404</v>
      </c>
      <c r="C783">
        <v>80</v>
      </c>
      <c r="D783">
        <v>76.078201293999996</v>
      </c>
      <c r="E783">
        <v>50</v>
      </c>
      <c r="F783">
        <v>49.960464477999999</v>
      </c>
      <c r="G783">
        <v>1328.0262451000001</v>
      </c>
      <c r="H783">
        <v>1326.6365966999999</v>
      </c>
      <c r="I783">
        <v>1338.7159423999999</v>
      </c>
      <c r="J783">
        <v>1336.1500243999999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216.60360900000001</v>
      </c>
      <c r="B784" s="1">
        <f>DATE(2010,12,3) + TIME(14,29,11)</f>
        <v>40515.60359953704</v>
      </c>
      <c r="C784">
        <v>80</v>
      </c>
      <c r="D784">
        <v>75.998176575000002</v>
      </c>
      <c r="E784">
        <v>50</v>
      </c>
      <c r="F784">
        <v>49.960479736000003</v>
      </c>
      <c r="G784">
        <v>1327.9941406</v>
      </c>
      <c r="H784">
        <v>1326.59375</v>
      </c>
      <c r="I784">
        <v>1338.7070312000001</v>
      </c>
      <c r="J784">
        <v>1336.144043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217.51623599999999</v>
      </c>
      <c r="B785" s="1">
        <f>DATE(2010,12,4) + TIME(12,23,22)</f>
        <v>40516.516226851854</v>
      </c>
      <c r="C785">
        <v>80</v>
      </c>
      <c r="D785">
        <v>75.915893554999997</v>
      </c>
      <c r="E785">
        <v>50</v>
      </c>
      <c r="F785">
        <v>49.960498809999997</v>
      </c>
      <c r="G785">
        <v>1327.9611815999999</v>
      </c>
      <c r="H785">
        <v>1326.5496826000001</v>
      </c>
      <c r="I785">
        <v>1338.6981201000001</v>
      </c>
      <c r="J785">
        <v>1336.1381836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218.44837999999999</v>
      </c>
      <c r="B786" s="1">
        <f>DATE(2010,12,5) + TIME(10,45,40)</f>
        <v>40517.448379629626</v>
      </c>
      <c r="C786">
        <v>80</v>
      </c>
      <c r="D786">
        <v>75.831855774000005</v>
      </c>
      <c r="E786">
        <v>50</v>
      </c>
      <c r="F786">
        <v>49.960514068999998</v>
      </c>
      <c r="G786">
        <v>1327.9274902</v>
      </c>
      <c r="H786">
        <v>1326.5045166</v>
      </c>
      <c r="I786">
        <v>1338.6893310999999</v>
      </c>
      <c r="J786">
        <v>1336.1323242000001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219.40311500000001</v>
      </c>
      <c r="B787" s="1">
        <f>DATE(2010,12,6) + TIME(9,40,29)</f>
        <v>40518.403113425928</v>
      </c>
      <c r="C787">
        <v>80</v>
      </c>
      <c r="D787">
        <v>75.746192932</v>
      </c>
      <c r="E787">
        <v>50</v>
      </c>
      <c r="F787">
        <v>49.960533142000003</v>
      </c>
      <c r="G787">
        <v>1327.8931885</v>
      </c>
      <c r="H787">
        <v>1326.4586182</v>
      </c>
      <c r="I787">
        <v>1338.6805420000001</v>
      </c>
      <c r="J787">
        <v>1336.1264647999999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220.38694100000001</v>
      </c>
      <c r="B788" s="1">
        <f>DATE(2010,12,7) + TIME(9,17,11)</f>
        <v>40519.386932870373</v>
      </c>
      <c r="C788">
        <v>80</v>
      </c>
      <c r="D788">
        <v>75.658699036000002</v>
      </c>
      <c r="E788">
        <v>50</v>
      </c>
      <c r="F788">
        <v>49.960552216000004</v>
      </c>
      <c r="G788">
        <v>1327.8583983999999</v>
      </c>
      <c r="H788">
        <v>1326.4118652</v>
      </c>
      <c r="I788">
        <v>1338.671875</v>
      </c>
      <c r="J788">
        <v>1336.1208495999999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221.380481</v>
      </c>
      <c r="B789" s="1">
        <f>DATE(2010,12,8) + TIME(9,7,53)</f>
        <v>40520.380474537036</v>
      </c>
      <c r="C789">
        <v>80</v>
      </c>
      <c r="D789">
        <v>75.569877625000004</v>
      </c>
      <c r="E789">
        <v>50</v>
      </c>
      <c r="F789">
        <v>49.960575104</v>
      </c>
      <c r="G789">
        <v>1327.822876</v>
      </c>
      <c r="H789">
        <v>1326.3642577999999</v>
      </c>
      <c r="I789">
        <v>1338.6630858999999</v>
      </c>
      <c r="J789">
        <v>1336.1151123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222.38236499999999</v>
      </c>
      <c r="B790" s="1">
        <f>DATE(2010,12,9) + TIME(9,10,36)</f>
        <v>40521.382361111115</v>
      </c>
      <c r="C790">
        <v>80</v>
      </c>
      <c r="D790">
        <v>75.480262756000002</v>
      </c>
      <c r="E790">
        <v>50</v>
      </c>
      <c r="F790">
        <v>49.960594176999997</v>
      </c>
      <c r="G790">
        <v>1327.7871094</v>
      </c>
      <c r="H790">
        <v>1326.3164062000001</v>
      </c>
      <c r="I790">
        <v>1338.6545410000001</v>
      </c>
      <c r="J790">
        <v>1336.1094971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223.39836299999999</v>
      </c>
      <c r="B791" s="1">
        <f>DATE(2010,12,10) + TIME(9,33,38)</f>
        <v>40522.398356481484</v>
      </c>
      <c r="C791">
        <v>80</v>
      </c>
      <c r="D791">
        <v>75.389862061000002</v>
      </c>
      <c r="E791">
        <v>50</v>
      </c>
      <c r="F791">
        <v>49.960617065000001</v>
      </c>
      <c r="G791">
        <v>1327.7513428</v>
      </c>
      <c r="H791">
        <v>1326.2683105000001</v>
      </c>
      <c r="I791">
        <v>1338.6461182</v>
      </c>
      <c r="J791">
        <v>1336.104126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224.43430799999999</v>
      </c>
      <c r="B792" s="1">
        <f>DATE(2010,12,11) + TIME(10,25,24)</f>
        <v>40523.434305555558</v>
      </c>
      <c r="C792">
        <v>80</v>
      </c>
      <c r="D792">
        <v>75.298347473000007</v>
      </c>
      <c r="E792">
        <v>50</v>
      </c>
      <c r="F792">
        <v>49.960639954000001</v>
      </c>
      <c r="G792">
        <v>1327.7152100000001</v>
      </c>
      <c r="H792">
        <v>1326.2199707</v>
      </c>
      <c r="I792">
        <v>1338.6378173999999</v>
      </c>
      <c r="J792">
        <v>1336.0987548999999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225.49029100000001</v>
      </c>
      <c r="B793" s="1">
        <f>DATE(2010,12,12) + TIME(11,46,1)</f>
        <v>40524.490289351852</v>
      </c>
      <c r="C793">
        <v>80</v>
      </c>
      <c r="D793">
        <v>75.205451964999995</v>
      </c>
      <c r="E793">
        <v>50</v>
      </c>
      <c r="F793">
        <v>49.960662841999998</v>
      </c>
      <c r="G793">
        <v>1327.6789550999999</v>
      </c>
      <c r="H793">
        <v>1326.1712646000001</v>
      </c>
      <c r="I793">
        <v>1338.6296387</v>
      </c>
      <c r="J793">
        <v>1336.0935059000001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226.567556</v>
      </c>
      <c r="B794" s="1">
        <f>DATE(2010,12,13) + TIME(13,37,16)</f>
        <v>40525.567546296297</v>
      </c>
      <c r="C794">
        <v>80</v>
      </c>
      <c r="D794">
        <v>75.111022949000002</v>
      </c>
      <c r="E794">
        <v>50</v>
      </c>
      <c r="F794">
        <v>49.960689545000001</v>
      </c>
      <c r="G794">
        <v>1327.6422118999999</v>
      </c>
      <c r="H794">
        <v>1326.1220702999999</v>
      </c>
      <c r="I794">
        <v>1338.6214600000001</v>
      </c>
      <c r="J794">
        <v>1336.0883789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227.67246800000001</v>
      </c>
      <c r="B795" s="1">
        <f>DATE(2010,12,14) + TIME(16,8,21)</f>
        <v>40526.672465277778</v>
      </c>
      <c r="C795">
        <v>80</v>
      </c>
      <c r="D795">
        <v>75.014701842999997</v>
      </c>
      <c r="E795">
        <v>50</v>
      </c>
      <c r="F795">
        <v>49.960716247999997</v>
      </c>
      <c r="G795">
        <v>1327.6051024999999</v>
      </c>
      <c r="H795">
        <v>1326.0723877</v>
      </c>
      <c r="I795">
        <v>1338.6134033000001</v>
      </c>
      <c r="J795">
        <v>1336.0832519999999</v>
      </c>
      <c r="K795">
        <v>0</v>
      </c>
      <c r="L795">
        <v>2400</v>
      </c>
      <c r="M795">
        <v>2400</v>
      </c>
      <c r="N795">
        <v>0</v>
      </c>
    </row>
    <row r="796" spans="1:14" x14ac:dyDescent="0.25">
      <c r="A796">
        <v>228.81043600000001</v>
      </c>
      <c r="B796" s="1">
        <f>DATE(2010,12,15) + TIME(19,27,1)</f>
        <v>40527.810428240744</v>
      </c>
      <c r="C796">
        <v>80</v>
      </c>
      <c r="D796">
        <v>74.915908813000001</v>
      </c>
      <c r="E796">
        <v>50</v>
      </c>
      <c r="F796">
        <v>49.960746765000003</v>
      </c>
      <c r="G796">
        <v>1327.5675048999999</v>
      </c>
      <c r="H796">
        <v>1326.0218506000001</v>
      </c>
      <c r="I796">
        <v>1338.6053466999999</v>
      </c>
      <c r="J796">
        <v>1336.078125</v>
      </c>
      <c r="K796">
        <v>0</v>
      </c>
      <c r="L796">
        <v>2400</v>
      </c>
      <c r="M796">
        <v>2400</v>
      </c>
      <c r="N796">
        <v>0</v>
      </c>
    </row>
    <row r="797" spans="1:14" x14ac:dyDescent="0.25">
      <c r="A797">
        <v>229.97975700000001</v>
      </c>
      <c r="B797" s="1">
        <f>DATE(2010,12,16) + TIME(23,30,51)</f>
        <v>40528.979756944442</v>
      </c>
      <c r="C797">
        <v>80</v>
      </c>
      <c r="D797">
        <v>74.814407349000007</v>
      </c>
      <c r="E797">
        <v>50</v>
      </c>
      <c r="F797">
        <v>49.960777282999999</v>
      </c>
      <c r="G797">
        <v>1327.5291748</v>
      </c>
      <c r="H797">
        <v>1325.9704589999999</v>
      </c>
      <c r="I797">
        <v>1338.5972899999999</v>
      </c>
      <c r="J797">
        <v>1336.0731201000001</v>
      </c>
      <c r="K797">
        <v>0</v>
      </c>
      <c r="L797">
        <v>2400</v>
      </c>
      <c r="M797">
        <v>2400</v>
      </c>
      <c r="N797">
        <v>0</v>
      </c>
    </row>
    <row r="798" spans="1:14" x14ac:dyDescent="0.25">
      <c r="A798">
        <v>231.15563700000001</v>
      </c>
      <c r="B798" s="1">
        <f>DATE(2010,12,18) + TIME(3,44,7)</f>
        <v>40530.155636574076</v>
      </c>
      <c r="C798">
        <v>80</v>
      </c>
      <c r="D798">
        <v>74.710876464999998</v>
      </c>
      <c r="E798">
        <v>50</v>
      </c>
      <c r="F798">
        <v>49.960807799999998</v>
      </c>
      <c r="G798">
        <v>1327.4901123</v>
      </c>
      <c r="H798">
        <v>1325.9183350000001</v>
      </c>
      <c r="I798">
        <v>1338.5892334</v>
      </c>
      <c r="J798">
        <v>1336.0681152</v>
      </c>
      <c r="K798">
        <v>0</v>
      </c>
      <c r="L798">
        <v>2400</v>
      </c>
      <c r="M798">
        <v>2400</v>
      </c>
      <c r="N798">
        <v>0</v>
      </c>
    </row>
    <row r="799" spans="1:14" x14ac:dyDescent="0.25">
      <c r="A799">
        <v>232.34524400000001</v>
      </c>
      <c r="B799" s="1">
        <f>DATE(2010,12,19) + TIME(8,17,9)</f>
        <v>40531.345243055555</v>
      </c>
      <c r="C799">
        <v>80</v>
      </c>
      <c r="D799">
        <v>74.605903624999996</v>
      </c>
      <c r="E799">
        <v>50</v>
      </c>
      <c r="F799">
        <v>49.960838318</v>
      </c>
      <c r="G799">
        <v>1327.4510498</v>
      </c>
      <c r="H799">
        <v>1325.8658447</v>
      </c>
      <c r="I799">
        <v>1338.5812988</v>
      </c>
      <c r="J799">
        <v>1336.0632324000001</v>
      </c>
      <c r="K799">
        <v>0</v>
      </c>
      <c r="L799">
        <v>2400</v>
      </c>
      <c r="M799">
        <v>2400</v>
      </c>
      <c r="N799">
        <v>0</v>
      </c>
    </row>
    <row r="800" spans="1:14" x14ac:dyDescent="0.25">
      <c r="A800">
        <v>233.55510799999999</v>
      </c>
      <c r="B800" s="1">
        <f>DATE(2010,12,20) + TIME(13,19,21)</f>
        <v>40532.555104166669</v>
      </c>
      <c r="C800">
        <v>80</v>
      </c>
      <c r="D800">
        <v>74.499275208</v>
      </c>
      <c r="E800">
        <v>50</v>
      </c>
      <c r="F800">
        <v>49.960868834999999</v>
      </c>
      <c r="G800">
        <v>1327.4118652</v>
      </c>
      <c r="H800">
        <v>1325.8132324000001</v>
      </c>
      <c r="I800">
        <v>1338.5734863</v>
      </c>
      <c r="J800">
        <v>1336.0584716999999</v>
      </c>
      <c r="K800">
        <v>0</v>
      </c>
      <c r="L800">
        <v>2400</v>
      </c>
      <c r="M800">
        <v>2400</v>
      </c>
      <c r="N800">
        <v>0</v>
      </c>
    </row>
    <row r="801" spans="1:14" x14ac:dyDescent="0.25">
      <c r="A801">
        <v>234.77822399999999</v>
      </c>
      <c r="B801" s="1">
        <f>DATE(2010,12,21) + TIME(18,40,38)</f>
        <v>40533.778217592589</v>
      </c>
      <c r="C801">
        <v>80</v>
      </c>
      <c r="D801">
        <v>74.390914917000003</v>
      </c>
      <c r="E801">
        <v>50</v>
      </c>
      <c r="F801">
        <v>49.960903168000002</v>
      </c>
      <c r="G801">
        <v>1327.3724365</v>
      </c>
      <c r="H801">
        <v>1325.760376</v>
      </c>
      <c r="I801">
        <v>1338.5657959</v>
      </c>
      <c r="J801">
        <v>1336.0537108999999</v>
      </c>
      <c r="K801">
        <v>0</v>
      </c>
      <c r="L801">
        <v>2400</v>
      </c>
      <c r="M801">
        <v>2400</v>
      </c>
      <c r="N801">
        <v>0</v>
      </c>
    </row>
    <row r="802" spans="1:14" x14ac:dyDescent="0.25">
      <c r="A802">
        <v>236.01841099999999</v>
      </c>
      <c r="B802" s="1">
        <f>DATE(2010,12,23) + TIME(0,26,30)</f>
        <v>40535.01840277778</v>
      </c>
      <c r="C802">
        <v>80</v>
      </c>
      <c r="D802">
        <v>74.280807495000005</v>
      </c>
      <c r="E802">
        <v>50</v>
      </c>
      <c r="F802">
        <v>49.9609375</v>
      </c>
      <c r="G802">
        <v>1327.3328856999999</v>
      </c>
      <c r="H802">
        <v>1325.7073975000001</v>
      </c>
      <c r="I802">
        <v>1338.5581055</v>
      </c>
      <c r="J802">
        <v>1336.0490723</v>
      </c>
      <c r="K802">
        <v>0</v>
      </c>
      <c r="L802">
        <v>2400</v>
      </c>
      <c r="M802">
        <v>2400</v>
      </c>
      <c r="N802">
        <v>0</v>
      </c>
    </row>
    <row r="803" spans="1:14" x14ac:dyDescent="0.25">
      <c r="A803">
        <v>237.281926</v>
      </c>
      <c r="B803" s="1">
        <f>DATE(2010,12,24) + TIME(6,45,58)</f>
        <v>40536.281921296293</v>
      </c>
      <c r="C803">
        <v>80</v>
      </c>
      <c r="D803">
        <v>74.168617248999993</v>
      </c>
      <c r="E803">
        <v>50</v>
      </c>
      <c r="F803">
        <v>49.960971831999998</v>
      </c>
      <c r="G803">
        <v>1327.2933350000001</v>
      </c>
      <c r="H803">
        <v>1325.6541748</v>
      </c>
      <c r="I803">
        <v>1338.5506591999999</v>
      </c>
      <c r="J803">
        <v>1336.0445557</v>
      </c>
      <c r="K803">
        <v>0</v>
      </c>
      <c r="L803">
        <v>2400</v>
      </c>
      <c r="M803">
        <v>2400</v>
      </c>
      <c r="N803">
        <v>0</v>
      </c>
    </row>
    <row r="804" spans="1:14" x14ac:dyDescent="0.25">
      <c r="A804">
        <v>238.57637399999999</v>
      </c>
      <c r="B804" s="1">
        <f>DATE(2010,12,25) + TIME(13,49,58)</f>
        <v>40537.576365740744</v>
      </c>
      <c r="C804">
        <v>80</v>
      </c>
      <c r="D804">
        <v>74.053756714000002</v>
      </c>
      <c r="E804">
        <v>50</v>
      </c>
      <c r="F804">
        <v>49.961009979000004</v>
      </c>
      <c r="G804">
        <v>1327.2532959</v>
      </c>
      <c r="H804">
        <v>1325.6005858999999</v>
      </c>
      <c r="I804">
        <v>1338.5430908000001</v>
      </c>
      <c r="J804">
        <v>1336.0401611</v>
      </c>
      <c r="K804">
        <v>0</v>
      </c>
      <c r="L804">
        <v>2400</v>
      </c>
      <c r="M804">
        <v>2400</v>
      </c>
      <c r="N804">
        <v>0</v>
      </c>
    </row>
    <row r="805" spans="1:14" x14ac:dyDescent="0.25">
      <c r="A805">
        <v>239.910008</v>
      </c>
      <c r="B805" s="1">
        <f>DATE(2010,12,26) + TIME(21,50,24)</f>
        <v>40538.910000000003</v>
      </c>
      <c r="C805">
        <v>80</v>
      </c>
      <c r="D805">
        <v>73.935508728000002</v>
      </c>
      <c r="E805">
        <v>50</v>
      </c>
      <c r="F805">
        <v>49.961048126000001</v>
      </c>
      <c r="G805">
        <v>1327.2128906</v>
      </c>
      <c r="H805">
        <v>1325.5463867000001</v>
      </c>
      <c r="I805">
        <v>1338.5356445</v>
      </c>
      <c r="J805">
        <v>1336.0356445</v>
      </c>
      <c r="K805">
        <v>0</v>
      </c>
      <c r="L805">
        <v>2400</v>
      </c>
      <c r="M805">
        <v>2400</v>
      </c>
      <c r="N805">
        <v>0</v>
      </c>
    </row>
    <row r="806" spans="1:14" x14ac:dyDescent="0.25">
      <c r="A806">
        <v>241.28394299999999</v>
      </c>
      <c r="B806" s="1">
        <f>DATE(2010,12,28) + TIME(6,48,52)</f>
        <v>40540.283935185187</v>
      </c>
      <c r="C806">
        <v>80</v>
      </c>
      <c r="D806">
        <v>73.813262938999998</v>
      </c>
      <c r="E806">
        <v>50</v>
      </c>
      <c r="F806">
        <v>49.961090087999999</v>
      </c>
      <c r="G806">
        <v>1327.1717529</v>
      </c>
      <c r="H806">
        <v>1325.4912108999999</v>
      </c>
      <c r="I806">
        <v>1338.5281981999999</v>
      </c>
      <c r="J806">
        <v>1336.03125</v>
      </c>
      <c r="K806">
        <v>0</v>
      </c>
      <c r="L806">
        <v>2400</v>
      </c>
      <c r="M806">
        <v>2400</v>
      </c>
      <c r="N806">
        <v>0</v>
      </c>
    </row>
    <row r="807" spans="1:14" x14ac:dyDescent="0.25">
      <c r="A807">
        <v>242.668148</v>
      </c>
      <c r="B807" s="1">
        <f>DATE(2010,12,29) + TIME(16,2,8)</f>
        <v>40541.66814814815</v>
      </c>
      <c r="C807">
        <v>80</v>
      </c>
      <c r="D807">
        <v>73.687538146999998</v>
      </c>
      <c r="E807">
        <v>50</v>
      </c>
      <c r="F807">
        <v>49.961128234999997</v>
      </c>
      <c r="G807">
        <v>1327.1300048999999</v>
      </c>
      <c r="H807">
        <v>1325.4351807</v>
      </c>
      <c r="I807">
        <v>1338.5206298999999</v>
      </c>
      <c r="J807">
        <v>1336.0268555</v>
      </c>
      <c r="K807">
        <v>0</v>
      </c>
      <c r="L807">
        <v>2400</v>
      </c>
      <c r="M807">
        <v>2400</v>
      </c>
      <c r="N807">
        <v>0</v>
      </c>
    </row>
    <row r="808" spans="1:14" x14ac:dyDescent="0.25">
      <c r="A808">
        <v>244.06667899999999</v>
      </c>
      <c r="B808" s="1">
        <f>DATE(2010,12,31) + TIME(1,36,1)</f>
        <v>40543.066678240742</v>
      </c>
      <c r="C808">
        <v>80</v>
      </c>
      <c r="D808">
        <v>73.559364318999997</v>
      </c>
      <c r="E808">
        <v>50</v>
      </c>
      <c r="F808">
        <v>49.961170197000001</v>
      </c>
      <c r="G808">
        <v>1327.0880127</v>
      </c>
      <c r="H808">
        <v>1325.3789062000001</v>
      </c>
      <c r="I808">
        <v>1338.5131836</v>
      </c>
      <c r="J808">
        <v>1336.0224608999999</v>
      </c>
      <c r="K808">
        <v>0</v>
      </c>
      <c r="L808">
        <v>2400</v>
      </c>
      <c r="M808">
        <v>2400</v>
      </c>
      <c r="N808">
        <v>0</v>
      </c>
    </row>
    <row r="809" spans="1:14" x14ac:dyDescent="0.25">
      <c r="A809">
        <v>245</v>
      </c>
      <c r="B809" s="1">
        <f>DATE(2011,1,1) + TIME(0,0,0)</f>
        <v>40544</v>
      </c>
      <c r="C809">
        <v>80</v>
      </c>
      <c r="D809">
        <v>73.446670531999999</v>
      </c>
      <c r="E809">
        <v>50</v>
      </c>
      <c r="F809">
        <v>49.961189269999998</v>
      </c>
      <c r="G809">
        <v>1327.0467529</v>
      </c>
      <c r="H809">
        <v>1325.3239745999999</v>
      </c>
      <c r="I809">
        <v>1338.5058594</v>
      </c>
      <c r="J809">
        <v>1336.0181885</v>
      </c>
      <c r="K809">
        <v>0</v>
      </c>
      <c r="L809">
        <v>2400</v>
      </c>
      <c r="M809">
        <v>2400</v>
      </c>
      <c r="N809">
        <v>0</v>
      </c>
    </row>
    <row r="810" spans="1:14" x14ac:dyDescent="0.25">
      <c r="A810">
        <v>246.408626</v>
      </c>
      <c r="B810" s="1">
        <f>DATE(2011,1,2) + TIME(9,48,25)</f>
        <v>40545.408622685187</v>
      </c>
      <c r="C810">
        <v>80</v>
      </c>
      <c r="D810">
        <v>73.333396911999998</v>
      </c>
      <c r="E810">
        <v>50</v>
      </c>
      <c r="F810">
        <v>49.961238860999998</v>
      </c>
      <c r="G810">
        <v>1327.0145264</v>
      </c>
      <c r="H810">
        <v>1325.2789307</v>
      </c>
      <c r="I810">
        <v>1338.5010986</v>
      </c>
      <c r="J810">
        <v>1336.0155029</v>
      </c>
      <c r="K810">
        <v>0</v>
      </c>
      <c r="L810">
        <v>2400</v>
      </c>
      <c r="M810">
        <v>2400</v>
      </c>
      <c r="N810">
        <v>0</v>
      </c>
    </row>
    <row r="811" spans="1:14" x14ac:dyDescent="0.25">
      <c r="A811">
        <v>247.847038</v>
      </c>
      <c r="B811" s="1">
        <f>DATE(2011,1,3) + TIME(20,19,44)</f>
        <v>40546.847037037034</v>
      </c>
      <c r="C811">
        <v>80</v>
      </c>
      <c r="D811">
        <v>73.205345154</v>
      </c>
      <c r="E811">
        <v>50</v>
      </c>
      <c r="F811">
        <v>49.961284636999999</v>
      </c>
      <c r="G811">
        <v>1326.9753418</v>
      </c>
      <c r="H811">
        <v>1325.2271728999999</v>
      </c>
      <c r="I811">
        <v>1338.4940185999999</v>
      </c>
      <c r="J811">
        <v>1336.0114745999999</v>
      </c>
      <c r="K811">
        <v>0</v>
      </c>
      <c r="L811">
        <v>2400</v>
      </c>
      <c r="M811">
        <v>2400</v>
      </c>
      <c r="N811">
        <v>0</v>
      </c>
    </row>
    <row r="812" spans="1:14" x14ac:dyDescent="0.25">
      <c r="A812">
        <v>249.31086099999999</v>
      </c>
      <c r="B812" s="1">
        <f>DATE(2011,1,5) + TIME(7,27,38)</f>
        <v>40548.310856481483</v>
      </c>
      <c r="C812">
        <v>80</v>
      </c>
      <c r="D812">
        <v>73.070114136000001</v>
      </c>
      <c r="E812">
        <v>50</v>
      </c>
      <c r="F812">
        <v>49.961330414000003</v>
      </c>
      <c r="G812">
        <v>1326.9343262</v>
      </c>
      <c r="H812">
        <v>1325.1722411999999</v>
      </c>
      <c r="I812">
        <v>1338.4869385</v>
      </c>
      <c r="J812">
        <v>1336.0074463000001</v>
      </c>
      <c r="K812">
        <v>0</v>
      </c>
      <c r="L812">
        <v>2400</v>
      </c>
      <c r="M812">
        <v>2400</v>
      </c>
      <c r="N812">
        <v>0</v>
      </c>
    </row>
    <row r="813" spans="1:14" x14ac:dyDescent="0.25">
      <c r="A813">
        <v>250.80934400000001</v>
      </c>
      <c r="B813" s="1">
        <f>DATE(2011,1,6) + TIME(19,25,27)</f>
        <v>40549.809340277781</v>
      </c>
      <c r="C813">
        <v>80</v>
      </c>
      <c r="D813">
        <v>72.929962157999995</v>
      </c>
      <c r="E813">
        <v>50</v>
      </c>
      <c r="F813">
        <v>49.961376190000003</v>
      </c>
      <c r="G813">
        <v>1326.8924560999999</v>
      </c>
      <c r="H813">
        <v>1325.1160889</v>
      </c>
      <c r="I813">
        <v>1338.4799805</v>
      </c>
      <c r="J813">
        <v>1336.003418</v>
      </c>
      <c r="K813">
        <v>0</v>
      </c>
      <c r="L813">
        <v>2400</v>
      </c>
      <c r="M813">
        <v>2400</v>
      </c>
      <c r="N813">
        <v>0</v>
      </c>
    </row>
    <row r="814" spans="1:14" x14ac:dyDescent="0.25">
      <c r="A814">
        <v>252.35227399999999</v>
      </c>
      <c r="B814" s="1">
        <f>DATE(2011,1,8) + TIME(8,27,16)</f>
        <v>40551.352268518516</v>
      </c>
      <c r="C814">
        <v>80</v>
      </c>
      <c r="D814">
        <v>72.784927367999998</v>
      </c>
      <c r="E814">
        <v>50</v>
      </c>
      <c r="F814">
        <v>49.961425781000003</v>
      </c>
      <c r="G814">
        <v>1326.8500977000001</v>
      </c>
      <c r="H814">
        <v>1325.059082</v>
      </c>
      <c r="I814">
        <v>1338.4729004000001</v>
      </c>
      <c r="J814">
        <v>1335.9995117000001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253.930352</v>
      </c>
      <c r="B815" s="1">
        <f>DATE(2011,1,9) + TIME(22,19,42)</f>
        <v>40552.930347222224</v>
      </c>
      <c r="C815">
        <v>80</v>
      </c>
      <c r="D815">
        <v>72.634757996000005</v>
      </c>
      <c r="E815">
        <v>50</v>
      </c>
      <c r="F815">
        <v>49.961475372000002</v>
      </c>
      <c r="G815">
        <v>1326.8068848</v>
      </c>
      <c r="H815">
        <v>1325.0012207</v>
      </c>
      <c r="I815">
        <v>1338.4659423999999</v>
      </c>
      <c r="J815">
        <v>1335.9956055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255.52519699999999</v>
      </c>
      <c r="B816" s="1">
        <f>DATE(2011,1,11) + TIME(12,36,17)</f>
        <v>40554.525196759256</v>
      </c>
      <c r="C816">
        <v>80</v>
      </c>
      <c r="D816">
        <v>72.480194092000005</v>
      </c>
      <c r="E816">
        <v>50</v>
      </c>
      <c r="F816">
        <v>49.961524963000002</v>
      </c>
      <c r="G816">
        <v>1326.7633057</v>
      </c>
      <c r="H816">
        <v>1324.9426269999999</v>
      </c>
      <c r="I816">
        <v>1338.4588623</v>
      </c>
      <c r="J816">
        <v>1335.9916992000001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257.124866</v>
      </c>
      <c r="B817" s="1">
        <f>DATE(2011,1,13) + TIME(2,59,48)</f>
        <v>40556.124861111108</v>
      </c>
      <c r="C817">
        <v>80</v>
      </c>
      <c r="D817">
        <v>72.322532654</v>
      </c>
      <c r="E817">
        <v>50</v>
      </c>
      <c r="F817">
        <v>49.961574554000002</v>
      </c>
      <c r="G817">
        <v>1326.7194824000001</v>
      </c>
      <c r="H817">
        <v>1324.8837891000001</v>
      </c>
      <c r="I817">
        <v>1338.4517822</v>
      </c>
      <c r="J817">
        <v>1335.987793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258.73894799999999</v>
      </c>
      <c r="B818" s="1">
        <f>DATE(2011,1,14) + TIME(17,44,5)</f>
        <v>40557.738946759258</v>
      </c>
      <c r="C818">
        <v>80</v>
      </c>
      <c r="D818">
        <v>72.162406920999999</v>
      </c>
      <c r="E818">
        <v>50</v>
      </c>
      <c r="F818">
        <v>49.961624145999998</v>
      </c>
      <c r="G818">
        <v>1326.6760254000001</v>
      </c>
      <c r="H818">
        <v>1324.8251952999999</v>
      </c>
      <c r="I818">
        <v>1338.4449463000001</v>
      </c>
      <c r="J818">
        <v>1335.9840088000001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260.37336599999998</v>
      </c>
      <c r="B819" s="1">
        <f>DATE(2011,1,16) + TIME(8,57,38)</f>
        <v>40559.373356481483</v>
      </c>
      <c r="C819">
        <v>80</v>
      </c>
      <c r="D819">
        <v>71.999366760000001</v>
      </c>
      <c r="E819">
        <v>50</v>
      </c>
      <c r="F819">
        <v>49.961677551000001</v>
      </c>
      <c r="G819">
        <v>1326.6326904</v>
      </c>
      <c r="H819">
        <v>1324.7667236</v>
      </c>
      <c r="I819">
        <v>1338.4382324000001</v>
      </c>
      <c r="J819">
        <v>1335.9803466999999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262.034966</v>
      </c>
      <c r="B820" s="1">
        <f>DATE(2011,1,18) + TIME(0,50,21)</f>
        <v>40561.03496527778</v>
      </c>
      <c r="C820">
        <v>80</v>
      </c>
      <c r="D820">
        <v>71.832801818999997</v>
      </c>
      <c r="E820">
        <v>50</v>
      </c>
      <c r="F820">
        <v>49.961730957</v>
      </c>
      <c r="G820">
        <v>1326.5893555</v>
      </c>
      <c r="H820">
        <v>1324.708374</v>
      </c>
      <c r="I820">
        <v>1338.4315185999999</v>
      </c>
      <c r="J820">
        <v>1335.9766846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263.73453599999999</v>
      </c>
      <c r="B821" s="1">
        <f>DATE(2011,1,19) + TIME(17,37,43)</f>
        <v>40562.734525462962</v>
      </c>
      <c r="C821">
        <v>80</v>
      </c>
      <c r="D821">
        <v>71.661888122999997</v>
      </c>
      <c r="E821">
        <v>50</v>
      </c>
      <c r="F821">
        <v>49.961788177000003</v>
      </c>
      <c r="G821">
        <v>1326.5460204999999</v>
      </c>
      <c r="H821">
        <v>1324.6499022999999</v>
      </c>
      <c r="I821">
        <v>1338.4248047000001</v>
      </c>
      <c r="J821">
        <v>1335.9731445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265.483543</v>
      </c>
      <c r="B822" s="1">
        <f>DATE(2011,1,21) + TIME(11,36,18)</f>
        <v>40564.483541666668</v>
      </c>
      <c r="C822">
        <v>80</v>
      </c>
      <c r="D822">
        <v>71.485534668</v>
      </c>
      <c r="E822">
        <v>50</v>
      </c>
      <c r="F822">
        <v>49.961845398000001</v>
      </c>
      <c r="G822">
        <v>1326.5023193</v>
      </c>
      <c r="H822">
        <v>1324.5910644999999</v>
      </c>
      <c r="I822">
        <v>1338.4182129000001</v>
      </c>
      <c r="J822">
        <v>1335.9696045000001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267.26659100000001</v>
      </c>
      <c r="B823" s="1">
        <f>DATE(2011,1,23) + TIME(6,23,53)</f>
        <v>40566.266585648147</v>
      </c>
      <c r="C823">
        <v>80</v>
      </c>
      <c r="D823">
        <v>71.303153992000006</v>
      </c>
      <c r="E823">
        <v>50</v>
      </c>
      <c r="F823">
        <v>49.961902618000003</v>
      </c>
      <c r="G823">
        <v>1326.4580077999999</v>
      </c>
      <c r="H823">
        <v>1324.5313721</v>
      </c>
      <c r="I823">
        <v>1338.4113769999999</v>
      </c>
      <c r="J823">
        <v>1335.9659423999999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269.06707299999999</v>
      </c>
      <c r="B824" s="1">
        <f>DATE(2011,1,25) + TIME(1,36,35)</f>
        <v>40568.067071759258</v>
      </c>
      <c r="C824">
        <v>80</v>
      </c>
      <c r="D824">
        <v>71.115760803000001</v>
      </c>
      <c r="E824">
        <v>50</v>
      </c>
      <c r="F824">
        <v>49.961959839000002</v>
      </c>
      <c r="G824">
        <v>1326.4134521000001</v>
      </c>
      <c r="H824">
        <v>1324.4711914</v>
      </c>
      <c r="I824">
        <v>1338.4046631000001</v>
      </c>
      <c r="J824">
        <v>1335.9624022999999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270.87334700000002</v>
      </c>
      <c r="B825" s="1">
        <f>DATE(2011,1,26) + TIME(20,57,37)</f>
        <v>40569.873344907406</v>
      </c>
      <c r="C825">
        <v>80</v>
      </c>
      <c r="D825">
        <v>70.924766540999997</v>
      </c>
      <c r="E825">
        <v>50</v>
      </c>
      <c r="F825">
        <v>49.962020873999997</v>
      </c>
      <c r="G825">
        <v>1326.3687743999999</v>
      </c>
      <c r="H825">
        <v>1324.4108887</v>
      </c>
      <c r="I825">
        <v>1338.3980713000001</v>
      </c>
      <c r="J825">
        <v>1335.9588623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272.69689</v>
      </c>
      <c r="B826" s="1">
        <f>DATE(2011,1,28) + TIME(16,43,31)</f>
        <v>40571.696886574071</v>
      </c>
      <c r="C826">
        <v>80</v>
      </c>
      <c r="D826">
        <v>70.730873107999997</v>
      </c>
      <c r="E826">
        <v>50</v>
      </c>
      <c r="F826">
        <v>49.962081908999998</v>
      </c>
      <c r="G826">
        <v>1326.3244629000001</v>
      </c>
      <c r="H826">
        <v>1324.3509521000001</v>
      </c>
      <c r="I826">
        <v>1338.3914795000001</v>
      </c>
      <c r="J826">
        <v>1335.9554443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274.54400500000003</v>
      </c>
      <c r="B827" s="1">
        <f>DATE(2011,1,30) + TIME(13,3,22)</f>
        <v>40573.544004629628</v>
      </c>
      <c r="C827">
        <v>80</v>
      </c>
      <c r="D827">
        <v>70.533470154</v>
      </c>
      <c r="E827">
        <v>50</v>
      </c>
      <c r="F827">
        <v>49.962142944</v>
      </c>
      <c r="G827">
        <v>1326.2803954999999</v>
      </c>
      <c r="H827">
        <v>1324.2913818</v>
      </c>
      <c r="I827">
        <v>1338.3850098</v>
      </c>
      <c r="J827">
        <v>1335.9520264</v>
      </c>
      <c r="K827">
        <v>0</v>
      </c>
      <c r="L827">
        <v>2400</v>
      </c>
      <c r="M827">
        <v>2400</v>
      </c>
      <c r="N827">
        <v>0</v>
      </c>
    </row>
    <row r="828" spans="1:14" x14ac:dyDescent="0.25">
      <c r="A828">
        <v>276</v>
      </c>
      <c r="B828" s="1">
        <f>DATE(2011,2,1) + TIME(0,0,0)</f>
        <v>40575</v>
      </c>
      <c r="C828">
        <v>80</v>
      </c>
      <c r="D828">
        <v>70.344482421999999</v>
      </c>
      <c r="E828">
        <v>50</v>
      </c>
      <c r="F828">
        <v>49.962181090999998</v>
      </c>
      <c r="G828">
        <v>1326.2366943</v>
      </c>
      <c r="H828">
        <v>1324.2326660000001</v>
      </c>
      <c r="I828">
        <v>1338.3785399999999</v>
      </c>
      <c r="J828">
        <v>1335.9486084</v>
      </c>
      <c r="K828">
        <v>0</v>
      </c>
      <c r="L828">
        <v>2400</v>
      </c>
      <c r="M828">
        <v>2400</v>
      </c>
      <c r="N828">
        <v>0</v>
      </c>
    </row>
    <row r="829" spans="1:14" x14ac:dyDescent="0.25">
      <c r="A829">
        <v>277.879323</v>
      </c>
      <c r="B829" s="1">
        <f>DATE(2011,2,2) + TIME(21,6,13)</f>
        <v>40576.879317129627</v>
      </c>
      <c r="C829">
        <v>80</v>
      </c>
      <c r="D829">
        <v>70.164802550999994</v>
      </c>
      <c r="E829">
        <v>50</v>
      </c>
      <c r="F829">
        <v>49.962249755999999</v>
      </c>
      <c r="G829">
        <v>1326.1993408000001</v>
      </c>
      <c r="H829">
        <v>1324.1806641000001</v>
      </c>
      <c r="I829">
        <v>1338.3735352000001</v>
      </c>
      <c r="J829">
        <v>1335.9459228999999</v>
      </c>
      <c r="K829">
        <v>0</v>
      </c>
      <c r="L829">
        <v>2400</v>
      </c>
      <c r="M829">
        <v>2400</v>
      </c>
      <c r="N829">
        <v>0</v>
      </c>
    </row>
    <row r="830" spans="1:14" x14ac:dyDescent="0.25">
      <c r="A830">
        <v>279.84894700000001</v>
      </c>
      <c r="B830" s="1">
        <f>DATE(2011,2,4) + TIME(20,22,28)</f>
        <v>40578.848935185182</v>
      </c>
      <c r="C830">
        <v>80</v>
      </c>
      <c r="D830">
        <v>69.960838318</v>
      </c>
      <c r="E830">
        <v>50</v>
      </c>
      <c r="F830">
        <v>49.962318420000003</v>
      </c>
      <c r="G830">
        <v>1326.1577147999999</v>
      </c>
      <c r="H830">
        <v>1324.125</v>
      </c>
      <c r="I830">
        <v>1338.3671875</v>
      </c>
      <c r="J830">
        <v>1335.942749</v>
      </c>
      <c r="K830">
        <v>0</v>
      </c>
      <c r="L830">
        <v>2400</v>
      </c>
      <c r="M830">
        <v>2400</v>
      </c>
      <c r="N830">
        <v>0</v>
      </c>
    </row>
    <row r="831" spans="1:14" x14ac:dyDescent="0.25">
      <c r="A831">
        <v>281.85225300000002</v>
      </c>
      <c r="B831" s="1">
        <f>DATE(2011,2,6) + TIME(20,27,14)</f>
        <v>40580.85224537037</v>
      </c>
      <c r="C831">
        <v>80</v>
      </c>
      <c r="D831">
        <v>69.743217467999997</v>
      </c>
      <c r="E831">
        <v>50</v>
      </c>
      <c r="F831">
        <v>49.962387085000003</v>
      </c>
      <c r="G831">
        <v>1326.1136475000001</v>
      </c>
      <c r="H831">
        <v>1324.0655518000001</v>
      </c>
      <c r="I831">
        <v>1338.3605957</v>
      </c>
      <c r="J831">
        <v>1335.9393310999999</v>
      </c>
      <c r="K831">
        <v>0</v>
      </c>
      <c r="L831">
        <v>2400</v>
      </c>
      <c r="M831">
        <v>2400</v>
      </c>
      <c r="N831">
        <v>0</v>
      </c>
    </row>
    <row r="832" spans="1:14" x14ac:dyDescent="0.25">
      <c r="A832">
        <v>283.86186600000002</v>
      </c>
      <c r="B832" s="1">
        <f>DATE(2011,2,8) + TIME(20,41,5)</f>
        <v>40582.861863425926</v>
      </c>
      <c r="C832">
        <v>80</v>
      </c>
      <c r="D832">
        <v>69.518844603999995</v>
      </c>
      <c r="E832">
        <v>50</v>
      </c>
      <c r="F832">
        <v>49.962451934999997</v>
      </c>
      <c r="G832">
        <v>1326.0688477000001</v>
      </c>
      <c r="H832">
        <v>1324.0047606999999</v>
      </c>
      <c r="I832">
        <v>1338.354126</v>
      </c>
      <c r="J832">
        <v>1335.9359131000001</v>
      </c>
      <c r="K832">
        <v>0</v>
      </c>
      <c r="L832">
        <v>2400</v>
      </c>
      <c r="M832">
        <v>2400</v>
      </c>
      <c r="N832">
        <v>0</v>
      </c>
    </row>
    <row r="833" spans="1:14" x14ac:dyDescent="0.25">
      <c r="A833">
        <v>285.88163700000001</v>
      </c>
      <c r="B833" s="1">
        <f>DATE(2011,2,10) + TIME(21,9,33)</f>
        <v>40584.881631944445</v>
      </c>
      <c r="C833">
        <v>80</v>
      </c>
      <c r="D833">
        <v>69.290901184000006</v>
      </c>
      <c r="E833">
        <v>50</v>
      </c>
      <c r="F833">
        <v>49.962520599000001</v>
      </c>
      <c r="G833">
        <v>1326.0240478999999</v>
      </c>
      <c r="H833">
        <v>1323.9440918</v>
      </c>
      <c r="I833">
        <v>1338.3476562000001</v>
      </c>
      <c r="J833">
        <v>1335.9326172000001</v>
      </c>
      <c r="K833">
        <v>0</v>
      </c>
      <c r="L833">
        <v>2400</v>
      </c>
      <c r="M833">
        <v>2400</v>
      </c>
      <c r="N833">
        <v>0</v>
      </c>
    </row>
    <row r="834" spans="1:14" x14ac:dyDescent="0.25">
      <c r="A834">
        <v>287.92450200000002</v>
      </c>
      <c r="B834" s="1">
        <f>DATE(2011,2,12) + TIME(22,11,16)</f>
        <v>40586.924490740741</v>
      </c>
      <c r="C834">
        <v>80</v>
      </c>
      <c r="D834">
        <v>69.059577942000004</v>
      </c>
      <c r="E834">
        <v>50</v>
      </c>
      <c r="F834">
        <v>49.962589264000002</v>
      </c>
      <c r="G834">
        <v>1325.9797363</v>
      </c>
      <c r="H834">
        <v>1323.8837891000001</v>
      </c>
      <c r="I834">
        <v>1338.3413086</v>
      </c>
      <c r="J834">
        <v>1335.9293213000001</v>
      </c>
      <c r="K834">
        <v>0</v>
      </c>
      <c r="L834">
        <v>2400</v>
      </c>
      <c r="M834">
        <v>2400</v>
      </c>
      <c r="N834">
        <v>0</v>
      </c>
    </row>
    <row r="835" spans="1:14" x14ac:dyDescent="0.25">
      <c r="A835">
        <v>289.99578400000001</v>
      </c>
      <c r="B835" s="1">
        <f>DATE(2011,2,14) + TIME(23,53,55)</f>
        <v>40588.995775462965</v>
      </c>
      <c r="C835">
        <v>80</v>
      </c>
      <c r="D835">
        <v>68.823883057000003</v>
      </c>
      <c r="E835">
        <v>50</v>
      </c>
      <c r="F835">
        <v>49.962657927999999</v>
      </c>
      <c r="G835">
        <v>1325.9355469</v>
      </c>
      <c r="H835">
        <v>1323.8237305</v>
      </c>
      <c r="I835">
        <v>1338.3349608999999</v>
      </c>
      <c r="J835">
        <v>1335.9261475000001</v>
      </c>
      <c r="K835">
        <v>0</v>
      </c>
      <c r="L835">
        <v>2400</v>
      </c>
      <c r="M835">
        <v>2400</v>
      </c>
      <c r="N835">
        <v>0</v>
      </c>
    </row>
    <row r="836" spans="1:14" x14ac:dyDescent="0.25">
      <c r="A836">
        <v>292.10826300000002</v>
      </c>
      <c r="B836" s="1">
        <f>DATE(2011,2,17) + TIME(2,35,53)</f>
        <v>40591.108252314814</v>
      </c>
      <c r="C836">
        <v>80</v>
      </c>
      <c r="D836">
        <v>68.582885742000002</v>
      </c>
      <c r="E836">
        <v>50</v>
      </c>
      <c r="F836">
        <v>49.962726592999999</v>
      </c>
      <c r="G836">
        <v>1325.8914795000001</v>
      </c>
      <c r="H836">
        <v>1323.7636719</v>
      </c>
      <c r="I836">
        <v>1338.3286132999999</v>
      </c>
      <c r="J836">
        <v>1335.9228516000001</v>
      </c>
      <c r="K836">
        <v>0</v>
      </c>
      <c r="L836">
        <v>2400</v>
      </c>
      <c r="M836">
        <v>2400</v>
      </c>
      <c r="N836">
        <v>0</v>
      </c>
    </row>
    <row r="837" spans="1:14" x14ac:dyDescent="0.25">
      <c r="A837">
        <v>294.27711199999999</v>
      </c>
      <c r="B837" s="1">
        <f>DATE(2011,2,19) + TIME(6,39,2)</f>
        <v>40593.277106481481</v>
      </c>
      <c r="C837">
        <v>80</v>
      </c>
      <c r="D837">
        <v>68.335113524999997</v>
      </c>
      <c r="E837">
        <v>50</v>
      </c>
      <c r="F837">
        <v>49.962802887000002</v>
      </c>
      <c r="G837">
        <v>1325.8472899999999</v>
      </c>
      <c r="H837">
        <v>1323.7034911999999</v>
      </c>
      <c r="I837">
        <v>1338.3222656</v>
      </c>
      <c r="J837">
        <v>1335.9196777</v>
      </c>
      <c r="K837">
        <v>0</v>
      </c>
      <c r="L837">
        <v>2400</v>
      </c>
      <c r="M837">
        <v>2400</v>
      </c>
      <c r="N837">
        <v>0</v>
      </c>
    </row>
    <row r="838" spans="1:14" x14ac:dyDescent="0.25">
      <c r="A838">
        <v>295.39066000000003</v>
      </c>
      <c r="B838" s="1">
        <f>DATE(2011,2,20) + TIME(9,22,33)</f>
        <v>40594.390659722223</v>
      </c>
      <c r="C838">
        <v>80</v>
      </c>
      <c r="D838">
        <v>68.120712280000006</v>
      </c>
      <c r="E838">
        <v>50</v>
      </c>
      <c r="F838">
        <v>49.962821959999999</v>
      </c>
      <c r="G838">
        <v>1325.8034668</v>
      </c>
      <c r="H838">
        <v>1323.6451416</v>
      </c>
      <c r="I838">
        <v>1338.3160399999999</v>
      </c>
      <c r="J838">
        <v>1335.9163818</v>
      </c>
      <c r="K838">
        <v>0</v>
      </c>
      <c r="L838">
        <v>2400</v>
      </c>
      <c r="M838">
        <v>2400</v>
      </c>
      <c r="N838">
        <v>0</v>
      </c>
    </row>
    <row r="839" spans="1:14" x14ac:dyDescent="0.25">
      <c r="A839">
        <v>296.50420800000001</v>
      </c>
      <c r="B839" s="1">
        <f>DATE(2011,2,21) + TIME(12,6,3)</f>
        <v>40595.504201388889</v>
      </c>
      <c r="C839">
        <v>80</v>
      </c>
      <c r="D839">
        <v>67.961257935000006</v>
      </c>
      <c r="E839">
        <v>50</v>
      </c>
      <c r="F839">
        <v>49.962856293000002</v>
      </c>
      <c r="G839">
        <v>1325.7750243999999</v>
      </c>
      <c r="H839">
        <v>1323.6036377</v>
      </c>
      <c r="I839">
        <v>1338.3126221</v>
      </c>
      <c r="J839">
        <v>1335.9145507999999</v>
      </c>
      <c r="K839">
        <v>0</v>
      </c>
      <c r="L839">
        <v>2400</v>
      </c>
      <c r="M839">
        <v>2400</v>
      </c>
      <c r="N839">
        <v>0</v>
      </c>
    </row>
    <row r="840" spans="1:14" x14ac:dyDescent="0.25">
      <c r="A840">
        <v>297.61775599999999</v>
      </c>
      <c r="B840" s="1">
        <f>DATE(2011,2,22) + TIME(14,49,34)</f>
        <v>40596.617754629631</v>
      </c>
      <c r="C840">
        <v>80</v>
      </c>
      <c r="D840">
        <v>67.819313049000002</v>
      </c>
      <c r="E840">
        <v>50</v>
      </c>
      <c r="F840">
        <v>49.962890625</v>
      </c>
      <c r="G840">
        <v>1325.7503661999999</v>
      </c>
      <c r="H840">
        <v>1323.5690918</v>
      </c>
      <c r="I840">
        <v>1338.3093262</v>
      </c>
      <c r="J840">
        <v>1335.9129639</v>
      </c>
      <c r="K840">
        <v>0</v>
      </c>
      <c r="L840">
        <v>2400</v>
      </c>
      <c r="M840">
        <v>2400</v>
      </c>
      <c r="N840">
        <v>0</v>
      </c>
    </row>
    <row r="841" spans="1:14" x14ac:dyDescent="0.25">
      <c r="A841">
        <v>298.73130400000002</v>
      </c>
      <c r="B841" s="1">
        <f>DATE(2011,2,23) + TIME(17,33,4)</f>
        <v>40597.731296296297</v>
      </c>
      <c r="C841">
        <v>80</v>
      </c>
      <c r="D841">
        <v>67.682678222999996</v>
      </c>
      <c r="E841">
        <v>50</v>
      </c>
      <c r="F841">
        <v>49.962928771999998</v>
      </c>
      <c r="G841">
        <v>1325.7271728999999</v>
      </c>
      <c r="H841">
        <v>1323.5371094</v>
      </c>
      <c r="I841">
        <v>1338.3061522999999</v>
      </c>
      <c r="J841">
        <v>1335.9112548999999</v>
      </c>
      <c r="K841">
        <v>0</v>
      </c>
      <c r="L841">
        <v>2400</v>
      </c>
      <c r="M841">
        <v>2400</v>
      </c>
      <c r="N841">
        <v>0</v>
      </c>
    </row>
    <row r="842" spans="1:14" x14ac:dyDescent="0.25">
      <c r="A842">
        <v>299.844852</v>
      </c>
      <c r="B842" s="1">
        <f>DATE(2011,2,24) + TIME(20,16,35)</f>
        <v>40598.844849537039</v>
      </c>
      <c r="C842">
        <v>80</v>
      </c>
      <c r="D842">
        <v>67.547401428000001</v>
      </c>
      <c r="E842">
        <v>50</v>
      </c>
      <c r="F842">
        <v>49.962966919000003</v>
      </c>
      <c r="G842">
        <v>1325.7045897999999</v>
      </c>
      <c r="H842">
        <v>1323.5061035000001</v>
      </c>
      <c r="I842">
        <v>1338.3029785000001</v>
      </c>
      <c r="J842">
        <v>1335.909668</v>
      </c>
      <c r="K842">
        <v>0</v>
      </c>
      <c r="L842">
        <v>2400</v>
      </c>
      <c r="M842">
        <v>2400</v>
      </c>
      <c r="N842">
        <v>0</v>
      </c>
    </row>
    <row r="843" spans="1:14" x14ac:dyDescent="0.25">
      <c r="A843">
        <v>302.07194800000002</v>
      </c>
      <c r="B843" s="1">
        <f>DATE(2011,2,27) + TIME(1,43,36)</f>
        <v>40601.071944444448</v>
      </c>
      <c r="C843">
        <v>80</v>
      </c>
      <c r="D843">
        <v>67.386169433999996</v>
      </c>
      <c r="E843">
        <v>50</v>
      </c>
      <c r="F843">
        <v>49.963058472</v>
      </c>
      <c r="G843">
        <v>1325.6821289</v>
      </c>
      <c r="H843">
        <v>1323.4742432</v>
      </c>
      <c r="I843">
        <v>1338.2998047000001</v>
      </c>
      <c r="J843">
        <v>1335.9079589999999</v>
      </c>
      <c r="K843">
        <v>0</v>
      </c>
      <c r="L843">
        <v>2400</v>
      </c>
      <c r="M843">
        <v>2400</v>
      </c>
      <c r="N843">
        <v>0</v>
      </c>
    </row>
    <row r="844" spans="1:14" x14ac:dyDescent="0.25">
      <c r="A844">
        <v>304</v>
      </c>
      <c r="B844" s="1">
        <f>DATE(2011,3,1) + TIME(0,0,0)</f>
        <v>40603</v>
      </c>
      <c r="C844">
        <v>80</v>
      </c>
      <c r="D844">
        <v>67.143737793</v>
      </c>
      <c r="E844">
        <v>50</v>
      </c>
      <c r="F844">
        <v>49.963123322000001</v>
      </c>
      <c r="G844">
        <v>1325.6453856999999</v>
      </c>
      <c r="H844">
        <v>1323.4270019999999</v>
      </c>
      <c r="I844">
        <v>1338.2937012</v>
      </c>
      <c r="J844">
        <v>1335.9049072</v>
      </c>
      <c r="K844">
        <v>0</v>
      </c>
      <c r="L844">
        <v>2400</v>
      </c>
      <c r="M844">
        <v>2400</v>
      </c>
      <c r="N844">
        <v>0</v>
      </c>
    </row>
    <row r="845" spans="1:14" x14ac:dyDescent="0.25">
      <c r="A845">
        <v>306.22787</v>
      </c>
      <c r="B845" s="1">
        <f>DATE(2011,3,3) + TIME(5,28,7)</f>
        <v>40605.227858796294</v>
      </c>
      <c r="C845">
        <v>80</v>
      </c>
      <c r="D845">
        <v>66.899040221999996</v>
      </c>
      <c r="E845">
        <v>50</v>
      </c>
      <c r="F845">
        <v>49.96320343</v>
      </c>
      <c r="G845">
        <v>1325.6077881000001</v>
      </c>
      <c r="H845">
        <v>1323.375</v>
      </c>
      <c r="I845">
        <v>1338.2883300999999</v>
      </c>
      <c r="J845">
        <v>1335.9020995999999</v>
      </c>
      <c r="K845">
        <v>0</v>
      </c>
      <c r="L845">
        <v>2400</v>
      </c>
      <c r="M845">
        <v>2400</v>
      </c>
      <c r="N845">
        <v>0</v>
      </c>
    </row>
    <row r="846" spans="1:14" x14ac:dyDescent="0.25">
      <c r="A846">
        <v>308.54514899999998</v>
      </c>
      <c r="B846" s="1">
        <f>DATE(2011,3,5) + TIME(13,5,0)</f>
        <v>40607.545138888891</v>
      </c>
      <c r="C846">
        <v>80</v>
      </c>
      <c r="D846">
        <v>66.628250121999997</v>
      </c>
      <c r="E846">
        <v>50</v>
      </c>
      <c r="F846">
        <v>49.963283539000003</v>
      </c>
      <c r="G846">
        <v>1325.5671387</v>
      </c>
      <c r="H846">
        <v>1323.3197021000001</v>
      </c>
      <c r="I846">
        <v>1338.2823486</v>
      </c>
      <c r="J846">
        <v>1335.8990478999999</v>
      </c>
      <c r="K846">
        <v>0</v>
      </c>
      <c r="L846">
        <v>2400</v>
      </c>
      <c r="M846">
        <v>2400</v>
      </c>
      <c r="N846">
        <v>0</v>
      </c>
    </row>
    <row r="847" spans="1:14" x14ac:dyDescent="0.25">
      <c r="A847">
        <v>310.93207699999999</v>
      </c>
      <c r="B847" s="1">
        <f>DATE(2011,3,7) + TIME(22,22,11)</f>
        <v>40609.932071759256</v>
      </c>
      <c r="C847">
        <v>80</v>
      </c>
      <c r="D847">
        <v>66.342247009000005</v>
      </c>
      <c r="E847">
        <v>50</v>
      </c>
      <c r="F847">
        <v>49.963363647000001</v>
      </c>
      <c r="G847">
        <v>1325.5246582</v>
      </c>
      <c r="H847">
        <v>1323.2614745999999</v>
      </c>
      <c r="I847">
        <v>1338.2761230000001</v>
      </c>
      <c r="J847">
        <v>1335.895874</v>
      </c>
      <c r="K847">
        <v>0</v>
      </c>
      <c r="L847">
        <v>2400</v>
      </c>
      <c r="M847">
        <v>2400</v>
      </c>
      <c r="N847">
        <v>0</v>
      </c>
    </row>
    <row r="848" spans="1:14" x14ac:dyDescent="0.25">
      <c r="A848">
        <v>312.167843</v>
      </c>
      <c r="B848" s="1">
        <f>DATE(2011,3,9) + TIME(4,1,41)</f>
        <v>40611.16783564815</v>
      </c>
      <c r="C848">
        <v>80</v>
      </c>
      <c r="D848">
        <v>66.088569641000007</v>
      </c>
      <c r="E848">
        <v>50</v>
      </c>
      <c r="F848">
        <v>49.963390349999997</v>
      </c>
      <c r="G848">
        <v>1325.4818115</v>
      </c>
      <c r="H848">
        <v>1323.2039795000001</v>
      </c>
      <c r="I848">
        <v>1338.2698975000001</v>
      </c>
      <c r="J848">
        <v>1335.8925781</v>
      </c>
      <c r="K848">
        <v>0</v>
      </c>
      <c r="L848">
        <v>2400</v>
      </c>
      <c r="M848">
        <v>2400</v>
      </c>
      <c r="N848">
        <v>0</v>
      </c>
    </row>
    <row r="849" spans="1:14" x14ac:dyDescent="0.25">
      <c r="A849">
        <v>313.40361000000001</v>
      </c>
      <c r="B849" s="1">
        <f>DATE(2011,3,10) + TIME(9,41,11)</f>
        <v>40612.403599537036</v>
      </c>
      <c r="C849">
        <v>80</v>
      </c>
      <c r="D849">
        <v>65.903518676999994</v>
      </c>
      <c r="E849">
        <v>50</v>
      </c>
      <c r="F849">
        <v>49.963424683</v>
      </c>
      <c r="G849">
        <v>1325.4538574000001</v>
      </c>
      <c r="H849">
        <v>1323.1628418</v>
      </c>
      <c r="I849">
        <v>1338.2664795000001</v>
      </c>
      <c r="J849">
        <v>1335.8908690999999</v>
      </c>
      <c r="K849">
        <v>0</v>
      </c>
      <c r="L849">
        <v>2400</v>
      </c>
      <c r="M849">
        <v>2400</v>
      </c>
      <c r="N849">
        <v>0</v>
      </c>
    </row>
    <row r="850" spans="1:14" x14ac:dyDescent="0.25">
      <c r="A850">
        <v>314.63937700000002</v>
      </c>
      <c r="B850" s="1">
        <f>DATE(2011,3,11) + TIME(15,20,42)</f>
        <v>40613.639374999999</v>
      </c>
      <c r="C850">
        <v>80</v>
      </c>
      <c r="D850">
        <v>65.738395690999994</v>
      </c>
      <c r="E850">
        <v>50</v>
      </c>
      <c r="F850">
        <v>49.963466644</v>
      </c>
      <c r="G850">
        <v>1325.4298096</v>
      </c>
      <c r="H850">
        <v>1323.1287841999999</v>
      </c>
      <c r="I850">
        <v>1338.2631836</v>
      </c>
      <c r="J850">
        <v>1335.8891602000001</v>
      </c>
      <c r="K850">
        <v>0</v>
      </c>
      <c r="L850">
        <v>2400</v>
      </c>
      <c r="M850">
        <v>2400</v>
      </c>
      <c r="N850">
        <v>0</v>
      </c>
    </row>
    <row r="851" spans="1:14" x14ac:dyDescent="0.25">
      <c r="A851">
        <v>315.87514299999998</v>
      </c>
      <c r="B851" s="1">
        <f>DATE(2011,3,12) + TIME(21,0,12)</f>
        <v>40614.875138888892</v>
      </c>
      <c r="C851">
        <v>80</v>
      </c>
      <c r="D851">
        <v>65.578758239999999</v>
      </c>
      <c r="E851">
        <v>50</v>
      </c>
      <c r="F851">
        <v>49.963508605999998</v>
      </c>
      <c r="G851">
        <v>1325.4072266000001</v>
      </c>
      <c r="H851">
        <v>1323.097168</v>
      </c>
      <c r="I851">
        <v>1338.2600098</v>
      </c>
      <c r="J851">
        <v>1335.8874512</v>
      </c>
      <c r="K851">
        <v>0</v>
      </c>
      <c r="L851">
        <v>2400</v>
      </c>
      <c r="M851">
        <v>2400</v>
      </c>
      <c r="N851">
        <v>0</v>
      </c>
    </row>
    <row r="852" spans="1:14" x14ac:dyDescent="0.25">
      <c r="A852">
        <v>317.11090999999999</v>
      </c>
      <c r="B852" s="1">
        <f>DATE(2011,3,14) + TIME(2,39,42)</f>
        <v>40616.110902777778</v>
      </c>
      <c r="C852">
        <v>80</v>
      </c>
      <c r="D852">
        <v>65.420333862000007</v>
      </c>
      <c r="E852">
        <v>50</v>
      </c>
      <c r="F852">
        <v>49.963550568000002</v>
      </c>
      <c r="G852">
        <v>1325.3851318</v>
      </c>
      <c r="H852">
        <v>1323.0666504000001</v>
      </c>
      <c r="I852">
        <v>1338.2568358999999</v>
      </c>
      <c r="J852">
        <v>1335.8857422000001</v>
      </c>
      <c r="K852">
        <v>0</v>
      </c>
      <c r="L852">
        <v>2400</v>
      </c>
      <c r="M852">
        <v>2400</v>
      </c>
      <c r="N852">
        <v>0</v>
      </c>
    </row>
    <row r="853" spans="1:14" x14ac:dyDescent="0.25">
      <c r="A853">
        <v>319.58244300000001</v>
      </c>
      <c r="B853" s="1">
        <f>DATE(2011,3,16) + TIME(13,58,43)</f>
        <v>40618.582442129627</v>
      </c>
      <c r="C853">
        <v>80</v>
      </c>
      <c r="D853">
        <v>65.234352111999996</v>
      </c>
      <c r="E853">
        <v>50</v>
      </c>
      <c r="F853">
        <v>49.963649750000002</v>
      </c>
      <c r="G853">
        <v>1325.3632812000001</v>
      </c>
      <c r="H853">
        <v>1323.0351562000001</v>
      </c>
      <c r="I853">
        <v>1338.2536620999999</v>
      </c>
      <c r="J853">
        <v>1335.8841553</v>
      </c>
      <c r="K853">
        <v>0</v>
      </c>
      <c r="L853">
        <v>2400</v>
      </c>
      <c r="M853">
        <v>2400</v>
      </c>
      <c r="N853">
        <v>0</v>
      </c>
    </row>
    <row r="854" spans="1:14" x14ac:dyDescent="0.25">
      <c r="A854">
        <v>322.05825499999997</v>
      </c>
      <c r="B854" s="1">
        <f>DATE(2011,3,19) + TIME(1,23,53)</f>
        <v>40621.058252314811</v>
      </c>
      <c r="C854">
        <v>80</v>
      </c>
      <c r="D854">
        <v>64.939842224000003</v>
      </c>
      <c r="E854">
        <v>50</v>
      </c>
      <c r="F854">
        <v>49.963737488</v>
      </c>
      <c r="G854">
        <v>1325.3272704999999</v>
      </c>
      <c r="H854">
        <v>1322.9881591999999</v>
      </c>
      <c r="I854">
        <v>1338.2474365</v>
      </c>
      <c r="J854">
        <v>1335.8809814000001</v>
      </c>
      <c r="K854">
        <v>0</v>
      </c>
      <c r="L854">
        <v>2400</v>
      </c>
      <c r="M854">
        <v>2400</v>
      </c>
      <c r="N854">
        <v>0</v>
      </c>
    </row>
    <row r="855" spans="1:14" x14ac:dyDescent="0.25">
      <c r="A855">
        <v>324.585489</v>
      </c>
      <c r="B855" s="1">
        <f>DATE(2011,3,21) + TIME(14,3,6)</f>
        <v>40623.585486111115</v>
      </c>
      <c r="C855">
        <v>80</v>
      </c>
      <c r="D855">
        <v>64.623413085999999</v>
      </c>
      <c r="E855">
        <v>50</v>
      </c>
      <c r="F855">
        <v>49.963821410999998</v>
      </c>
      <c r="G855">
        <v>1325.2867432</v>
      </c>
      <c r="H855">
        <v>1322.9321289</v>
      </c>
      <c r="I855">
        <v>1338.2413329999999</v>
      </c>
      <c r="J855">
        <v>1335.8776855000001</v>
      </c>
      <c r="K855">
        <v>0</v>
      </c>
      <c r="L855">
        <v>2400</v>
      </c>
      <c r="M855">
        <v>2400</v>
      </c>
      <c r="N855">
        <v>0</v>
      </c>
    </row>
    <row r="856" spans="1:14" x14ac:dyDescent="0.25">
      <c r="A856">
        <v>327.18418700000001</v>
      </c>
      <c r="B856" s="1">
        <f>DATE(2011,3,24) + TIME(4,25,13)</f>
        <v>40626.184178240743</v>
      </c>
      <c r="C856">
        <v>80</v>
      </c>
      <c r="D856">
        <v>64.295646667</v>
      </c>
      <c r="E856">
        <v>50</v>
      </c>
      <c r="F856">
        <v>49.963909149000003</v>
      </c>
      <c r="G856">
        <v>1325.2452393000001</v>
      </c>
      <c r="H856">
        <v>1322.8745117000001</v>
      </c>
      <c r="I856">
        <v>1338.2349853999999</v>
      </c>
      <c r="J856">
        <v>1335.8743896000001</v>
      </c>
      <c r="K856">
        <v>0</v>
      </c>
      <c r="L856">
        <v>2400</v>
      </c>
      <c r="M856">
        <v>2400</v>
      </c>
      <c r="N856">
        <v>0</v>
      </c>
    </row>
    <row r="857" spans="1:14" x14ac:dyDescent="0.25">
      <c r="A857">
        <v>329.87601799999999</v>
      </c>
      <c r="B857" s="1">
        <f>DATE(2011,3,26) + TIME(21,1,27)</f>
        <v>40628.876006944447</v>
      </c>
      <c r="C857">
        <v>80</v>
      </c>
      <c r="D857">
        <v>63.955867767000001</v>
      </c>
      <c r="E857">
        <v>50</v>
      </c>
      <c r="F857">
        <v>49.964000702</v>
      </c>
      <c r="G857">
        <v>1325.2033690999999</v>
      </c>
      <c r="H857">
        <v>1322.8160399999999</v>
      </c>
      <c r="I857">
        <v>1338.2286377</v>
      </c>
      <c r="J857">
        <v>1335.8710937999999</v>
      </c>
      <c r="K857">
        <v>0</v>
      </c>
      <c r="L857">
        <v>2400</v>
      </c>
      <c r="M857">
        <v>2400</v>
      </c>
      <c r="N857">
        <v>0</v>
      </c>
    </row>
    <row r="858" spans="1:14" x14ac:dyDescent="0.25">
      <c r="A858">
        <v>332.58569699999998</v>
      </c>
      <c r="B858" s="1">
        <f>DATE(2011,3,29) + TIME(14,3,24)</f>
        <v>40631.585694444446</v>
      </c>
      <c r="C858">
        <v>80</v>
      </c>
      <c r="D858">
        <v>63.603721618999998</v>
      </c>
      <c r="E858">
        <v>50</v>
      </c>
      <c r="F858">
        <v>49.964088439999998</v>
      </c>
      <c r="G858">
        <v>1325.1608887</v>
      </c>
      <c r="H858">
        <v>1322.7569579999999</v>
      </c>
      <c r="I858">
        <v>1338.222168</v>
      </c>
      <c r="J858">
        <v>1335.8675536999999</v>
      </c>
      <c r="K858">
        <v>0</v>
      </c>
      <c r="L858">
        <v>2400</v>
      </c>
      <c r="M858">
        <v>2400</v>
      </c>
      <c r="N858">
        <v>0</v>
      </c>
    </row>
    <row r="859" spans="1:14" x14ac:dyDescent="0.25">
      <c r="A859">
        <v>335</v>
      </c>
      <c r="B859" s="1">
        <f>DATE(2011,4,1) + TIME(0,0,0)</f>
        <v>40634</v>
      </c>
      <c r="C859">
        <v>80</v>
      </c>
      <c r="D859">
        <v>63.252864838000001</v>
      </c>
      <c r="E859">
        <v>50</v>
      </c>
      <c r="F859">
        <v>49.964164734000001</v>
      </c>
      <c r="G859">
        <v>1325.1187743999999</v>
      </c>
      <c r="H859">
        <v>1322.6982422000001</v>
      </c>
      <c r="I859">
        <v>1338.2156981999999</v>
      </c>
      <c r="J859">
        <v>1335.8641356999999</v>
      </c>
      <c r="K859">
        <v>0</v>
      </c>
      <c r="L859">
        <v>2400</v>
      </c>
      <c r="M859">
        <v>2400</v>
      </c>
      <c r="N859">
        <v>0</v>
      </c>
    </row>
    <row r="860" spans="1:14" x14ac:dyDescent="0.25">
      <c r="A860">
        <v>337.72157900000002</v>
      </c>
      <c r="B860" s="1">
        <f>DATE(2011,4,3) + TIME(17,19,4)</f>
        <v>40636.721574074072</v>
      </c>
      <c r="C860">
        <v>80</v>
      </c>
      <c r="D860">
        <v>62.919486999999997</v>
      </c>
      <c r="E860">
        <v>50</v>
      </c>
      <c r="F860">
        <v>49.964260101000001</v>
      </c>
      <c r="G860">
        <v>1325.0805664</v>
      </c>
      <c r="H860">
        <v>1322.6435547000001</v>
      </c>
      <c r="I860">
        <v>1338.2099608999999</v>
      </c>
      <c r="J860">
        <v>1335.8610839999999</v>
      </c>
      <c r="K860">
        <v>0</v>
      </c>
      <c r="L860">
        <v>2400</v>
      </c>
      <c r="M860">
        <v>2400</v>
      </c>
      <c r="N860">
        <v>0</v>
      </c>
    </row>
    <row r="861" spans="1:14" x14ac:dyDescent="0.25">
      <c r="A861">
        <v>340.51181800000001</v>
      </c>
      <c r="B861" s="1">
        <f>DATE(2011,4,6) + TIME(12,17,1)</f>
        <v>40639.511817129627</v>
      </c>
      <c r="C861">
        <v>80</v>
      </c>
      <c r="D861">
        <v>62.558826447000001</v>
      </c>
      <c r="E861">
        <v>50</v>
      </c>
      <c r="F861">
        <v>49.964351653999998</v>
      </c>
      <c r="G861">
        <v>1325.0410156</v>
      </c>
      <c r="H861">
        <v>1322.5883789</v>
      </c>
      <c r="I861">
        <v>1338.2036132999999</v>
      </c>
      <c r="J861">
        <v>1335.8575439000001</v>
      </c>
      <c r="K861">
        <v>0</v>
      </c>
      <c r="L861">
        <v>2400</v>
      </c>
      <c r="M861">
        <v>2400</v>
      </c>
      <c r="N861">
        <v>0</v>
      </c>
    </row>
    <row r="862" spans="1:14" x14ac:dyDescent="0.25">
      <c r="A862">
        <v>343.35620599999999</v>
      </c>
      <c r="B862" s="1">
        <f>DATE(2011,4,9) + TIME(8,32,56)</f>
        <v>40642.356203703705</v>
      </c>
      <c r="C862">
        <v>80</v>
      </c>
      <c r="D862">
        <v>62.185020446999999</v>
      </c>
      <c r="E862">
        <v>50</v>
      </c>
      <c r="F862">
        <v>49.964447020999998</v>
      </c>
      <c r="G862">
        <v>1325.0008545000001</v>
      </c>
      <c r="H862">
        <v>1322.5317382999999</v>
      </c>
      <c r="I862">
        <v>1338.1971435999999</v>
      </c>
      <c r="J862">
        <v>1335.854126</v>
      </c>
      <c r="K862">
        <v>0</v>
      </c>
      <c r="L862">
        <v>2400</v>
      </c>
      <c r="M862">
        <v>2400</v>
      </c>
      <c r="N862">
        <v>0</v>
      </c>
    </row>
    <row r="863" spans="1:14" x14ac:dyDescent="0.25">
      <c r="A863">
        <v>346.27388000000002</v>
      </c>
      <c r="B863" s="1">
        <f>DATE(2011,4,12) + TIME(6,34,23)</f>
        <v>40645.273877314816</v>
      </c>
      <c r="C863">
        <v>80</v>
      </c>
      <c r="D863">
        <v>61.801342009999999</v>
      </c>
      <c r="E863">
        <v>50</v>
      </c>
      <c r="F863">
        <v>49.964542389000002</v>
      </c>
      <c r="G863">
        <v>1324.9608154</v>
      </c>
      <c r="H863">
        <v>1322.4750977000001</v>
      </c>
      <c r="I863">
        <v>1338.1905518000001</v>
      </c>
      <c r="J863">
        <v>1335.8504639</v>
      </c>
      <c r="K863">
        <v>0</v>
      </c>
      <c r="L863">
        <v>2400</v>
      </c>
      <c r="M863">
        <v>2400</v>
      </c>
      <c r="N863">
        <v>0</v>
      </c>
    </row>
    <row r="864" spans="1:14" x14ac:dyDescent="0.25">
      <c r="A864">
        <v>349.20595700000001</v>
      </c>
      <c r="B864" s="1">
        <f>DATE(2011,4,15) + TIME(4,56,34)</f>
        <v>40648.205949074072</v>
      </c>
      <c r="C864">
        <v>80</v>
      </c>
      <c r="D864">
        <v>61.407646178999997</v>
      </c>
      <c r="E864">
        <v>50</v>
      </c>
      <c r="F864">
        <v>49.964637756000002</v>
      </c>
      <c r="G864">
        <v>1324.9208983999999</v>
      </c>
      <c r="H864">
        <v>1322.4183350000001</v>
      </c>
      <c r="I864">
        <v>1338.1839600000001</v>
      </c>
      <c r="J864">
        <v>1335.8469238</v>
      </c>
      <c r="K864">
        <v>0</v>
      </c>
      <c r="L864">
        <v>2400</v>
      </c>
      <c r="M864">
        <v>2400</v>
      </c>
      <c r="N864">
        <v>0</v>
      </c>
    </row>
    <row r="865" spans="1:14" x14ac:dyDescent="0.25">
      <c r="A865">
        <v>352.15018900000001</v>
      </c>
      <c r="B865" s="1">
        <f>DATE(2011,4,18) + TIME(3,36,16)</f>
        <v>40651.150185185186</v>
      </c>
      <c r="C865">
        <v>80</v>
      </c>
      <c r="D865">
        <v>61.009803771999998</v>
      </c>
      <c r="E865">
        <v>50</v>
      </c>
      <c r="F865">
        <v>49.964733123999999</v>
      </c>
      <c r="G865">
        <v>1324.8815918</v>
      </c>
      <c r="H865">
        <v>1322.3624268000001</v>
      </c>
      <c r="I865">
        <v>1338.1773682</v>
      </c>
      <c r="J865">
        <v>1335.8432617000001</v>
      </c>
      <c r="K865">
        <v>0</v>
      </c>
      <c r="L865">
        <v>2400</v>
      </c>
      <c r="M865">
        <v>2400</v>
      </c>
      <c r="N865">
        <v>0</v>
      </c>
    </row>
    <row r="866" spans="1:14" x14ac:dyDescent="0.25">
      <c r="A866">
        <v>355.12535300000002</v>
      </c>
      <c r="B866" s="1">
        <f>DATE(2011,4,21) + TIME(3,0,30)</f>
        <v>40654.125347222223</v>
      </c>
      <c r="C866">
        <v>80</v>
      </c>
      <c r="D866">
        <v>60.608791351000001</v>
      </c>
      <c r="E866">
        <v>50</v>
      </c>
      <c r="F866">
        <v>49.964832305999998</v>
      </c>
      <c r="G866">
        <v>1324.8432617000001</v>
      </c>
      <c r="H866">
        <v>1322.3077393000001</v>
      </c>
      <c r="I866">
        <v>1338.1707764</v>
      </c>
      <c r="J866">
        <v>1335.8395995999999</v>
      </c>
      <c r="K866">
        <v>0</v>
      </c>
      <c r="L866">
        <v>2400</v>
      </c>
      <c r="M866">
        <v>2400</v>
      </c>
      <c r="N866">
        <v>0</v>
      </c>
    </row>
    <row r="867" spans="1:14" x14ac:dyDescent="0.25">
      <c r="A867">
        <v>358.14869599999997</v>
      </c>
      <c r="B867" s="1">
        <f>DATE(2011,4,24) + TIME(3,34,7)</f>
        <v>40657.148692129631</v>
      </c>
      <c r="C867">
        <v>80</v>
      </c>
      <c r="D867">
        <v>60.203083038000003</v>
      </c>
      <c r="E867">
        <v>50</v>
      </c>
      <c r="F867">
        <v>49.964931487999998</v>
      </c>
      <c r="G867">
        <v>1324.8057861</v>
      </c>
      <c r="H867">
        <v>1322.2540283000001</v>
      </c>
      <c r="I867">
        <v>1338.1641846</v>
      </c>
      <c r="J867">
        <v>1335.8358154</v>
      </c>
      <c r="K867">
        <v>0</v>
      </c>
      <c r="L867">
        <v>2400</v>
      </c>
      <c r="M867">
        <v>2400</v>
      </c>
      <c r="N867">
        <v>0</v>
      </c>
    </row>
    <row r="868" spans="1:14" x14ac:dyDescent="0.25">
      <c r="A868">
        <v>361.23002000000002</v>
      </c>
      <c r="B868" s="1">
        <f>DATE(2011,4,27) + TIME(5,31,13)</f>
        <v>40660.230011574073</v>
      </c>
      <c r="C868">
        <v>80</v>
      </c>
      <c r="D868">
        <v>59.790534973</v>
      </c>
      <c r="E868">
        <v>50</v>
      </c>
      <c r="F868">
        <v>49.965030669999997</v>
      </c>
      <c r="G868">
        <v>1324.7691649999999</v>
      </c>
      <c r="H868">
        <v>1322.2012939000001</v>
      </c>
      <c r="I868">
        <v>1338.1575928</v>
      </c>
      <c r="J868">
        <v>1335.8320312000001</v>
      </c>
      <c r="K868">
        <v>0</v>
      </c>
      <c r="L868">
        <v>2400</v>
      </c>
      <c r="M868">
        <v>2400</v>
      </c>
      <c r="N868">
        <v>0</v>
      </c>
    </row>
    <row r="869" spans="1:14" x14ac:dyDescent="0.25">
      <c r="A869">
        <v>364.38952799999998</v>
      </c>
      <c r="B869" s="1">
        <f>DATE(2011,4,30) + TIME(9,20,55)</f>
        <v>40663.389525462961</v>
      </c>
      <c r="C869">
        <v>80</v>
      </c>
      <c r="D869">
        <v>59.370281218999999</v>
      </c>
      <c r="E869">
        <v>50</v>
      </c>
      <c r="F869">
        <v>49.965133667000003</v>
      </c>
      <c r="G869">
        <v>1324.7330322</v>
      </c>
      <c r="H869">
        <v>1322.1494141000001</v>
      </c>
      <c r="I869">
        <v>1338.1508789</v>
      </c>
      <c r="J869">
        <v>1335.8282471</v>
      </c>
      <c r="K869">
        <v>0</v>
      </c>
      <c r="L869">
        <v>2400</v>
      </c>
      <c r="M869">
        <v>2400</v>
      </c>
      <c r="N869">
        <v>0</v>
      </c>
    </row>
    <row r="870" spans="1:14" x14ac:dyDescent="0.25">
      <c r="A870">
        <v>365</v>
      </c>
      <c r="B870" s="1">
        <f>DATE(2011,5,1) + TIME(0,0,0)</f>
        <v>40664</v>
      </c>
      <c r="C870">
        <v>80</v>
      </c>
      <c r="D870">
        <v>59.099040985000002</v>
      </c>
      <c r="E870">
        <v>50</v>
      </c>
      <c r="F870">
        <v>49.965133667000003</v>
      </c>
      <c r="G870">
        <v>1324.6970214999999</v>
      </c>
      <c r="H870">
        <v>1322.1031493999999</v>
      </c>
      <c r="I870">
        <v>1338.1448975000001</v>
      </c>
      <c r="J870">
        <v>1335.8249512</v>
      </c>
      <c r="K870">
        <v>0</v>
      </c>
      <c r="L870">
        <v>2400</v>
      </c>
      <c r="M870">
        <v>2400</v>
      </c>
      <c r="N870">
        <v>0</v>
      </c>
    </row>
    <row r="871" spans="1:14" x14ac:dyDescent="0.25">
      <c r="A871">
        <v>365.000001</v>
      </c>
      <c r="B871" s="1">
        <f>DATE(2011,5,1) + TIME(0,0,0)</f>
        <v>40664</v>
      </c>
      <c r="C871">
        <v>80</v>
      </c>
      <c r="D871">
        <v>59.099117278999998</v>
      </c>
      <c r="E871">
        <v>50</v>
      </c>
      <c r="F871">
        <v>49.965118408000002</v>
      </c>
      <c r="G871">
        <v>1327.5526123</v>
      </c>
      <c r="H871">
        <v>1324.7131348</v>
      </c>
      <c r="I871">
        <v>1335.8151855000001</v>
      </c>
      <c r="J871">
        <v>1334.2999268000001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365.00000399999999</v>
      </c>
      <c r="B872" s="1">
        <f>DATE(2011,5,1) + TIME(0,0,0)</f>
        <v>40664</v>
      </c>
      <c r="C872">
        <v>80</v>
      </c>
      <c r="D872">
        <v>59.099346161</v>
      </c>
      <c r="E872">
        <v>50</v>
      </c>
      <c r="F872">
        <v>49.965072632000002</v>
      </c>
      <c r="G872">
        <v>1327.5850829999999</v>
      </c>
      <c r="H872">
        <v>1324.760376</v>
      </c>
      <c r="I872">
        <v>1335.7862548999999</v>
      </c>
      <c r="J872">
        <v>1334.2709961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365.00001300000002</v>
      </c>
      <c r="B873" s="1">
        <f>DATE(2011,5,1) + TIME(0,0,1)</f>
        <v>40664.000011574077</v>
      </c>
      <c r="C873">
        <v>80</v>
      </c>
      <c r="D873">
        <v>59.100017547999997</v>
      </c>
      <c r="E873">
        <v>50</v>
      </c>
      <c r="F873">
        <v>49.964939117</v>
      </c>
      <c r="G873">
        <v>1327.6789550999999</v>
      </c>
      <c r="H873">
        <v>1324.8946533000001</v>
      </c>
      <c r="I873">
        <v>1335.7028809000001</v>
      </c>
      <c r="J873">
        <v>1334.1876221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365.00004000000001</v>
      </c>
      <c r="B874" s="1">
        <f>DATE(2011,5,1) + TIME(0,0,3)</f>
        <v>40664.000034722223</v>
      </c>
      <c r="C874">
        <v>80</v>
      </c>
      <c r="D874">
        <v>59.101871490000001</v>
      </c>
      <c r="E874">
        <v>50</v>
      </c>
      <c r="F874">
        <v>49.964584350999999</v>
      </c>
      <c r="G874">
        <v>1327.9329834</v>
      </c>
      <c r="H874">
        <v>1325.2421875</v>
      </c>
      <c r="I874">
        <v>1335.4796143000001</v>
      </c>
      <c r="J874">
        <v>1333.9642334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365.00012099999998</v>
      </c>
      <c r="B875" s="1">
        <f>DATE(2011,5,1) + TIME(0,0,10)</f>
        <v>40664.000115740739</v>
      </c>
      <c r="C875">
        <v>80</v>
      </c>
      <c r="D875">
        <v>59.106639862000002</v>
      </c>
      <c r="E875">
        <v>50</v>
      </c>
      <c r="F875">
        <v>49.963775634999998</v>
      </c>
      <c r="G875">
        <v>1328.5252685999999</v>
      </c>
      <c r="H875">
        <v>1325.979126</v>
      </c>
      <c r="I875">
        <v>1334.9747314000001</v>
      </c>
      <c r="J875">
        <v>1333.4592285000001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365.00036399999999</v>
      </c>
      <c r="B876" s="1">
        <f>DATE(2011,5,1) + TIME(0,0,31)</f>
        <v>40664.000358796293</v>
      </c>
      <c r="C876">
        <v>80</v>
      </c>
      <c r="D876">
        <v>59.118473053000002</v>
      </c>
      <c r="E876">
        <v>50</v>
      </c>
      <c r="F876">
        <v>49.962402343999997</v>
      </c>
      <c r="G876">
        <v>1329.5970459</v>
      </c>
      <c r="H876">
        <v>1327.1423339999999</v>
      </c>
      <c r="I876">
        <v>1334.1199951000001</v>
      </c>
      <c r="J876">
        <v>1332.6044922000001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365.00109300000003</v>
      </c>
      <c r="B877" s="1">
        <f>DATE(2011,5,1) + TIME(0,1,34)</f>
        <v>40664.001087962963</v>
      </c>
      <c r="C877">
        <v>80</v>
      </c>
      <c r="D877">
        <v>59.149974823000001</v>
      </c>
      <c r="E877">
        <v>50</v>
      </c>
      <c r="F877">
        <v>49.960639954000001</v>
      </c>
      <c r="G877">
        <v>1331.034668</v>
      </c>
      <c r="H877">
        <v>1328.5540771000001</v>
      </c>
      <c r="I877">
        <v>1333.0632324000001</v>
      </c>
      <c r="J877">
        <v>1331.5483397999999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365.00328000000002</v>
      </c>
      <c r="B878" s="1">
        <f>DATE(2011,5,1) + TIME(0,4,43)</f>
        <v>40664.003275462965</v>
      </c>
      <c r="C878">
        <v>80</v>
      </c>
      <c r="D878">
        <v>59.240577698000003</v>
      </c>
      <c r="E878">
        <v>50</v>
      </c>
      <c r="F878">
        <v>49.958595275999997</v>
      </c>
      <c r="G878">
        <v>1332.5872803</v>
      </c>
      <c r="H878">
        <v>1330.0485839999999</v>
      </c>
      <c r="I878">
        <v>1331.9669189000001</v>
      </c>
      <c r="J878">
        <v>1330.4527588000001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365.00984099999999</v>
      </c>
      <c r="B879" s="1">
        <f>DATE(2011,5,1) + TIME(0,14,10)</f>
        <v>40664.009837962964</v>
      </c>
      <c r="C879">
        <v>80</v>
      </c>
      <c r="D879">
        <v>59.508296967</v>
      </c>
      <c r="E879">
        <v>50</v>
      </c>
      <c r="F879">
        <v>49.955883026000002</v>
      </c>
      <c r="G879">
        <v>1334.1389160000001</v>
      </c>
      <c r="H879">
        <v>1331.5567627</v>
      </c>
      <c r="I879">
        <v>1330.8635254000001</v>
      </c>
      <c r="J879">
        <v>1329.3463135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365.02717999999999</v>
      </c>
      <c r="B880" s="1">
        <f>DATE(2011,5,1) + TIME(0,39,8)</f>
        <v>40664.027175925927</v>
      </c>
      <c r="C880">
        <v>80</v>
      </c>
      <c r="D880">
        <v>60.199310302999997</v>
      </c>
      <c r="E880">
        <v>50</v>
      </c>
      <c r="F880">
        <v>49.951644897000001</v>
      </c>
      <c r="G880">
        <v>1335.5603027</v>
      </c>
      <c r="H880">
        <v>1332.9564209</v>
      </c>
      <c r="I880">
        <v>1329.8026123</v>
      </c>
      <c r="J880">
        <v>1328.2668457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365.04499900000002</v>
      </c>
      <c r="B881" s="1">
        <f>DATE(2011,5,1) + TIME(1,4,47)</f>
        <v>40664.044988425929</v>
      </c>
      <c r="C881">
        <v>80</v>
      </c>
      <c r="D881">
        <v>60.893909454000003</v>
      </c>
      <c r="E881">
        <v>50</v>
      </c>
      <c r="F881">
        <v>49.948036193999997</v>
      </c>
      <c r="G881">
        <v>1336.3430175999999</v>
      </c>
      <c r="H881">
        <v>1333.723999</v>
      </c>
      <c r="I881">
        <v>1329.2027588000001</v>
      </c>
      <c r="J881">
        <v>1327.6473389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365.06322299999999</v>
      </c>
      <c r="B882" s="1">
        <f>DATE(2011,5,1) + TIME(1,31,2)</f>
        <v>40664.063217592593</v>
      </c>
      <c r="C882">
        <v>80</v>
      </c>
      <c r="D882">
        <v>61.586479187000002</v>
      </c>
      <c r="E882">
        <v>50</v>
      </c>
      <c r="F882">
        <v>49.944656371999997</v>
      </c>
      <c r="G882">
        <v>1336.8509521000001</v>
      </c>
      <c r="H882">
        <v>1334.2260742000001</v>
      </c>
      <c r="I882">
        <v>1328.7940673999999</v>
      </c>
      <c r="J882">
        <v>1327.2218018000001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365.08183400000001</v>
      </c>
      <c r="B883" s="1">
        <f>DATE(2011,5,1) + TIME(1,57,50)</f>
        <v>40664.081828703704</v>
      </c>
      <c r="C883">
        <v>80</v>
      </c>
      <c r="D883">
        <v>62.274333953999999</v>
      </c>
      <c r="E883">
        <v>50</v>
      </c>
      <c r="F883">
        <v>49.941379546999997</v>
      </c>
      <c r="G883">
        <v>1337.2148437999999</v>
      </c>
      <c r="H883">
        <v>1334.5888672000001</v>
      </c>
      <c r="I883">
        <v>1328.4888916</v>
      </c>
      <c r="J883">
        <v>1326.902832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365.10083600000002</v>
      </c>
      <c r="B884" s="1">
        <f>DATE(2011,5,1) + TIME(2,25,12)</f>
        <v>40664.10083333333</v>
      </c>
      <c r="C884">
        <v>80</v>
      </c>
      <c r="D884">
        <v>62.955852509000003</v>
      </c>
      <c r="E884">
        <v>50</v>
      </c>
      <c r="F884">
        <v>49.938152313000003</v>
      </c>
      <c r="G884">
        <v>1337.4920654</v>
      </c>
      <c r="H884">
        <v>1334.8673096</v>
      </c>
      <c r="I884">
        <v>1328.2489014</v>
      </c>
      <c r="J884">
        <v>1326.6520995999999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365.12023699999997</v>
      </c>
      <c r="B885" s="1">
        <f>DATE(2011,5,1) + TIME(2,53,8)</f>
        <v>40664.12023148148</v>
      </c>
      <c r="C885">
        <v>80</v>
      </c>
      <c r="D885">
        <v>63.629936217999997</v>
      </c>
      <c r="E885">
        <v>50</v>
      </c>
      <c r="F885">
        <v>49.934940337999997</v>
      </c>
      <c r="G885">
        <v>1337.7121582</v>
      </c>
      <c r="H885">
        <v>1335.0899658000001</v>
      </c>
      <c r="I885">
        <v>1328.0539550999999</v>
      </c>
      <c r="J885">
        <v>1326.4486084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365.14005200000003</v>
      </c>
      <c r="B886" s="1">
        <f>DATE(2011,5,1) + TIME(3,21,40)</f>
        <v>40664.140046296299</v>
      </c>
      <c r="C886">
        <v>80</v>
      </c>
      <c r="D886">
        <v>64.295799255000006</v>
      </c>
      <c r="E886">
        <v>50</v>
      </c>
      <c r="F886">
        <v>49.931724547999998</v>
      </c>
      <c r="G886">
        <v>1337.8925781</v>
      </c>
      <c r="H886">
        <v>1335.2738036999999</v>
      </c>
      <c r="I886">
        <v>1327.8919678</v>
      </c>
      <c r="J886">
        <v>1326.2799072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365.16029600000002</v>
      </c>
      <c r="B887" s="1">
        <f>DATE(2011,5,1) + TIME(3,50,49)</f>
        <v>40664.16028935185</v>
      </c>
      <c r="C887">
        <v>80</v>
      </c>
      <c r="D887">
        <v>64.952766417999996</v>
      </c>
      <c r="E887">
        <v>50</v>
      </c>
      <c r="F887">
        <v>49.928501128999997</v>
      </c>
      <c r="G887">
        <v>1338.0444336</v>
      </c>
      <c r="H887">
        <v>1335.4294434000001</v>
      </c>
      <c r="I887">
        <v>1327.7550048999999</v>
      </c>
      <c r="J887">
        <v>1326.1375731999999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365.18098600000002</v>
      </c>
      <c r="B888" s="1">
        <f>DATE(2011,5,1) + TIME(4,20,37)</f>
        <v>40664.180983796294</v>
      </c>
      <c r="C888">
        <v>80</v>
      </c>
      <c r="D888">
        <v>65.600440978999998</v>
      </c>
      <c r="E888">
        <v>50</v>
      </c>
      <c r="F888">
        <v>49.925251007</v>
      </c>
      <c r="G888">
        <v>1338.1751709</v>
      </c>
      <c r="H888">
        <v>1335.5637207</v>
      </c>
      <c r="I888">
        <v>1327.6376952999999</v>
      </c>
      <c r="J888">
        <v>1326.0159911999999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365.20214700000002</v>
      </c>
      <c r="B889" s="1">
        <f>DATE(2011,5,1) + TIME(4,51,5)</f>
        <v>40664.202141203707</v>
      </c>
      <c r="C889">
        <v>80</v>
      </c>
      <c r="D889">
        <v>66.238357543999996</v>
      </c>
      <c r="E889">
        <v>50</v>
      </c>
      <c r="F889">
        <v>49.921974182</v>
      </c>
      <c r="G889">
        <v>1338.2897949000001</v>
      </c>
      <c r="H889">
        <v>1335.6818848</v>
      </c>
      <c r="I889">
        <v>1327.5362548999999</v>
      </c>
      <c r="J889">
        <v>1325.9110106999999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365.22380199999998</v>
      </c>
      <c r="B890" s="1">
        <f>DATE(2011,5,1) + TIME(5,22,16)</f>
        <v>40664.223796296297</v>
      </c>
      <c r="C890">
        <v>80</v>
      </c>
      <c r="D890">
        <v>66.866104125999996</v>
      </c>
      <c r="E890">
        <v>50</v>
      </c>
      <c r="F890">
        <v>49.918659210000001</v>
      </c>
      <c r="G890">
        <v>1338.3920897999999</v>
      </c>
      <c r="H890">
        <v>1335.7872314000001</v>
      </c>
      <c r="I890">
        <v>1327.4477539</v>
      </c>
      <c r="J890">
        <v>1325.8194579999999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365.24597699999998</v>
      </c>
      <c r="B891" s="1">
        <f>DATE(2011,5,1) + TIME(5,54,12)</f>
        <v>40664.245972222219</v>
      </c>
      <c r="C891">
        <v>80</v>
      </c>
      <c r="D891">
        <v>67.483322143999999</v>
      </c>
      <c r="E891">
        <v>50</v>
      </c>
      <c r="F891">
        <v>49.915306090999998</v>
      </c>
      <c r="G891">
        <v>1338.4848632999999</v>
      </c>
      <c r="H891">
        <v>1335.8824463000001</v>
      </c>
      <c r="I891">
        <v>1327.3699951000001</v>
      </c>
      <c r="J891">
        <v>1325.7392577999999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365.26869699999997</v>
      </c>
      <c r="B892" s="1">
        <f>DATE(2011,5,1) + TIME(6,26,55)</f>
        <v>40664.268692129626</v>
      </c>
      <c r="C892">
        <v>80</v>
      </c>
      <c r="D892">
        <v>68.089653014999996</v>
      </c>
      <c r="E892">
        <v>50</v>
      </c>
      <c r="F892">
        <v>49.911903381000002</v>
      </c>
      <c r="G892">
        <v>1338.5699463000001</v>
      </c>
      <c r="H892">
        <v>1335.9696045000001</v>
      </c>
      <c r="I892">
        <v>1327.3012695</v>
      </c>
      <c r="J892">
        <v>1325.668457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365.29197099999999</v>
      </c>
      <c r="B893" s="1">
        <f>DATE(2011,5,1) + TIME(7,0,26)</f>
        <v>40664.291967592595</v>
      </c>
      <c r="C893">
        <v>80</v>
      </c>
      <c r="D893">
        <v>68.684204101999995</v>
      </c>
      <c r="E893">
        <v>50</v>
      </c>
      <c r="F893">
        <v>49.908454894999998</v>
      </c>
      <c r="G893">
        <v>1338.6490478999999</v>
      </c>
      <c r="H893">
        <v>1336.0501709</v>
      </c>
      <c r="I893">
        <v>1327.2404785000001</v>
      </c>
      <c r="J893">
        <v>1325.6058350000001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365.31577499999997</v>
      </c>
      <c r="B894" s="1">
        <f>DATE(2011,5,1) + TIME(7,34,42)</f>
        <v>40664.315763888888</v>
      </c>
      <c r="C894">
        <v>80</v>
      </c>
      <c r="D894">
        <v>69.265426636000001</v>
      </c>
      <c r="E894">
        <v>50</v>
      </c>
      <c r="F894">
        <v>49.904956818000002</v>
      </c>
      <c r="G894">
        <v>1338.7231445</v>
      </c>
      <c r="H894">
        <v>1336.1251221</v>
      </c>
      <c r="I894">
        <v>1327.1865233999999</v>
      </c>
      <c r="J894">
        <v>1325.550293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365.34013499999998</v>
      </c>
      <c r="B895" s="1">
        <f>DATE(2011,5,1) + TIME(8,9,47)</f>
        <v>40664.340127314812</v>
      </c>
      <c r="C895">
        <v>80</v>
      </c>
      <c r="D895">
        <v>69.833007812000005</v>
      </c>
      <c r="E895">
        <v>50</v>
      </c>
      <c r="F895">
        <v>49.901412964000002</v>
      </c>
      <c r="G895">
        <v>1338.7933350000001</v>
      </c>
      <c r="H895">
        <v>1336.1954346</v>
      </c>
      <c r="I895">
        <v>1327.1385498</v>
      </c>
      <c r="J895">
        <v>1325.5008545000001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365.365072</v>
      </c>
      <c r="B896" s="1">
        <f>DATE(2011,5,1) + TIME(8,45,42)</f>
        <v>40664.365069444444</v>
      </c>
      <c r="C896">
        <v>80</v>
      </c>
      <c r="D896">
        <v>70.386291503999999</v>
      </c>
      <c r="E896">
        <v>50</v>
      </c>
      <c r="F896">
        <v>49.897819519000002</v>
      </c>
      <c r="G896">
        <v>1338.8601074000001</v>
      </c>
      <c r="H896">
        <v>1336.2618408000001</v>
      </c>
      <c r="I896">
        <v>1327.0959473</v>
      </c>
      <c r="J896">
        <v>1325.4570312000001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365.39061800000002</v>
      </c>
      <c r="B897" s="1">
        <f>DATE(2011,5,1) + TIME(9,22,29)</f>
        <v>40664.390613425923</v>
      </c>
      <c r="C897">
        <v>80</v>
      </c>
      <c r="D897">
        <v>70.925163268999995</v>
      </c>
      <c r="E897">
        <v>50</v>
      </c>
      <c r="F897">
        <v>49.894165039000001</v>
      </c>
      <c r="G897">
        <v>1338.9243164</v>
      </c>
      <c r="H897">
        <v>1336.3249512</v>
      </c>
      <c r="I897">
        <v>1327.0579834</v>
      </c>
      <c r="J897">
        <v>1325.4179687999999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365.41680400000001</v>
      </c>
      <c r="B898" s="1">
        <f>DATE(2011,5,1) + TIME(10,0,11)</f>
        <v>40664.41679398148</v>
      </c>
      <c r="C898">
        <v>80</v>
      </c>
      <c r="D898">
        <v>71.449470520000006</v>
      </c>
      <c r="E898">
        <v>50</v>
      </c>
      <c r="F898">
        <v>49.890453338999997</v>
      </c>
      <c r="G898">
        <v>1338.9860839999999</v>
      </c>
      <c r="H898">
        <v>1336.3852539</v>
      </c>
      <c r="I898">
        <v>1327.0242920000001</v>
      </c>
      <c r="J898">
        <v>1325.3831786999999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365.44366400000001</v>
      </c>
      <c r="B899" s="1">
        <f>DATE(2011,5,1) + TIME(10,38,52)</f>
        <v>40664.443657407406</v>
      </c>
      <c r="C899">
        <v>80</v>
      </c>
      <c r="D899">
        <v>71.958938599000007</v>
      </c>
      <c r="E899">
        <v>50</v>
      </c>
      <c r="F899">
        <v>49.886680603000002</v>
      </c>
      <c r="G899">
        <v>1339.0460204999999</v>
      </c>
      <c r="H899">
        <v>1336.4429932</v>
      </c>
      <c r="I899">
        <v>1326.9943848</v>
      </c>
      <c r="J899">
        <v>1325.3522949000001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365.47123299999998</v>
      </c>
      <c r="B900" s="1">
        <f>DATE(2011,5,1) + TIME(11,18,34)</f>
        <v>40664.471226851849</v>
      </c>
      <c r="C900">
        <v>80</v>
      </c>
      <c r="D900">
        <v>72.453277588000006</v>
      </c>
      <c r="E900">
        <v>50</v>
      </c>
      <c r="F900">
        <v>49.882835387999997</v>
      </c>
      <c r="G900">
        <v>1339.1044922000001</v>
      </c>
      <c r="H900">
        <v>1336.4987793</v>
      </c>
      <c r="I900">
        <v>1326.9678954999999</v>
      </c>
      <c r="J900">
        <v>1325.3249512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365.49955</v>
      </c>
      <c r="B901" s="1">
        <f>DATE(2011,5,1) + TIME(11,59,21)</f>
        <v>40664.499548611115</v>
      </c>
      <c r="C901">
        <v>80</v>
      </c>
      <c r="D901">
        <v>72.932235718000001</v>
      </c>
      <c r="E901">
        <v>50</v>
      </c>
      <c r="F901">
        <v>49.878921509000001</v>
      </c>
      <c r="G901">
        <v>1339.161499</v>
      </c>
      <c r="H901">
        <v>1336.5524902</v>
      </c>
      <c r="I901">
        <v>1326.9444579999999</v>
      </c>
      <c r="J901">
        <v>1325.3006591999999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365.52865600000001</v>
      </c>
      <c r="B902" s="1">
        <f>DATE(2011,5,1) + TIME(12,41,15)</f>
        <v>40664.528645833336</v>
      </c>
      <c r="C902">
        <v>80</v>
      </c>
      <c r="D902">
        <v>73.395545959000003</v>
      </c>
      <c r="E902">
        <v>50</v>
      </c>
      <c r="F902">
        <v>49.874927520999996</v>
      </c>
      <c r="G902">
        <v>1339.2175293</v>
      </c>
      <c r="H902">
        <v>1336.6046143000001</v>
      </c>
      <c r="I902">
        <v>1326.9239502</v>
      </c>
      <c r="J902">
        <v>1325.2794189000001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365.55859600000002</v>
      </c>
      <c r="B903" s="1">
        <f>DATE(2011,5,1) + TIME(13,24,22)</f>
        <v>40664.558587962965</v>
      </c>
      <c r="C903">
        <v>80</v>
      </c>
      <c r="D903">
        <v>73.842971801999994</v>
      </c>
      <c r="E903">
        <v>50</v>
      </c>
      <c r="F903">
        <v>49.870857239000003</v>
      </c>
      <c r="G903">
        <v>1339.2724608999999</v>
      </c>
      <c r="H903">
        <v>1336.6552733999999</v>
      </c>
      <c r="I903">
        <v>1326.9058838000001</v>
      </c>
      <c r="J903">
        <v>1325.2606201000001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365.58941800000002</v>
      </c>
      <c r="B904" s="1">
        <f>DATE(2011,5,1) + TIME(14,8,45)</f>
        <v>40664.589409722219</v>
      </c>
      <c r="C904">
        <v>80</v>
      </c>
      <c r="D904">
        <v>74.274299622000001</v>
      </c>
      <c r="E904">
        <v>50</v>
      </c>
      <c r="F904">
        <v>49.866695403999998</v>
      </c>
      <c r="G904">
        <v>1339.3264160000001</v>
      </c>
      <c r="H904">
        <v>1336.7045897999999</v>
      </c>
      <c r="I904">
        <v>1326.8902588000001</v>
      </c>
      <c r="J904">
        <v>1325.2442627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365.62117599999999</v>
      </c>
      <c r="B905" s="1">
        <f>DATE(2011,5,1) + TIME(14,54,29)</f>
        <v>40664.621168981481</v>
      </c>
      <c r="C905">
        <v>80</v>
      </c>
      <c r="D905">
        <v>74.689308166999993</v>
      </c>
      <c r="E905">
        <v>50</v>
      </c>
      <c r="F905">
        <v>49.862445831000002</v>
      </c>
      <c r="G905">
        <v>1339.3797606999999</v>
      </c>
      <c r="H905">
        <v>1336.7525635</v>
      </c>
      <c r="I905">
        <v>1326.8767089999999</v>
      </c>
      <c r="J905">
        <v>1325.2301024999999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365.65393299999999</v>
      </c>
      <c r="B906" s="1">
        <f>DATE(2011,5,1) + TIME(15,41,39)</f>
        <v>40664.653923611113</v>
      </c>
      <c r="C906">
        <v>80</v>
      </c>
      <c r="D906">
        <v>75.087837218999994</v>
      </c>
      <c r="E906">
        <v>50</v>
      </c>
      <c r="F906">
        <v>49.858097076</v>
      </c>
      <c r="G906">
        <v>1339.432251</v>
      </c>
      <c r="H906">
        <v>1336.7994385</v>
      </c>
      <c r="I906">
        <v>1326.8652344</v>
      </c>
      <c r="J906">
        <v>1325.2180175999999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365.68775799999997</v>
      </c>
      <c r="B907" s="1">
        <f>DATE(2011,5,1) + TIME(16,30,22)</f>
        <v>40664.687754629631</v>
      </c>
      <c r="C907">
        <v>80</v>
      </c>
      <c r="D907">
        <v>75.469604492000002</v>
      </c>
      <c r="E907">
        <v>50</v>
      </c>
      <c r="F907">
        <v>49.853641510000003</v>
      </c>
      <c r="G907">
        <v>1339.4841309000001</v>
      </c>
      <c r="H907">
        <v>1336.8452147999999</v>
      </c>
      <c r="I907">
        <v>1326.8554687999999</v>
      </c>
      <c r="J907">
        <v>1325.2076416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365.722711</v>
      </c>
      <c r="B908" s="1">
        <f>DATE(2011,5,1) + TIME(17,20,42)</f>
        <v>40664.722708333335</v>
      </c>
      <c r="C908">
        <v>80</v>
      </c>
      <c r="D908">
        <v>75.834579468000001</v>
      </c>
      <c r="E908">
        <v>50</v>
      </c>
      <c r="F908">
        <v>49.849075317</v>
      </c>
      <c r="G908">
        <v>1339.5354004000001</v>
      </c>
      <c r="H908">
        <v>1336.8900146000001</v>
      </c>
      <c r="I908">
        <v>1326.8472899999999</v>
      </c>
      <c r="J908">
        <v>1325.1989745999999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365.75886800000001</v>
      </c>
      <c r="B909" s="1">
        <f>DATE(2011,5,1) + TIME(18,12,46)</f>
        <v>40664.75886574074</v>
      </c>
      <c r="C909">
        <v>80</v>
      </c>
      <c r="D909">
        <v>76.182655334000003</v>
      </c>
      <c r="E909">
        <v>50</v>
      </c>
      <c r="F909">
        <v>49.844387054000002</v>
      </c>
      <c r="G909">
        <v>1339.5860596</v>
      </c>
      <c r="H909">
        <v>1336.9338379000001</v>
      </c>
      <c r="I909">
        <v>1326.8406981999999</v>
      </c>
      <c r="J909">
        <v>1325.1917725000001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365.796314</v>
      </c>
      <c r="B910" s="1">
        <f>DATE(2011,5,1) + TIME(19,6,41)</f>
        <v>40664.796307870369</v>
      </c>
      <c r="C910">
        <v>80</v>
      </c>
      <c r="D910">
        <v>76.513778686999999</v>
      </c>
      <c r="E910">
        <v>50</v>
      </c>
      <c r="F910">
        <v>49.839572906000001</v>
      </c>
      <c r="G910">
        <v>1339.6361084</v>
      </c>
      <c r="H910">
        <v>1336.9766846</v>
      </c>
      <c r="I910">
        <v>1326.8353271000001</v>
      </c>
      <c r="J910">
        <v>1325.1859131000001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365.83514400000001</v>
      </c>
      <c r="B911" s="1">
        <f>DATE(2011,5,1) + TIME(20,2,36)</f>
        <v>40664.835138888891</v>
      </c>
      <c r="C911">
        <v>80</v>
      </c>
      <c r="D911">
        <v>76.827911377000007</v>
      </c>
      <c r="E911">
        <v>50</v>
      </c>
      <c r="F911">
        <v>49.834625244000001</v>
      </c>
      <c r="G911">
        <v>1339.6856689000001</v>
      </c>
      <c r="H911">
        <v>1337.0185547000001</v>
      </c>
      <c r="I911">
        <v>1326.8311768000001</v>
      </c>
      <c r="J911">
        <v>1325.1812743999999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365.87546099999997</v>
      </c>
      <c r="B912" s="1">
        <f>DATE(2011,5,1) + TIME(21,0,39)</f>
        <v>40664.875451388885</v>
      </c>
      <c r="C912">
        <v>80</v>
      </c>
      <c r="D912">
        <v>77.125053406000006</v>
      </c>
      <c r="E912">
        <v>50</v>
      </c>
      <c r="F912">
        <v>49.829524994000003</v>
      </c>
      <c r="G912">
        <v>1339.7344971</v>
      </c>
      <c r="H912">
        <v>1337.0595702999999</v>
      </c>
      <c r="I912">
        <v>1326.8282471</v>
      </c>
      <c r="J912">
        <v>1325.1777344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365.91738199999998</v>
      </c>
      <c r="B913" s="1">
        <f>DATE(2011,5,1) + TIME(22,1,1)</f>
        <v>40664.917372685188</v>
      </c>
      <c r="C913">
        <v>80</v>
      </c>
      <c r="D913">
        <v>77.405273437999995</v>
      </c>
      <c r="E913">
        <v>50</v>
      </c>
      <c r="F913">
        <v>49.824268341</v>
      </c>
      <c r="G913">
        <v>1339.7827147999999</v>
      </c>
      <c r="H913">
        <v>1337.0997314000001</v>
      </c>
      <c r="I913">
        <v>1326.8261719</v>
      </c>
      <c r="J913">
        <v>1325.1751709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365.96103900000003</v>
      </c>
      <c r="B914" s="1">
        <f>DATE(2011,5,1) + TIME(23,3,53)</f>
        <v>40664.961030092592</v>
      </c>
      <c r="C914">
        <v>80</v>
      </c>
      <c r="D914">
        <v>77.668640136999997</v>
      </c>
      <c r="E914">
        <v>50</v>
      </c>
      <c r="F914">
        <v>49.818843842</v>
      </c>
      <c r="G914">
        <v>1339.8304443</v>
      </c>
      <c r="H914">
        <v>1337.1390381000001</v>
      </c>
      <c r="I914">
        <v>1326.8250731999999</v>
      </c>
      <c r="J914">
        <v>1325.1735839999999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366.00642399999998</v>
      </c>
      <c r="B915" s="1">
        <f>DATE(2011,5,2) + TIME(0,9,15)</f>
        <v>40665.006423611114</v>
      </c>
      <c r="C915">
        <v>80</v>
      </c>
      <c r="D915">
        <v>77.914550781000003</v>
      </c>
      <c r="E915">
        <v>50</v>
      </c>
      <c r="F915">
        <v>49.813247681</v>
      </c>
      <c r="G915">
        <v>1339.8774414</v>
      </c>
      <c r="H915">
        <v>1337.1774902</v>
      </c>
      <c r="I915">
        <v>1326.8245850000001</v>
      </c>
      <c r="J915">
        <v>1325.1727295000001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366.053629</v>
      </c>
      <c r="B916" s="1">
        <f>DATE(2011,5,2) + TIME(1,17,13)</f>
        <v>40665.053622685184</v>
      </c>
      <c r="C916">
        <v>80</v>
      </c>
      <c r="D916">
        <v>78.143104553000001</v>
      </c>
      <c r="E916">
        <v>50</v>
      </c>
      <c r="F916">
        <v>49.807476043999998</v>
      </c>
      <c r="G916">
        <v>1339.9237060999999</v>
      </c>
      <c r="H916">
        <v>1337.2148437999999</v>
      </c>
      <c r="I916">
        <v>1326.8248291</v>
      </c>
      <c r="J916">
        <v>1325.1724853999999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366.10278899999997</v>
      </c>
      <c r="B917" s="1">
        <f>DATE(2011,5,2) + TIME(2,28,1)</f>
        <v>40665.102789351855</v>
      </c>
      <c r="C917">
        <v>80</v>
      </c>
      <c r="D917">
        <v>78.354637146000002</v>
      </c>
      <c r="E917">
        <v>50</v>
      </c>
      <c r="F917">
        <v>49.801521301000001</v>
      </c>
      <c r="G917">
        <v>1339.9691161999999</v>
      </c>
      <c r="H917">
        <v>1337.2512207</v>
      </c>
      <c r="I917">
        <v>1326.8256836</v>
      </c>
      <c r="J917">
        <v>1325.1728516000001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366.15405399999997</v>
      </c>
      <c r="B918" s="1">
        <f>DATE(2011,5,2) + TIME(3,41,50)</f>
        <v>40665.154050925928</v>
      </c>
      <c r="C918">
        <v>80</v>
      </c>
      <c r="D918">
        <v>78.549545288000004</v>
      </c>
      <c r="E918">
        <v>50</v>
      </c>
      <c r="F918">
        <v>49.795360565000003</v>
      </c>
      <c r="G918">
        <v>1340.0136719</v>
      </c>
      <c r="H918">
        <v>1337.2866211</v>
      </c>
      <c r="I918">
        <v>1326.8269043</v>
      </c>
      <c r="J918">
        <v>1325.1737060999999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366.20759099999998</v>
      </c>
      <c r="B919" s="1">
        <f>DATE(2011,5,2) + TIME(4,58,55)</f>
        <v>40665.20758101852</v>
      </c>
      <c r="C919">
        <v>80</v>
      </c>
      <c r="D919">
        <v>78.728279114000003</v>
      </c>
      <c r="E919">
        <v>50</v>
      </c>
      <c r="F919">
        <v>49.788986205999997</v>
      </c>
      <c r="G919">
        <v>1340.0571289</v>
      </c>
      <c r="H919">
        <v>1337.3209228999999</v>
      </c>
      <c r="I919">
        <v>1326.8286132999999</v>
      </c>
      <c r="J919">
        <v>1325.1749268000001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366.26358599999998</v>
      </c>
      <c r="B920" s="1">
        <f>DATE(2011,5,2) + TIME(6,19,33)</f>
        <v>40665.26357638889</v>
      </c>
      <c r="C920">
        <v>80</v>
      </c>
      <c r="D920">
        <v>78.891349792</v>
      </c>
      <c r="E920">
        <v>50</v>
      </c>
      <c r="F920">
        <v>49.782375336000001</v>
      </c>
      <c r="G920">
        <v>1340.0996094</v>
      </c>
      <c r="H920">
        <v>1337.3542480000001</v>
      </c>
      <c r="I920">
        <v>1326.8305664</v>
      </c>
      <c r="J920">
        <v>1325.1763916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366.32225099999999</v>
      </c>
      <c r="B921" s="1">
        <f>DATE(2011,5,2) + TIME(7,44,2)</f>
        <v>40665.322245370371</v>
      </c>
      <c r="C921">
        <v>80</v>
      </c>
      <c r="D921">
        <v>79.039314270000006</v>
      </c>
      <c r="E921">
        <v>50</v>
      </c>
      <c r="F921">
        <v>49.775512695000003</v>
      </c>
      <c r="G921">
        <v>1340.1411132999999</v>
      </c>
      <c r="H921">
        <v>1337.3864745999999</v>
      </c>
      <c r="I921">
        <v>1326.8327637</v>
      </c>
      <c r="J921">
        <v>1325.1782227000001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366.38382300000001</v>
      </c>
      <c r="B922" s="1">
        <f>DATE(2011,5,2) + TIME(9,12,42)</f>
        <v>40665.383819444447</v>
      </c>
      <c r="C922">
        <v>80</v>
      </c>
      <c r="D922">
        <v>79.172798157000003</v>
      </c>
      <c r="E922">
        <v>50</v>
      </c>
      <c r="F922">
        <v>49.768375397</v>
      </c>
      <c r="G922">
        <v>1340.1813964999999</v>
      </c>
      <c r="H922">
        <v>1337.4176024999999</v>
      </c>
      <c r="I922">
        <v>1326.8350829999999</v>
      </c>
      <c r="J922">
        <v>1325.1801757999999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366.44861100000003</v>
      </c>
      <c r="B923" s="1">
        <f>DATE(2011,5,2) + TIME(10,45,59)</f>
        <v>40665.448599537034</v>
      </c>
      <c r="C923">
        <v>80</v>
      </c>
      <c r="D923">
        <v>79.292510985999996</v>
      </c>
      <c r="E923">
        <v>50</v>
      </c>
      <c r="F923">
        <v>49.760936737000002</v>
      </c>
      <c r="G923">
        <v>1340.2205810999999</v>
      </c>
      <c r="H923">
        <v>1337.4476318</v>
      </c>
      <c r="I923">
        <v>1326.8376464999999</v>
      </c>
      <c r="J923">
        <v>1325.1821289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366.51690400000001</v>
      </c>
      <c r="B924" s="1">
        <f>DATE(2011,5,2) + TIME(12,24,20)</f>
        <v>40665.516898148147</v>
      </c>
      <c r="C924">
        <v>80</v>
      </c>
      <c r="D924">
        <v>79.399108886999997</v>
      </c>
      <c r="E924">
        <v>50</v>
      </c>
      <c r="F924">
        <v>49.753166198999999</v>
      </c>
      <c r="G924">
        <v>1340.2586670000001</v>
      </c>
      <c r="H924">
        <v>1337.4765625</v>
      </c>
      <c r="I924">
        <v>1326.8400879000001</v>
      </c>
      <c r="J924">
        <v>1325.1842041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366.58613500000001</v>
      </c>
      <c r="B925" s="1">
        <f>DATE(2011,5,2) + TIME(14,4,2)</f>
        <v>40665.586134259262</v>
      </c>
      <c r="C925">
        <v>80</v>
      </c>
      <c r="D925">
        <v>79.490142821999996</v>
      </c>
      <c r="E925">
        <v>50</v>
      </c>
      <c r="F925">
        <v>49.745346069</v>
      </c>
      <c r="G925">
        <v>1340.2957764</v>
      </c>
      <c r="H925">
        <v>1337.5043945</v>
      </c>
      <c r="I925">
        <v>1326.8425293</v>
      </c>
      <c r="J925">
        <v>1325.1862793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366.65585700000003</v>
      </c>
      <c r="B926" s="1">
        <f>DATE(2011,5,2) + TIME(15,44,26)</f>
        <v>40665.655856481484</v>
      </c>
      <c r="C926">
        <v>80</v>
      </c>
      <c r="D926">
        <v>79.567207335999996</v>
      </c>
      <c r="E926">
        <v>50</v>
      </c>
      <c r="F926">
        <v>49.737518311000002</v>
      </c>
      <c r="G926">
        <v>1340.3303223</v>
      </c>
      <c r="H926">
        <v>1337.5301514</v>
      </c>
      <c r="I926">
        <v>1326.8448486</v>
      </c>
      <c r="J926">
        <v>1325.1881103999999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366.72628200000003</v>
      </c>
      <c r="B927" s="1">
        <f>DATE(2011,5,2) + TIME(17,25,50)</f>
        <v>40665.726273148146</v>
      </c>
      <c r="C927">
        <v>80</v>
      </c>
      <c r="D927">
        <v>79.632484435999999</v>
      </c>
      <c r="E927">
        <v>50</v>
      </c>
      <c r="F927">
        <v>49.729660033999998</v>
      </c>
      <c r="G927">
        <v>1340.3621826000001</v>
      </c>
      <c r="H927">
        <v>1337.5538329999999</v>
      </c>
      <c r="I927">
        <v>1326.8469238</v>
      </c>
      <c r="J927">
        <v>1325.1899414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366.79757699999999</v>
      </c>
      <c r="B928" s="1">
        <f>DATE(2011,5,2) + TIME(19,8,30)</f>
        <v>40665.797569444447</v>
      </c>
      <c r="C928">
        <v>80</v>
      </c>
      <c r="D928">
        <v>79.687751770000006</v>
      </c>
      <c r="E928">
        <v>50</v>
      </c>
      <c r="F928">
        <v>49.721752166999998</v>
      </c>
      <c r="G928">
        <v>1340.3914795000001</v>
      </c>
      <c r="H928">
        <v>1337.5755615</v>
      </c>
      <c r="I928">
        <v>1326.8488769999999</v>
      </c>
      <c r="J928">
        <v>1325.1915283000001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366.86990300000002</v>
      </c>
      <c r="B929" s="1">
        <f>DATE(2011,5,2) + TIME(20,52,39)</f>
        <v>40665.869895833333</v>
      </c>
      <c r="C929">
        <v>80</v>
      </c>
      <c r="D929">
        <v>79.734497070000003</v>
      </c>
      <c r="E929">
        <v>50</v>
      </c>
      <c r="F929">
        <v>49.713779449</v>
      </c>
      <c r="G929">
        <v>1340.4185791</v>
      </c>
      <c r="H929">
        <v>1337.5955810999999</v>
      </c>
      <c r="I929">
        <v>1326.8507079999999</v>
      </c>
      <c r="J929">
        <v>1325.1928711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366.94344100000001</v>
      </c>
      <c r="B930" s="1">
        <f>DATE(2011,5,2) + TIME(22,38,33)</f>
        <v>40665.943437499998</v>
      </c>
      <c r="C930">
        <v>80</v>
      </c>
      <c r="D930">
        <v>79.774002074999999</v>
      </c>
      <c r="E930">
        <v>50</v>
      </c>
      <c r="F930">
        <v>49.705722809000001</v>
      </c>
      <c r="G930">
        <v>1340.4436035000001</v>
      </c>
      <c r="H930">
        <v>1337.6140137</v>
      </c>
      <c r="I930">
        <v>1326.8522949000001</v>
      </c>
      <c r="J930">
        <v>1325.1942139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367.01837799999998</v>
      </c>
      <c r="B931" s="1">
        <f>DATE(2011,5,3) + TIME(0,26,27)</f>
        <v>40666.018368055556</v>
      </c>
      <c r="C931">
        <v>80</v>
      </c>
      <c r="D931">
        <v>79.807327271000005</v>
      </c>
      <c r="E931">
        <v>50</v>
      </c>
      <c r="F931">
        <v>49.697566985999998</v>
      </c>
      <c r="G931">
        <v>1340.4666748</v>
      </c>
      <c r="H931">
        <v>1337.6309814000001</v>
      </c>
      <c r="I931">
        <v>1326.8538818</v>
      </c>
      <c r="J931">
        <v>1325.1953125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367.09491100000002</v>
      </c>
      <c r="B932" s="1">
        <f>DATE(2011,5,3) + TIME(2,16,40)</f>
        <v>40666.094907407409</v>
      </c>
      <c r="C932">
        <v>80</v>
      </c>
      <c r="D932">
        <v>79.835403442</v>
      </c>
      <c r="E932">
        <v>50</v>
      </c>
      <c r="F932">
        <v>49.689285278</v>
      </c>
      <c r="G932">
        <v>1340.4880370999999</v>
      </c>
      <c r="H932">
        <v>1337.6466064000001</v>
      </c>
      <c r="I932">
        <v>1326.8551024999999</v>
      </c>
      <c r="J932">
        <v>1325.1962891000001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367.17327599999999</v>
      </c>
      <c r="B933" s="1">
        <f>DATE(2011,5,3) + TIME(4,9,31)</f>
        <v>40666.173275462963</v>
      </c>
      <c r="C933">
        <v>80</v>
      </c>
      <c r="D933">
        <v>79.859008789000001</v>
      </c>
      <c r="E933">
        <v>50</v>
      </c>
      <c r="F933">
        <v>49.680858612000002</v>
      </c>
      <c r="G933">
        <v>1340.5076904</v>
      </c>
      <c r="H933">
        <v>1337.6610106999999</v>
      </c>
      <c r="I933">
        <v>1326.8563231999999</v>
      </c>
      <c r="J933">
        <v>1325.1971435999999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367.25373200000001</v>
      </c>
      <c r="B934" s="1">
        <f>DATE(2011,5,3) + TIME(6,5,22)</f>
        <v>40666.25372685185</v>
      </c>
      <c r="C934">
        <v>80</v>
      </c>
      <c r="D934">
        <v>79.878807068</v>
      </c>
      <c r="E934">
        <v>50</v>
      </c>
      <c r="F934">
        <v>49.672264099000003</v>
      </c>
      <c r="G934">
        <v>1340.5258789</v>
      </c>
      <c r="H934">
        <v>1337.6743164</v>
      </c>
      <c r="I934">
        <v>1326.8572998</v>
      </c>
      <c r="J934">
        <v>1325.1977539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367.33561200000003</v>
      </c>
      <c r="B935" s="1">
        <f>DATE(2011,5,3) + TIME(8,3,16)</f>
        <v>40666.335601851853</v>
      </c>
      <c r="C935">
        <v>80</v>
      </c>
      <c r="D935">
        <v>79.895217896000005</v>
      </c>
      <c r="E935">
        <v>50</v>
      </c>
      <c r="F935">
        <v>49.663566588999998</v>
      </c>
      <c r="G935">
        <v>1340.5427245999999</v>
      </c>
      <c r="H935">
        <v>1337.6865233999999</v>
      </c>
      <c r="I935">
        <v>1326.8581543</v>
      </c>
      <c r="J935">
        <v>1325.1983643000001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367.41851400000002</v>
      </c>
      <c r="B936" s="1">
        <f>DATE(2011,5,3) + TIME(10,2,39)</f>
        <v>40666.418506944443</v>
      </c>
      <c r="C936">
        <v>80</v>
      </c>
      <c r="D936">
        <v>79.908714294000006</v>
      </c>
      <c r="E936">
        <v>50</v>
      </c>
      <c r="F936">
        <v>49.654804230000003</v>
      </c>
      <c r="G936">
        <v>1340.5579834</v>
      </c>
      <c r="H936">
        <v>1337.6977539</v>
      </c>
      <c r="I936">
        <v>1326.8588867000001</v>
      </c>
      <c r="J936">
        <v>1325.1987305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367.50259899999998</v>
      </c>
      <c r="B937" s="1">
        <f>DATE(2011,5,3) + TIME(12,3,44)</f>
        <v>40666.502592592595</v>
      </c>
      <c r="C937">
        <v>80</v>
      </c>
      <c r="D937">
        <v>79.919815063000001</v>
      </c>
      <c r="E937">
        <v>50</v>
      </c>
      <c r="F937">
        <v>49.645965576000002</v>
      </c>
      <c r="G937">
        <v>1340.5718993999999</v>
      </c>
      <c r="H937">
        <v>1337.7077637</v>
      </c>
      <c r="I937">
        <v>1326.8594971</v>
      </c>
      <c r="J937">
        <v>1325.1990966999999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367.58801999999997</v>
      </c>
      <c r="B938" s="1">
        <f>DATE(2011,5,3) + TIME(14,6,44)</f>
        <v>40666.588009259256</v>
      </c>
      <c r="C938">
        <v>80</v>
      </c>
      <c r="D938">
        <v>79.928932189999998</v>
      </c>
      <c r="E938">
        <v>50</v>
      </c>
      <c r="F938">
        <v>49.637027740000001</v>
      </c>
      <c r="G938">
        <v>1340.5842285000001</v>
      </c>
      <c r="H938">
        <v>1337.7167969</v>
      </c>
      <c r="I938">
        <v>1326.8599853999999</v>
      </c>
      <c r="J938">
        <v>1325.1992187999999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367.67496399999999</v>
      </c>
      <c r="B939" s="1">
        <f>DATE(2011,5,3) + TIME(16,11,56)</f>
        <v>40666.674953703703</v>
      </c>
      <c r="C939">
        <v>80</v>
      </c>
      <c r="D939">
        <v>79.936416625999996</v>
      </c>
      <c r="E939">
        <v>50</v>
      </c>
      <c r="F939">
        <v>49.627979279000002</v>
      </c>
      <c r="G939">
        <v>1340.5952147999999</v>
      </c>
      <c r="H939">
        <v>1337.7249756000001</v>
      </c>
      <c r="I939">
        <v>1326.8603516000001</v>
      </c>
      <c r="J939">
        <v>1325.1993408000001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367.76359100000002</v>
      </c>
      <c r="B940" s="1">
        <f>DATE(2011,5,3) + TIME(18,19,34)</f>
        <v>40666.76358796296</v>
      </c>
      <c r="C940">
        <v>80</v>
      </c>
      <c r="D940">
        <v>79.942543029999996</v>
      </c>
      <c r="E940">
        <v>50</v>
      </c>
      <c r="F940">
        <v>49.618801116999997</v>
      </c>
      <c r="G940">
        <v>1340.6052245999999</v>
      </c>
      <c r="H940">
        <v>1337.7322998</v>
      </c>
      <c r="I940">
        <v>1326.8605957</v>
      </c>
      <c r="J940">
        <v>1325.1992187999999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367.85406799999998</v>
      </c>
      <c r="B941" s="1">
        <f>DATE(2011,5,3) + TIME(20,29,51)</f>
        <v>40666.854062500002</v>
      </c>
      <c r="C941">
        <v>80</v>
      </c>
      <c r="D941">
        <v>79.947555542000003</v>
      </c>
      <c r="E941">
        <v>50</v>
      </c>
      <c r="F941">
        <v>49.609485626000001</v>
      </c>
      <c r="G941">
        <v>1340.6140137</v>
      </c>
      <c r="H941">
        <v>1337.7387695</v>
      </c>
      <c r="I941">
        <v>1326.8608397999999</v>
      </c>
      <c r="J941">
        <v>1325.1992187999999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367.94659200000001</v>
      </c>
      <c r="B942" s="1">
        <f>DATE(2011,5,3) + TIME(22,43,5)</f>
        <v>40666.946585648147</v>
      </c>
      <c r="C942">
        <v>80</v>
      </c>
      <c r="D942">
        <v>79.951644896999994</v>
      </c>
      <c r="E942">
        <v>50</v>
      </c>
      <c r="F942">
        <v>49.600006104000002</v>
      </c>
      <c r="G942">
        <v>1340.6219481999999</v>
      </c>
      <c r="H942">
        <v>1337.7446289</v>
      </c>
      <c r="I942">
        <v>1326.8608397999999</v>
      </c>
      <c r="J942">
        <v>1325.1989745999999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368.04137500000002</v>
      </c>
      <c r="B943" s="1">
        <f>DATE(2011,5,4) + TIME(0,59,34)</f>
        <v>40667.041365740741</v>
      </c>
      <c r="C943">
        <v>80</v>
      </c>
      <c r="D943">
        <v>79.954978943</v>
      </c>
      <c r="E943">
        <v>50</v>
      </c>
      <c r="F943">
        <v>49.590347289999997</v>
      </c>
      <c r="G943">
        <v>1340.6287841999999</v>
      </c>
      <c r="H943">
        <v>1337.7498779</v>
      </c>
      <c r="I943">
        <v>1326.8608397999999</v>
      </c>
      <c r="J943">
        <v>1325.1987305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368.138645</v>
      </c>
      <c r="B944" s="1">
        <f>DATE(2011,5,4) + TIME(3,19,38)</f>
        <v>40667.13863425926</v>
      </c>
      <c r="C944">
        <v>80</v>
      </c>
      <c r="D944">
        <v>79.957687378000003</v>
      </c>
      <c r="E944">
        <v>50</v>
      </c>
      <c r="F944">
        <v>49.580493926999999</v>
      </c>
      <c r="G944">
        <v>1340.6347656</v>
      </c>
      <c r="H944">
        <v>1337.7543945</v>
      </c>
      <c r="I944">
        <v>1326.8608397999999</v>
      </c>
      <c r="J944">
        <v>1325.1983643000001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368.23865799999999</v>
      </c>
      <c r="B945" s="1">
        <f>DATE(2011,5,4) + TIME(5,43,40)</f>
        <v>40667.238657407404</v>
      </c>
      <c r="C945">
        <v>80</v>
      </c>
      <c r="D945">
        <v>79.959884643999999</v>
      </c>
      <c r="E945">
        <v>50</v>
      </c>
      <c r="F945">
        <v>49.570415496999999</v>
      </c>
      <c r="G945">
        <v>1340.6397704999999</v>
      </c>
      <c r="H945">
        <v>1337.7583007999999</v>
      </c>
      <c r="I945">
        <v>1326.8607178</v>
      </c>
      <c r="J945">
        <v>1325.1979980000001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368.34169500000002</v>
      </c>
      <c r="B946" s="1">
        <f>DATE(2011,5,4) + TIME(8,12,2)</f>
        <v>40667.341689814813</v>
      </c>
      <c r="C946">
        <v>80</v>
      </c>
      <c r="D946">
        <v>79.961662292</v>
      </c>
      <c r="E946">
        <v>50</v>
      </c>
      <c r="F946">
        <v>49.560089111000003</v>
      </c>
      <c r="G946">
        <v>1340.6430664</v>
      </c>
      <c r="H946">
        <v>1337.7609863</v>
      </c>
      <c r="I946">
        <v>1326.8604736</v>
      </c>
      <c r="J946">
        <v>1325.1975098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368.44808999999998</v>
      </c>
      <c r="B947" s="1">
        <f>DATE(2011,5,4) + TIME(10,45,14)</f>
        <v>40667.448078703703</v>
      </c>
      <c r="C947">
        <v>80</v>
      </c>
      <c r="D947">
        <v>79.963096618999998</v>
      </c>
      <c r="E947">
        <v>50</v>
      </c>
      <c r="F947">
        <v>49.549491881999998</v>
      </c>
      <c r="G947">
        <v>1340.6445312000001</v>
      </c>
      <c r="H947">
        <v>1337.7624512</v>
      </c>
      <c r="I947">
        <v>1326.8602295000001</v>
      </c>
      <c r="J947">
        <v>1325.1968993999999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368.55821200000003</v>
      </c>
      <c r="B948" s="1">
        <f>DATE(2011,5,4) + TIME(13,23,49)</f>
        <v>40667.558206018519</v>
      </c>
      <c r="C948">
        <v>80</v>
      </c>
      <c r="D948">
        <v>79.964256286999998</v>
      </c>
      <c r="E948">
        <v>50</v>
      </c>
      <c r="F948">
        <v>49.538589477999999</v>
      </c>
      <c r="G948">
        <v>1340.6453856999999</v>
      </c>
      <c r="H948">
        <v>1337.7634277</v>
      </c>
      <c r="I948">
        <v>1326.8598632999999</v>
      </c>
      <c r="J948">
        <v>1325.1964111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368.67247900000001</v>
      </c>
      <c r="B949" s="1">
        <f>DATE(2011,5,4) + TIME(16,8,22)</f>
        <v>40667.672476851854</v>
      </c>
      <c r="C949">
        <v>80</v>
      </c>
      <c r="D949">
        <v>79.965179442999997</v>
      </c>
      <c r="E949">
        <v>50</v>
      </c>
      <c r="F949">
        <v>49.527347564999999</v>
      </c>
      <c r="G949">
        <v>1340.6455077999999</v>
      </c>
      <c r="H949">
        <v>1337.7640381000001</v>
      </c>
      <c r="I949">
        <v>1326.8594971</v>
      </c>
      <c r="J949">
        <v>1325.1956786999999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368.79116299999998</v>
      </c>
      <c r="B950" s="1">
        <f>DATE(2011,5,4) + TIME(18,59,16)</f>
        <v>40667.79115740741</v>
      </c>
      <c r="C950">
        <v>80</v>
      </c>
      <c r="D950">
        <v>79.965927124000004</v>
      </c>
      <c r="E950">
        <v>50</v>
      </c>
      <c r="F950">
        <v>49.515743256</v>
      </c>
      <c r="G950">
        <v>1340.6451416</v>
      </c>
      <c r="H950">
        <v>1337.7642822</v>
      </c>
      <c r="I950">
        <v>1326.8591309000001</v>
      </c>
      <c r="J950">
        <v>1325.1950684000001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368.91288400000002</v>
      </c>
      <c r="B951" s="1">
        <f>DATE(2011,5,4) + TIME(21,54,33)</f>
        <v>40667.912881944445</v>
      </c>
      <c r="C951">
        <v>80</v>
      </c>
      <c r="D951">
        <v>79.966514587000006</v>
      </c>
      <c r="E951">
        <v>50</v>
      </c>
      <c r="F951">
        <v>49.503894805999998</v>
      </c>
      <c r="G951">
        <v>1340.6442870999999</v>
      </c>
      <c r="H951">
        <v>1337.7641602000001</v>
      </c>
      <c r="I951">
        <v>1326.8586425999999</v>
      </c>
      <c r="J951">
        <v>1325.1942139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369.03753</v>
      </c>
      <c r="B952" s="1">
        <f>DATE(2011,5,5) + TIME(0,54,2)</f>
        <v>40668.037523148145</v>
      </c>
      <c r="C952">
        <v>80</v>
      </c>
      <c r="D952">
        <v>79.966979980000005</v>
      </c>
      <c r="E952">
        <v>50</v>
      </c>
      <c r="F952">
        <v>49.491817474000001</v>
      </c>
      <c r="G952">
        <v>1340.6428223</v>
      </c>
      <c r="H952">
        <v>1337.7636719</v>
      </c>
      <c r="I952">
        <v>1326.8580322</v>
      </c>
      <c r="J952">
        <v>1325.1934814000001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369.16536300000001</v>
      </c>
      <c r="B953" s="1">
        <f>DATE(2011,5,5) + TIME(3,58,7)</f>
        <v>40668.165358796294</v>
      </c>
      <c r="C953">
        <v>80</v>
      </c>
      <c r="D953">
        <v>79.967346191000004</v>
      </c>
      <c r="E953">
        <v>50</v>
      </c>
      <c r="F953">
        <v>49.479492188000002</v>
      </c>
      <c r="G953">
        <v>1340.6407471</v>
      </c>
      <c r="H953">
        <v>1337.7629394999999</v>
      </c>
      <c r="I953">
        <v>1326.8575439000001</v>
      </c>
      <c r="J953">
        <v>1325.1926269999999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369.29665799999998</v>
      </c>
      <c r="B954" s="1">
        <f>DATE(2011,5,5) + TIME(7,7,11)</f>
        <v>40668.296655092592</v>
      </c>
      <c r="C954">
        <v>80</v>
      </c>
      <c r="D954">
        <v>79.967636107999994</v>
      </c>
      <c r="E954">
        <v>50</v>
      </c>
      <c r="F954">
        <v>49.466892242</v>
      </c>
      <c r="G954">
        <v>1340.6381836</v>
      </c>
      <c r="H954">
        <v>1337.7617187999999</v>
      </c>
      <c r="I954">
        <v>1326.8569336</v>
      </c>
      <c r="J954">
        <v>1325.1917725000001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369.43172299999998</v>
      </c>
      <c r="B955" s="1">
        <f>DATE(2011,5,5) + TIME(10,21,40)</f>
        <v>40668.431712962964</v>
      </c>
      <c r="C955">
        <v>80</v>
      </c>
      <c r="D955">
        <v>79.967857361</v>
      </c>
      <c r="E955">
        <v>50</v>
      </c>
      <c r="F955">
        <v>49.453994751000003</v>
      </c>
      <c r="G955">
        <v>1340.6351318</v>
      </c>
      <c r="H955">
        <v>1337.7602539</v>
      </c>
      <c r="I955">
        <v>1326.8562012</v>
      </c>
      <c r="J955">
        <v>1325.1907959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369.56985100000003</v>
      </c>
      <c r="B956" s="1">
        <f>DATE(2011,5,5) + TIME(13,40,35)</f>
        <v>40668.569849537038</v>
      </c>
      <c r="C956">
        <v>80</v>
      </c>
      <c r="D956">
        <v>79.968040466000005</v>
      </c>
      <c r="E956">
        <v>50</v>
      </c>
      <c r="F956">
        <v>49.440864562999998</v>
      </c>
      <c r="G956">
        <v>1340.6315918</v>
      </c>
      <c r="H956">
        <v>1337.7585449000001</v>
      </c>
      <c r="I956">
        <v>1326.8555908000001</v>
      </c>
      <c r="J956">
        <v>1325.1899414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369.71067299999999</v>
      </c>
      <c r="B957" s="1">
        <f>DATE(2011,5,5) + TIME(17,3,22)</f>
        <v>40668.7106712963</v>
      </c>
      <c r="C957">
        <v>80</v>
      </c>
      <c r="D957">
        <v>79.968177795000003</v>
      </c>
      <c r="E957">
        <v>50</v>
      </c>
      <c r="F957">
        <v>49.427528381000002</v>
      </c>
      <c r="G957">
        <v>1340.6276855000001</v>
      </c>
      <c r="H957">
        <v>1337.7564697</v>
      </c>
      <c r="I957">
        <v>1326.8548584</v>
      </c>
      <c r="J957">
        <v>1325.1888428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369.85468700000001</v>
      </c>
      <c r="B958" s="1">
        <f>DATE(2011,5,5) + TIME(20,30,44)</f>
        <v>40668.854675925926</v>
      </c>
      <c r="C958">
        <v>80</v>
      </c>
      <c r="D958">
        <v>79.968284607000001</v>
      </c>
      <c r="E958">
        <v>50</v>
      </c>
      <c r="F958">
        <v>49.413948058999999</v>
      </c>
      <c r="G958">
        <v>1340.6234131000001</v>
      </c>
      <c r="H958">
        <v>1337.7542725000001</v>
      </c>
      <c r="I958">
        <v>1326.854126</v>
      </c>
      <c r="J958">
        <v>1325.1878661999999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370.00249300000002</v>
      </c>
      <c r="B959" s="1">
        <f>DATE(2011,5,6) + TIME(0,3,35)</f>
        <v>40669.002488425926</v>
      </c>
      <c r="C959">
        <v>80</v>
      </c>
      <c r="D959">
        <v>79.968368530000006</v>
      </c>
      <c r="E959">
        <v>50</v>
      </c>
      <c r="F959">
        <v>49.400081634999999</v>
      </c>
      <c r="G959">
        <v>1340.6187743999999</v>
      </c>
      <c r="H959">
        <v>1337.7518310999999</v>
      </c>
      <c r="I959">
        <v>1326.8533935999999</v>
      </c>
      <c r="J959">
        <v>1325.1867675999999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370.151546</v>
      </c>
      <c r="B960" s="1">
        <f>DATE(2011,5,6) + TIME(3,38,13)</f>
        <v>40669.151539351849</v>
      </c>
      <c r="C960">
        <v>80</v>
      </c>
      <c r="D960">
        <v>79.968429564999994</v>
      </c>
      <c r="E960">
        <v>50</v>
      </c>
      <c r="F960">
        <v>49.386127471999998</v>
      </c>
      <c r="G960">
        <v>1340.6137695</v>
      </c>
      <c r="H960">
        <v>1337.7492675999999</v>
      </c>
      <c r="I960">
        <v>1326.8525391000001</v>
      </c>
      <c r="J960">
        <v>1325.1857910000001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370.30136599999997</v>
      </c>
      <c r="B961" s="1">
        <f>DATE(2011,5,6) + TIME(7,13,57)</f>
        <v>40669.301354166666</v>
      </c>
      <c r="C961">
        <v>80</v>
      </c>
      <c r="D961">
        <v>79.968475342000005</v>
      </c>
      <c r="E961">
        <v>50</v>
      </c>
      <c r="F961">
        <v>49.372138976999999</v>
      </c>
      <c r="G961">
        <v>1340.6085204999999</v>
      </c>
      <c r="H961">
        <v>1337.7464600000001</v>
      </c>
      <c r="I961">
        <v>1326.8516846</v>
      </c>
      <c r="J961">
        <v>1325.1846923999999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370.45224899999999</v>
      </c>
      <c r="B962" s="1">
        <f>DATE(2011,5,6) + TIME(10,51,14)</f>
        <v>40669.452245370368</v>
      </c>
      <c r="C962">
        <v>80</v>
      </c>
      <c r="D962">
        <v>79.968513489000003</v>
      </c>
      <c r="E962">
        <v>50</v>
      </c>
      <c r="F962">
        <v>49.358085631999998</v>
      </c>
      <c r="G962">
        <v>1340.6031493999999</v>
      </c>
      <c r="H962">
        <v>1337.7435303</v>
      </c>
      <c r="I962">
        <v>1326.8509521000001</v>
      </c>
      <c r="J962">
        <v>1325.1834716999999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370.60449499999999</v>
      </c>
      <c r="B963" s="1">
        <f>DATE(2011,5,6) + TIME(14,30,28)</f>
        <v>40669.604490740741</v>
      </c>
      <c r="C963">
        <v>80</v>
      </c>
      <c r="D963">
        <v>79.968536377000007</v>
      </c>
      <c r="E963">
        <v>50</v>
      </c>
      <c r="F963">
        <v>49.343955993999998</v>
      </c>
      <c r="G963">
        <v>1340.5975341999999</v>
      </c>
      <c r="H963">
        <v>1337.7406006000001</v>
      </c>
      <c r="I963">
        <v>1326.8500977000001</v>
      </c>
      <c r="J963">
        <v>1325.1823730000001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370.758397</v>
      </c>
      <c r="B964" s="1">
        <f>DATE(2011,5,6) + TIME(18,12,5)</f>
        <v>40669.758391203701</v>
      </c>
      <c r="C964">
        <v>80</v>
      </c>
      <c r="D964">
        <v>79.968551636000001</v>
      </c>
      <c r="E964">
        <v>50</v>
      </c>
      <c r="F964">
        <v>49.329719543000003</v>
      </c>
      <c r="G964">
        <v>1340.5919189000001</v>
      </c>
      <c r="H964">
        <v>1337.7375488</v>
      </c>
      <c r="I964">
        <v>1326.8492432</v>
      </c>
      <c r="J964">
        <v>1325.1812743999999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370.91430400000002</v>
      </c>
      <c r="B965" s="1">
        <f>DATE(2011,5,6) + TIME(21,56,35)</f>
        <v>40669.914293981485</v>
      </c>
      <c r="C965">
        <v>80</v>
      </c>
      <c r="D965">
        <v>79.968559264999996</v>
      </c>
      <c r="E965">
        <v>50</v>
      </c>
      <c r="F965">
        <v>49.315361023000001</v>
      </c>
      <c r="G965">
        <v>1340.5859375</v>
      </c>
      <c r="H965">
        <v>1337.734375</v>
      </c>
      <c r="I965">
        <v>1326.8482666</v>
      </c>
      <c r="J965">
        <v>1325.1800536999999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371.07250499999998</v>
      </c>
      <c r="B966" s="1">
        <f>DATE(2011,5,7) + TIME(1,44,24)</f>
        <v>40670.072500000002</v>
      </c>
      <c r="C966">
        <v>80</v>
      </c>
      <c r="D966">
        <v>79.968559264999996</v>
      </c>
      <c r="E966">
        <v>50</v>
      </c>
      <c r="F966">
        <v>49.300849915000001</v>
      </c>
      <c r="G966">
        <v>1340.5799560999999</v>
      </c>
      <c r="H966">
        <v>1337.7310791</v>
      </c>
      <c r="I966">
        <v>1326.8474120999999</v>
      </c>
      <c r="J966">
        <v>1325.1788329999999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371.23330199999998</v>
      </c>
      <c r="B967" s="1">
        <f>DATE(2011,5,7) + TIME(5,35,57)</f>
        <v>40670.233298611114</v>
      </c>
      <c r="C967">
        <v>80</v>
      </c>
      <c r="D967">
        <v>79.968559264999996</v>
      </c>
      <c r="E967">
        <v>50</v>
      </c>
      <c r="F967">
        <v>49.286170959000003</v>
      </c>
      <c r="G967">
        <v>1340.5733643000001</v>
      </c>
      <c r="H967">
        <v>1337.7274170000001</v>
      </c>
      <c r="I967">
        <v>1326.8465576000001</v>
      </c>
      <c r="J967">
        <v>1325.1776123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371.39705300000003</v>
      </c>
      <c r="B968" s="1">
        <f>DATE(2011,5,7) + TIME(9,31,45)</f>
        <v>40670.397048611114</v>
      </c>
      <c r="C968">
        <v>80</v>
      </c>
      <c r="D968">
        <v>79.968544006000002</v>
      </c>
      <c r="E968">
        <v>50</v>
      </c>
      <c r="F968">
        <v>49.271293640000003</v>
      </c>
      <c r="G968">
        <v>1340.565918</v>
      </c>
      <c r="H968">
        <v>1337.7232666</v>
      </c>
      <c r="I968">
        <v>1326.8455810999999</v>
      </c>
      <c r="J968">
        <v>1325.1763916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371.56414000000001</v>
      </c>
      <c r="B969" s="1">
        <f>DATE(2011,5,7) + TIME(13,32,21)</f>
        <v>40670.564131944448</v>
      </c>
      <c r="C969">
        <v>80</v>
      </c>
      <c r="D969">
        <v>79.968536377000007</v>
      </c>
      <c r="E969">
        <v>50</v>
      </c>
      <c r="F969">
        <v>49.256187439000001</v>
      </c>
      <c r="G969">
        <v>1340.5584716999999</v>
      </c>
      <c r="H969">
        <v>1337.7191161999999</v>
      </c>
      <c r="I969">
        <v>1326.8446045000001</v>
      </c>
      <c r="J969">
        <v>1325.1751709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371.73495300000002</v>
      </c>
      <c r="B970" s="1">
        <f>DATE(2011,5,7) + TIME(17,38,19)</f>
        <v>40670.734942129631</v>
      </c>
      <c r="C970">
        <v>80</v>
      </c>
      <c r="D970">
        <v>79.968521117999998</v>
      </c>
      <c r="E970">
        <v>50</v>
      </c>
      <c r="F970">
        <v>49.240833281999997</v>
      </c>
      <c r="G970">
        <v>1340.5509033000001</v>
      </c>
      <c r="H970">
        <v>1337.7149658000001</v>
      </c>
      <c r="I970">
        <v>1326.8436279</v>
      </c>
      <c r="J970">
        <v>1325.1738281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371.90991400000001</v>
      </c>
      <c r="B971" s="1">
        <f>DATE(2011,5,7) + TIME(21,50,16)</f>
        <v>40670.909907407404</v>
      </c>
      <c r="C971">
        <v>80</v>
      </c>
      <c r="D971">
        <v>79.968498229999994</v>
      </c>
      <c r="E971">
        <v>50</v>
      </c>
      <c r="F971">
        <v>49.225189209</v>
      </c>
      <c r="G971">
        <v>1340.5433350000001</v>
      </c>
      <c r="H971">
        <v>1337.7106934000001</v>
      </c>
      <c r="I971">
        <v>1326.8425293</v>
      </c>
      <c r="J971">
        <v>1325.1724853999999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372.08948400000003</v>
      </c>
      <c r="B972" s="1">
        <f>DATE(2011,5,8) + TIME(2,8,51)</f>
        <v>40671.089479166665</v>
      </c>
      <c r="C972">
        <v>80</v>
      </c>
      <c r="D972">
        <v>79.968475342000005</v>
      </c>
      <c r="E972">
        <v>50</v>
      </c>
      <c r="F972">
        <v>49.209228516000003</v>
      </c>
      <c r="G972">
        <v>1340.5356445</v>
      </c>
      <c r="H972">
        <v>1337.7064209</v>
      </c>
      <c r="I972">
        <v>1326.8415527</v>
      </c>
      <c r="J972">
        <v>1325.1711425999999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372.27417400000002</v>
      </c>
      <c r="B973" s="1">
        <f>DATE(2011,5,8) + TIME(6,34,48)</f>
        <v>40671.27416666667</v>
      </c>
      <c r="C973">
        <v>80</v>
      </c>
      <c r="D973">
        <v>79.968452454000001</v>
      </c>
      <c r="E973">
        <v>50</v>
      </c>
      <c r="F973">
        <v>49.192909241000002</v>
      </c>
      <c r="G973">
        <v>1340.527832</v>
      </c>
      <c r="H973">
        <v>1337.7021483999999</v>
      </c>
      <c r="I973">
        <v>1326.8404541</v>
      </c>
      <c r="J973">
        <v>1325.1696777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372.46455200000003</v>
      </c>
      <c r="B974" s="1">
        <f>DATE(2011,5,8) + TIME(11,8,57)</f>
        <v>40671.464548611111</v>
      </c>
      <c r="C974">
        <v>80</v>
      </c>
      <c r="D974">
        <v>79.968429564999994</v>
      </c>
      <c r="E974">
        <v>50</v>
      </c>
      <c r="F974">
        <v>49.176193237</v>
      </c>
      <c r="G974">
        <v>1340.5198975000001</v>
      </c>
      <c r="H974">
        <v>1337.697876</v>
      </c>
      <c r="I974">
        <v>1326.8392334</v>
      </c>
      <c r="J974">
        <v>1325.1682129000001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372.65968800000002</v>
      </c>
      <c r="B975" s="1">
        <f>DATE(2011,5,8) + TIME(15,49,57)</f>
        <v>40671.659687500003</v>
      </c>
      <c r="C975">
        <v>80</v>
      </c>
      <c r="D975">
        <v>79.968399047999995</v>
      </c>
      <c r="E975">
        <v>50</v>
      </c>
      <c r="F975">
        <v>49.159149169999999</v>
      </c>
      <c r="G975">
        <v>1340.5118408000001</v>
      </c>
      <c r="H975">
        <v>1337.6934814000001</v>
      </c>
      <c r="I975">
        <v>1326.8381348</v>
      </c>
      <c r="J975">
        <v>1325.166626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372.85962799999999</v>
      </c>
      <c r="B976" s="1">
        <f>DATE(2011,5,8) + TIME(20,37,51)</f>
        <v>40671.859618055554</v>
      </c>
      <c r="C976">
        <v>80</v>
      </c>
      <c r="D976">
        <v>79.968368530000006</v>
      </c>
      <c r="E976">
        <v>50</v>
      </c>
      <c r="F976">
        <v>49.141773223999998</v>
      </c>
      <c r="G976">
        <v>1340.5036620999999</v>
      </c>
      <c r="H976">
        <v>1337.6890868999999</v>
      </c>
      <c r="I976">
        <v>1326.8369141000001</v>
      </c>
      <c r="J976">
        <v>1325.1651611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373.06367299999999</v>
      </c>
      <c r="B977" s="1">
        <f>DATE(2011,5,9) + TIME(1,31,41)</f>
        <v>40672.063668981478</v>
      </c>
      <c r="C977">
        <v>80</v>
      </c>
      <c r="D977">
        <v>79.968338012999993</v>
      </c>
      <c r="E977">
        <v>50</v>
      </c>
      <c r="F977">
        <v>49.124114990000002</v>
      </c>
      <c r="G977">
        <v>1340.4954834</v>
      </c>
      <c r="H977">
        <v>1337.6845702999999</v>
      </c>
      <c r="I977">
        <v>1326.8356934000001</v>
      </c>
      <c r="J977">
        <v>1325.1634521000001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373.27029199999998</v>
      </c>
      <c r="B978" s="1">
        <f>DATE(2011,5,9) + TIME(6,29,13)</f>
        <v>40672.270289351851</v>
      </c>
      <c r="C978">
        <v>80</v>
      </c>
      <c r="D978">
        <v>79.968307495000005</v>
      </c>
      <c r="E978">
        <v>50</v>
      </c>
      <c r="F978">
        <v>49.106292725000003</v>
      </c>
      <c r="G978">
        <v>1340.4873047000001</v>
      </c>
      <c r="H978">
        <v>1337.6801757999999</v>
      </c>
      <c r="I978">
        <v>1326.8343506000001</v>
      </c>
      <c r="J978">
        <v>1325.1618652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373.47986900000001</v>
      </c>
      <c r="B979" s="1">
        <f>DATE(2011,5,9) + TIME(11,31,0)</f>
        <v>40672.479861111111</v>
      </c>
      <c r="C979">
        <v>80</v>
      </c>
      <c r="D979">
        <v>79.968276978000006</v>
      </c>
      <c r="E979">
        <v>50</v>
      </c>
      <c r="F979">
        <v>49.088279724000003</v>
      </c>
      <c r="G979">
        <v>1340.479126</v>
      </c>
      <c r="H979">
        <v>1337.6757812000001</v>
      </c>
      <c r="I979">
        <v>1326.8331298999999</v>
      </c>
      <c r="J979">
        <v>1325.1601562000001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373.69287100000003</v>
      </c>
      <c r="B980" s="1">
        <f>DATE(2011,5,9) + TIME(16,37,44)</f>
        <v>40672.692870370367</v>
      </c>
      <c r="C980">
        <v>80</v>
      </c>
      <c r="D980">
        <v>79.968246460000003</v>
      </c>
      <c r="E980">
        <v>50</v>
      </c>
      <c r="F980">
        <v>49.070049286</v>
      </c>
      <c r="G980">
        <v>1340.4709473</v>
      </c>
      <c r="H980">
        <v>1337.6713867000001</v>
      </c>
      <c r="I980">
        <v>1326.8317870999999</v>
      </c>
      <c r="J980">
        <v>1325.1583252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373.90958999999998</v>
      </c>
      <c r="B981" s="1">
        <f>DATE(2011,5,9) + TIME(21,49,48)</f>
        <v>40672.909583333334</v>
      </c>
      <c r="C981">
        <v>80</v>
      </c>
      <c r="D981">
        <v>79.968208313000005</v>
      </c>
      <c r="E981">
        <v>50</v>
      </c>
      <c r="F981">
        <v>49.051589966000002</v>
      </c>
      <c r="G981">
        <v>1340.4627685999999</v>
      </c>
      <c r="H981">
        <v>1337.6671143000001</v>
      </c>
      <c r="I981">
        <v>1326.8304443</v>
      </c>
      <c r="J981">
        <v>1325.1566161999999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374.13044600000001</v>
      </c>
      <c r="B982" s="1">
        <f>DATE(2011,5,10) + TIME(3,7,50)</f>
        <v>40673.130439814813</v>
      </c>
      <c r="C982">
        <v>80</v>
      </c>
      <c r="D982">
        <v>79.968177795000003</v>
      </c>
      <c r="E982">
        <v>50</v>
      </c>
      <c r="F982">
        <v>49.032871245999999</v>
      </c>
      <c r="G982">
        <v>1340.4545897999999</v>
      </c>
      <c r="H982">
        <v>1337.6627197</v>
      </c>
      <c r="I982">
        <v>1326.8289795000001</v>
      </c>
      <c r="J982">
        <v>1325.1547852000001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374.35589099999999</v>
      </c>
      <c r="B983" s="1">
        <f>DATE(2011,5,10) + TIME(8,32,28)</f>
        <v>40673.355879629627</v>
      </c>
      <c r="C983">
        <v>80</v>
      </c>
      <c r="D983">
        <v>79.968139648000005</v>
      </c>
      <c r="E983">
        <v>50</v>
      </c>
      <c r="F983">
        <v>49.013862609999997</v>
      </c>
      <c r="G983">
        <v>1340.4464111</v>
      </c>
      <c r="H983">
        <v>1337.6584473</v>
      </c>
      <c r="I983">
        <v>1326.8275146000001</v>
      </c>
      <c r="J983">
        <v>1325.152832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374.58641299999999</v>
      </c>
      <c r="B984" s="1">
        <f>DATE(2011,5,10) + TIME(14,4,26)</f>
        <v>40673.586412037039</v>
      </c>
      <c r="C984">
        <v>80</v>
      </c>
      <c r="D984">
        <v>79.968101501000007</v>
      </c>
      <c r="E984">
        <v>50</v>
      </c>
      <c r="F984">
        <v>48.994541167999998</v>
      </c>
      <c r="G984">
        <v>1340.4382324000001</v>
      </c>
      <c r="H984">
        <v>1337.6541748</v>
      </c>
      <c r="I984">
        <v>1326.8260498</v>
      </c>
      <c r="J984">
        <v>1325.1508789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374.81882100000001</v>
      </c>
      <c r="B985" s="1">
        <f>DATE(2011,5,10) + TIME(19,39,6)</f>
        <v>40673.818819444445</v>
      </c>
      <c r="C985">
        <v>80</v>
      </c>
      <c r="D985">
        <v>79.968070983999993</v>
      </c>
      <c r="E985">
        <v>50</v>
      </c>
      <c r="F985">
        <v>48.975112914999997</v>
      </c>
      <c r="G985">
        <v>1340.4299315999999</v>
      </c>
      <c r="H985">
        <v>1337.6497803</v>
      </c>
      <c r="I985">
        <v>1326.8245850000001</v>
      </c>
      <c r="J985">
        <v>1325.1489257999999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375.05322799999999</v>
      </c>
      <c r="B986" s="1">
        <f>DATE(2011,5,11) + TIME(1,16,38)</f>
        <v>40674.053217592591</v>
      </c>
      <c r="C986">
        <v>80</v>
      </c>
      <c r="D986">
        <v>79.968032836999996</v>
      </c>
      <c r="E986">
        <v>50</v>
      </c>
      <c r="F986">
        <v>48.955581664999997</v>
      </c>
      <c r="G986">
        <v>1340.421875</v>
      </c>
      <c r="H986">
        <v>1337.6456298999999</v>
      </c>
      <c r="I986">
        <v>1326.8229980000001</v>
      </c>
      <c r="J986">
        <v>1325.1468506000001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375.29023699999999</v>
      </c>
      <c r="B987" s="1">
        <f>DATE(2011,5,11) + TIME(6,57,56)</f>
        <v>40674.290231481478</v>
      </c>
      <c r="C987">
        <v>80</v>
      </c>
      <c r="D987">
        <v>79.967994689999998</v>
      </c>
      <c r="E987">
        <v>50</v>
      </c>
      <c r="F987">
        <v>48.935920715000002</v>
      </c>
      <c r="G987">
        <v>1340.4136963000001</v>
      </c>
      <c r="H987">
        <v>1337.6414795000001</v>
      </c>
      <c r="I987">
        <v>1326.8214111</v>
      </c>
      <c r="J987">
        <v>1325.1447754000001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375.53025500000001</v>
      </c>
      <c r="B988" s="1">
        <f>DATE(2011,5,11) + TIME(12,43,34)</f>
        <v>40674.53025462963</v>
      </c>
      <c r="C988">
        <v>80</v>
      </c>
      <c r="D988">
        <v>79.967964171999995</v>
      </c>
      <c r="E988">
        <v>50</v>
      </c>
      <c r="F988">
        <v>48.916099547999998</v>
      </c>
      <c r="G988">
        <v>1340.4057617000001</v>
      </c>
      <c r="H988">
        <v>1337.6373291</v>
      </c>
      <c r="I988">
        <v>1326.8198242000001</v>
      </c>
      <c r="J988">
        <v>1325.1427002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375.773799</v>
      </c>
      <c r="B989" s="1">
        <f>DATE(2011,5,11) + TIME(18,34,16)</f>
        <v>40674.773796296293</v>
      </c>
      <c r="C989">
        <v>80</v>
      </c>
      <c r="D989">
        <v>79.967926024999997</v>
      </c>
      <c r="E989">
        <v>50</v>
      </c>
      <c r="F989">
        <v>48.896091460999997</v>
      </c>
      <c r="G989">
        <v>1340.3977050999999</v>
      </c>
      <c r="H989">
        <v>1337.6331786999999</v>
      </c>
      <c r="I989">
        <v>1326.8182373</v>
      </c>
      <c r="J989">
        <v>1325.1405029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376.02141499999999</v>
      </c>
      <c r="B990" s="1">
        <f>DATE(2011,5,12) + TIME(0,30,50)</f>
        <v>40675.021412037036</v>
      </c>
      <c r="C990">
        <v>80</v>
      </c>
      <c r="D990">
        <v>79.967887877999999</v>
      </c>
      <c r="E990">
        <v>50</v>
      </c>
      <c r="F990">
        <v>48.875862122000001</v>
      </c>
      <c r="G990">
        <v>1340.3897704999999</v>
      </c>
      <c r="H990">
        <v>1337.6291504000001</v>
      </c>
      <c r="I990">
        <v>1326.8165283000001</v>
      </c>
      <c r="J990">
        <v>1325.1383057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376.27368000000001</v>
      </c>
      <c r="B991" s="1">
        <f>DATE(2011,5,12) + TIME(6,34,5)</f>
        <v>40675.273668981485</v>
      </c>
      <c r="C991">
        <v>80</v>
      </c>
      <c r="D991">
        <v>79.967849731000001</v>
      </c>
      <c r="E991">
        <v>50</v>
      </c>
      <c r="F991">
        <v>48.855377197000003</v>
      </c>
      <c r="G991">
        <v>1340.3818358999999</v>
      </c>
      <c r="H991">
        <v>1337.6251221</v>
      </c>
      <c r="I991">
        <v>1326.8148193</v>
      </c>
      <c r="J991">
        <v>1325.1361084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376.53121299999998</v>
      </c>
      <c r="B992" s="1">
        <f>DATE(2011,5,12) + TIME(12,44,56)</f>
        <v>40675.5312037037</v>
      </c>
      <c r="C992">
        <v>80</v>
      </c>
      <c r="D992">
        <v>79.967811584000003</v>
      </c>
      <c r="E992">
        <v>50</v>
      </c>
      <c r="F992">
        <v>48.834594727000002</v>
      </c>
      <c r="G992">
        <v>1340.3739014</v>
      </c>
      <c r="H992">
        <v>1337.6210937999999</v>
      </c>
      <c r="I992">
        <v>1326.8131103999999</v>
      </c>
      <c r="J992">
        <v>1325.1337891000001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376.79468300000002</v>
      </c>
      <c r="B993" s="1">
        <f>DATE(2011,5,12) + TIME(19,4,20)</f>
        <v>40675.794675925928</v>
      </c>
      <c r="C993">
        <v>80</v>
      </c>
      <c r="D993">
        <v>79.967781067000004</v>
      </c>
      <c r="E993">
        <v>50</v>
      </c>
      <c r="F993">
        <v>48.813472748000002</v>
      </c>
      <c r="G993">
        <v>1340.3658447</v>
      </c>
      <c r="H993">
        <v>1337.6170654</v>
      </c>
      <c r="I993">
        <v>1326.8112793</v>
      </c>
      <c r="J993">
        <v>1325.1313477000001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377.06502599999999</v>
      </c>
      <c r="B994" s="1">
        <f>DATE(2011,5,13) + TIME(1,33,38)</f>
        <v>40676.065023148149</v>
      </c>
      <c r="C994">
        <v>80</v>
      </c>
      <c r="D994">
        <v>79.967742920000006</v>
      </c>
      <c r="E994">
        <v>50</v>
      </c>
      <c r="F994">
        <v>48.791957855</v>
      </c>
      <c r="G994">
        <v>1340.3579102000001</v>
      </c>
      <c r="H994">
        <v>1337.6130370999999</v>
      </c>
      <c r="I994">
        <v>1326.8094481999999</v>
      </c>
      <c r="J994">
        <v>1325.1289062000001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377.34247499999998</v>
      </c>
      <c r="B995" s="1">
        <f>DATE(2011,5,13) + TIME(8,13,9)</f>
        <v>40676.342465277776</v>
      </c>
      <c r="C995">
        <v>80</v>
      </c>
      <c r="D995">
        <v>79.967704772999994</v>
      </c>
      <c r="E995">
        <v>50</v>
      </c>
      <c r="F995">
        <v>48.770023346000002</v>
      </c>
      <c r="G995">
        <v>1340.3498535000001</v>
      </c>
      <c r="H995">
        <v>1337.6090088000001</v>
      </c>
      <c r="I995">
        <v>1326.8074951000001</v>
      </c>
      <c r="J995">
        <v>1325.1263428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377.628533</v>
      </c>
      <c r="B996" s="1">
        <f>DATE(2011,5,13) + TIME(15,5,5)</f>
        <v>40676.628530092596</v>
      </c>
      <c r="C996">
        <v>80</v>
      </c>
      <c r="D996">
        <v>79.967666625999996</v>
      </c>
      <c r="E996">
        <v>50</v>
      </c>
      <c r="F996">
        <v>48.747585297000001</v>
      </c>
      <c r="G996">
        <v>1340.3417969</v>
      </c>
      <c r="H996">
        <v>1337.6049805</v>
      </c>
      <c r="I996">
        <v>1326.8054199000001</v>
      </c>
      <c r="J996">
        <v>1325.1236572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377.92015800000001</v>
      </c>
      <c r="B997" s="1">
        <f>DATE(2011,5,13) + TIME(22,5,1)</f>
        <v>40676.92015046296</v>
      </c>
      <c r="C997">
        <v>80</v>
      </c>
      <c r="D997">
        <v>79.967628478999998</v>
      </c>
      <c r="E997">
        <v>50</v>
      </c>
      <c r="F997">
        <v>48.724815368999998</v>
      </c>
      <c r="G997">
        <v>1340.3334961</v>
      </c>
      <c r="H997">
        <v>1337.6009521000001</v>
      </c>
      <c r="I997">
        <v>1326.8033447</v>
      </c>
      <c r="J997">
        <v>1325.1208495999999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378.21644800000001</v>
      </c>
      <c r="B998" s="1">
        <f>DATE(2011,5,14) + TIME(5,11,41)</f>
        <v>40677.216446759259</v>
      </c>
      <c r="C998">
        <v>80</v>
      </c>
      <c r="D998">
        <v>79.967590332</v>
      </c>
      <c r="E998">
        <v>50</v>
      </c>
      <c r="F998">
        <v>48.701774596999996</v>
      </c>
      <c r="G998">
        <v>1340.3253173999999</v>
      </c>
      <c r="H998">
        <v>1337.5969238</v>
      </c>
      <c r="I998">
        <v>1326.8012695</v>
      </c>
      <c r="J998">
        <v>1325.1180420000001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378.517585</v>
      </c>
      <c r="B999" s="1">
        <f>DATE(2011,5,14) + TIME(12,25,19)</f>
        <v>40677.517581018517</v>
      </c>
      <c r="C999">
        <v>80</v>
      </c>
      <c r="D999">
        <v>79.967552185000002</v>
      </c>
      <c r="E999">
        <v>50</v>
      </c>
      <c r="F999">
        <v>48.678466796999999</v>
      </c>
      <c r="G999">
        <v>1340.3171387</v>
      </c>
      <c r="H999">
        <v>1337.5928954999999</v>
      </c>
      <c r="I999">
        <v>1326.7990723</v>
      </c>
      <c r="J999">
        <v>1325.1151123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378.82063499999998</v>
      </c>
      <c r="B1000" s="1">
        <f>DATE(2011,5,14) + TIME(19,41,42)</f>
        <v>40677.820625</v>
      </c>
      <c r="C1000">
        <v>80</v>
      </c>
      <c r="D1000">
        <v>79.967514038000004</v>
      </c>
      <c r="E1000">
        <v>50</v>
      </c>
      <c r="F1000">
        <v>48.655067443999997</v>
      </c>
      <c r="G1000">
        <v>1340.3089600000001</v>
      </c>
      <c r="H1000">
        <v>1337.5888672000001</v>
      </c>
      <c r="I1000">
        <v>1326.7967529</v>
      </c>
      <c r="J1000">
        <v>1325.1120605000001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379.12618300000003</v>
      </c>
      <c r="B1001" s="1">
        <f>DATE(2011,5,15) + TIME(3,1,42)</f>
        <v>40678.126180555555</v>
      </c>
      <c r="C1001">
        <v>80</v>
      </c>
      <c r="D1001">
        <v>79.967475891000007</v>
      </c>
      <c r="E1001">
        <v>50</v>
      </c>
      <c r="F1001">
        <v>48.631561279000003</v>
      </c>
      <c r="G1001">
        <v>1340.3009033000001</v>
      </c>
      <c r="H1001">
        <v>1337.5849608999999</v>
      </c>
      <c r="I1001">
        <v>1326.7944336</v>
      </c>
      <c r="J1001">
        <v>1325.1090088000001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379.43481000000003</v>
      </c>
      <c r="B1002" s="1">
        <f>DATE(2011,5,15) + TIME(10,26,7)</f>
        <v>40678.434803240743</v>
      </c>
      <c r="C1002">
        <v>80</v>
      </c>
      <c r="D1002">
        <v>79.967437743999994</v>
      </c>
      <c r="E1002">
        <v>50</v>
      </c>
      <c r="F1002">
        <v>48.607933043999999</v>
      </c>
      <c r="G1002">
        <v>1340.2929687999999</v>
      </c>
      <c r="H1002">
        <v>1337.5810547000001</v>
      </c>
      <c r="I1002">
        <v>1326.7921143000001</v>
      </c>
      <c r="J1002">
        <v>1325.105957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379.74713700000001</v>
      </c>
      <c r="B1003" s="1">
        <f>DATE(2011,5,15) + TIME(17,55,52)</f>
        <v>40678.747129629628</v>
      </c>
      <c r="C1003">
        <v>80</v>
      </c>
      <c r="D1003">
        <v>79.967399596999996</v>
      </c>
      <c r="E1003">
        <v>50</v>
      </c>
      <c r="F1003">
        <v>48.584148407000001</v>
      </c>
      <c r="G1003">
        <v>1340.2850341999999</v>
      </c>
      <c r="H1003">
        <v>1337.5772704999999</v>
      </c>
      <c r="I1003">
        <v>1326.7897949000001</v>
      </c>
      <c r="J1003">
        <v>1325.1026611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380.063873</v>
      </c>
      <c r="B1004" s="1">
        <f>DATE(2011,5,16) + TIME(1,31,58)</f>
        <v>40679.06386574074</v>
      </c>
      <c r="C1004">
        <v>80</v>
      </c>
      <c r="D1004">
        <v>79.967361449999999</v>
      </c>
      <c r="E1004">
        <v>50</v>
      </c>
      <c r="F1004">
        <v>48.560176849000001</v>
      </c>
      <c r="G1004">
        <v>1340.2772216999999</v>
      </c>
      <c r="H1004">
        <v>1337.5734863</v>
      </c>
      <c r="I1004">
        <v>1326.7873535000001</v>
      </c>
      <c r="J1004">
        <v>1325.0994873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380.384479</v>
      </c>
      <c r="B1005" s="1">
        <f>DATE(2011,5,16) + TIME(9,13,39)</f>
        <v>40679.384479166663</v>
      </c>
      <c r="C1005">
        <v>80</v>
      </c>
      <c r="D1005">
        <v>79.967323303000001</v>
      </c>
      <c r="E1005">
        <v>50</v>
      </c>
      <c r="F1005">
        <v>48.536045074</v>
      </c>
      <c r="G1005">
        <v>1340.2694091999999</v>
      </c>
      <c r="H1005">
        <v>1337.5697021000001</v>
      </c>
      <c r="I1005">
        <v>1326.7847899999999</v>
      </c>
      <c r="J1005">
        <v>1325.0960693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380.707649</v>
      </c>
      <c r="B1006" s="1">
        <f>DATE(2011,5,16) + TIME(16,59,0)</f>
        <v>40679.707638888889</v>
      </c>
      <c r="C1006">
        <v>80</v>
      </c>
      <c r="D1006">
        <v>79.967285156000003</v>
      </c>
      <c r="E1006">
        <v>50</v>
      </c>
      <c r="F1006">
        <v>48.511829376000001</v>
      </c>
      <c r="G1006">
        <v>1340.2615966999999</v>
      </c>
      <c r="H1006">
        <v>1337.5660399999999</v>
      </c>
      <c r="I1006">
        <v>1326.7822266000001</v>
      </c>
      <c r="J1006">
        <v>1325.0926514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381.03418799999997</v>
      </c>
      <c r="B1007" s="1">
        <f>DATE(2011,5,17) + TIME(0,49,13)</f>
        <v>40680.034178240741</v>
      </c>
      <c r="C1007">
        <v>80</v>
      </c>
      <c r="D1007">
        <v>79.967247009000005</v>
      </c>
      <c r="E1007">
        <v>50</v>
      </c>
      <c r="F1007">
        <v>48.487499237000002</v>
      </c>
      <c r="G1007">
        <v>1340.2539062000001</v>
      </c>
      <c r="H1007">
        <v>1337.5623779</v>
      </c>
      <c r="I1007">
        <v>1326.7796631000001</v>
      </c>
      <c r="J1007">
        <v>1325.0892334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381.364732</v>
      </c>
      <c r="B1008" s="1">
        <f>DATE(2011,5,17) + TIME(8,45,12)</f>
        <v>40680.364722222221</v>
      </c>
      <c r="C1008">
        <v>80</v>
      </c>
      <c r="D1008">
        <v>79.967208862000007</v>
      </c>
      <c r="E1008">
        <v>50</v>
      </c>
      <c r="F1008">
        <v>48.463020325000002</v>
      </c>
      <c r="G1008">
        <v>1340.2463379000001</v>
      </c>
      <c r="H1008">
        <v>1337.5587158000001</v>
      </c>
      <c r="I1008">
        <v>1326.7769774999999</v>
      </c>
      <c r="J1008">
        <v>1325.0855713000001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381.70004699999998</v>
      </c>
      <c r="B1009" s="1">
        <f>DATE(2011,5,17) + TIME(16,48,4)</f>
        <v>40680.700046296297</v>
      </c>
      <c r="C1009">
        <v>80</v>
      </c>
      <c r="D1009">
        <v>79.967170714999995</v>
      </c>
      <c r="E1009">
        <v>50</v>
      </c>
      <c r="F1009">
        <v>48.438350677000003</v>
      </c>
      <c r="G1009">
        <v>1340.2387695</v>
      </c>
      <c r="H1009">
        <v>1337.5551757999999</v>
      </c>
      <c r="I1009">
        <v>1326.7742920000001</v>
      </c>
      <c r="J1009">
        <v>1325.0820312000001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382.04095899999999</v>
      </c>
      <c r="B1010" s="1">
        <f>DATE(2011,5,18) + TIME(0,58,58)</f>
        <v>40681.040949074071</v>
      </c>
      <c r="C1010">
        <v>80</v>
      </c>
      <c r="D1010">
        <v>79.967140197999996</v>
      </c>
      <c r="E1010">
        <v>50</v>
      </c>
      <c r="F1010">
        <v>48.413448334000002</v>
      </c>
      <c r="G1010">
        <v>1340.2312012</v>
      </c>
      <c r="H1010">
        <v>1337.5516356999999</v>
      </c>
      <c r="I1010">
        <v>1326.7714844</v>
      </c>
      <c r="J1010">
        <v>1325.0782471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382.38835999999998</v>
      </c>
      <c r="B1011" s="1">
        <f>DATE(2011,5,18) + TIME(9,19,14)</f>
        <v>40681.388356481482</v>
      </c>
      <c r="C1011">
        <v>80</v>
      </c>
      <c r="D1011">
        <v>79.967102050999998</v>
      </c>
      <c r="E1011">
        <v>50</v>
      </c>
      <c r="F1011">
        <v>48.388259888</v>
      </c>
      <c r="G1011">
        <v>1340.2236327999999</v>
      </c>
      <c r="H1011">
        <v>1337.5480957</v>
      </c>
      <c r="I1011">
        <v>1326.7686768000001</v>
      </c>
      <c r="J1011">
        <v>1325.0743408000001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382.743223</v>
      </c>
      <c r="B1012" s="1">
        <f>DATE(2011,5,18) + TIME(17,50,14)</f>
        <v>40681.743217592593</v>
      </c>
      <c r="C1012">
        <v>80</v>
      </c>
      <c r="D1012">
        <v>79.967063904</v>
      </c>
      <c r="E1012">
        <v>50</v>
      </c>
      <c r="F1012">
        <v>48.362731934000003</v>
      </c>
      <c r="G1012">
        <v>1340.2160644999999</v>
      </c>
      <c r="H1012">
        <v>1337.5444336</v>
      </c>
      <c r="I1012">
        <v>1326.7657471</v>
      </c>
      <c r="J1012">
        <v>1325.0704346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383.10767199999998</v>
      </c>
      <c r="B1013" s="1">
        <f>DATE(2011,5,19) + TIME(2,35,2)</f>
        <v>40682.107662037037</v>
      </c>
      <c r="C1013">
        <v>80</v>
      </c>
      <c r="D1013">
        <v>79.967025757000002</v>
      </c>
      <c r="E1013">
        <v>50</v>
      </c>
      <c r="F1013">
        <v>48.336750031000001</v>
      </c>
      <c r="G1013">
        <v>1340.2084961</v>
      </c>
      <c r="H1013">
        <v>1337.5408935999999</v>
      </c>
      <c r="I1013">
        <v>1326.7626952999999</v>
      </c>
      <c r="J1013">
        <v>1325.0664062000001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383.48344800000001</v>
      </c>
      <c r="B1014" s="1">
        <f>DATE(2011,5,19) + TIME(11,36,9)</f>
        <v>40682.483437499999</v>
      </c>
      <c r="C1014">
        <v>80</v>
      </c>
      <c r="D1014">
        <v>79.966987610000004</v>
      </c>
      <c r="E1014">
        <v>50</v>
      </c>
      <c r="F1014">
        <v>48.310211182000003</v>
      </c>
      <c r="G1014">
        <v>1340.2008057</v>
      </c>
      <c r="H1014">
        <v>1337.5373535000001</v>
      </c>
      <c r="I1014">
        <v>1326.7596435999999</v>
      </c>
      <c r="J1014">
        <v>1325.0621338000001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383.87205399999999</v>
      </c>
      <c r="B1015" s="1">
        <f>DATE(2011,5,19) + TIME(20,55,45)</f>
        <v>40682.872048611112</v>
      </c>
      <c r="C1015">
        <v>80</v>
      </c>
      <c r="D1015">
        <v>79.966957092000001</v>
      </c>
      <c r="E1015">
        <v>50</v>
      </c>
      <c r="F1015">
        <v>48.283027648999997</v>
      </c>
      <c r="G1015">
        <v>1340.1931152</v>
      </c>
      <c r="H1015">
        <v>1337.5336914</v>
      </c>
      <c r="I1015">
        <v>1326.7563477000001</v>
      </c>
      <c r="J1015">
        <v>1325.0577393000001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384.27227800000003</v>
      </c>
      <c r="B1016" s="1">
        <f>DATE(2011,5,20) + TIME(6,32,4)</f>
        <v>40683.272268518522</v>
      </c>
      <c r="C1016">
        <v>80</v>
      </c>
      <c r="D1016">
        <v>79.966918945000003</v>
      </c>
      <c r="E1016">
        <v>50</v>
      </c>
      <c r="F1016">
        <v>48.255245209000002</v>
      </c>
      <c r="G1016">
        <v>1340.1851807</v>
      </c>
      <c r="H1016">
        <v>1337.5301514</v>
      </c>
      <c r="I1016">
        <v>1326.7529297000001</v>
      </c>
      <c r="J1016">
        <v>1325.0531006000001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384.676511</v>
      </c>
      <c r="B1017" s="1">
        <f>DATE(2011,5,20) + TIME(16,14,10)</f>
        <v>40683.676504629628</v>
      </c>
      <c r="C1017">
        <v>80</v>
      </c>
      <c r="D1017">
        <v>79.966880798000005</v>
      </c>
      <c r="E1017">
        <v>50</v>
      </c>
      <c r="F1017">
        <v>48.227230071999998</v>
      </c>
      <c r="G1017">
        <v>1340.1772461</v>
      </c>
      <c r="H1017">
        <v>1337.5264893000001</v>
      </c>
      <c r="I1017">
        <v>1326.7493896000001</v>
      </c>
      <c r="J1017">
        <v>1325.0483397999999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385.08573100000001</v>
      </c>
      <c r="B1018" s="1">
        <f>DATE(2011,5,21) + TIME(2,3,27)</f>
        <v>40684.085729166669</v>
      </c>
      <c r="C1018">
        <v>80</v>
      </c>
      <c r="D1018">
        <v>79.966842650999993</v>
      </c>
      <c r="E1018">
        <v>50</v>
      </c>
      <c r="F1018">
        <v>48.198974608999997</v>
      </c>
      <c r="G1018">
        <v>1340.1694336</v>
      </c>
      <c r="H1018">
        <v>1337.5228271000001</v>
      </c>
      <c r="I1018">
        <v>1326.7458495999999</v>
      </c>
      <c r="J1018">
        <v>1325.043457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385.29325899999998</v>
      </c>
      <c r="B1019" s="1">
        <f>DATE(2011,5,21) + TIME(7,2,17)</f>
        <v>40684.293252314812</v>
      </c>
      <c r="C1019">
        <v>80</v>
      </c>
      <c r="D1019">
        <v>79.966812133999994</v>
      </c>
      <c r="E1019">
        <v>50</v>
      </c>
      <c r="F1019">
        <v>48.182109832999998</v>
      </c>
      <c r="G1019">
        <v>1340.1621094</v>
      </c>
      <c r="H1019">
        <v>1337.5195312000001</v>
      </c>
      <c r="I1019">
        <v>1326.7424315999999</v>
      </c>
      <c r="J1019">
        <v>1325.0389404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385.50078600000001</v>
      </c>
      <c r="B1020" s="1">
        <f>DATE(2011,5,21) + TIME(12,1,7)</f>
        <v>40684.500775462962</v>
      </c>
      <c r="C1020">
        <v>80</v>
      </c>
      <c r="D1020">
        <v>79.966789246000005</v>
      </c>
      <c r="E1020">
        <v>50</v>
      </c>
      <c r="F1020">
        <v>48.165733336999999</v>
      </c>
      <c r="G1020">
        <v>1340.1578368999999</v>
      </c>
      <c r="H1020">
        <v>1337.5175781</v>
      </c>
      <c r="I1020">
        <v>1326.7403564000001</v>
      </c>
      <c r="J1020">
        <v>1325.0361327999999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385.915841</v>
      </c>
      <c r="B1021" s="1">
        <f>DATE(2011,5,21) + TIME(21,58,48)</f>
        <v>40684.915833333333</v>
      </c>
      <c r="C1021">
        <v>80</v>
      </c>
      <c r="D1021">
        <v>79.966758728000002</v>
      </c>
      <c r="E1021">
        <v>50</v>
      </c>
      <c r="F1021">
        <v>48.138736725000001</v>
      </c>
      <c r="G1021">
        <v>1340.1535644999999</v>
      </c>
      <c r="H1021">
        <v>1337.5155029</v>
      </c>
      <c r="I1021">
        <v>1326.7381591999999</v>
      </c>
      <c r="J1021">
        <v>1325.0328368999999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386.33090499999997</v>
      </c>
      <c r="B1022" s="1">
        <f>DATE(2011,5,22) + TIME(7,56,30)</f>
        <v>40685.33090277778</v>
      </c>
      <c r="C1022">
        <v>80</v>
      </c>
      <c r="D1022">
        <v>79.966728209999999</v>
      </c>
      <c r="E1022">
        <v>50</v>
      </c>
      <c r="F1022">
        <v>48.111370086999997</v>
      </c>
      <c r="G1022">
        <v>1340.1461182</v>
      </c>
      <c r="H1022">
        <v>1337.5120850000001</v>
      </c>
      <c r="I1022">
        <v>1326.734375</v>
      </c>
      <c r="J1022">
        <v>1325.027832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386.74771700000002</v>
      </c>
      <c r="B1023" s="1">
        <f>DATE(2011,5,22) + TIME(17,56,42)</f>
        <v>40685.747708333336</v>
      </c>
      <c r="C1023">
        <v>80</v>
      </c>
      <c r="D1023">
        <v>79.966690063000001</v>
      </c>
      <c r="E1023">
        <v>50</v>
      </c>
      <c r="F1023">
        <v>48.083721161</v>
      </c>
      <c r="G1023">
        <v>1340.1386719</v>
      </c>
      <c r="H1023">
        <v>1337.5087891000001</v>
      </c>
      <c r="I1023">
        <v>1326.7305908000001</v>
      </c>
      <c r="J1023">
        <v>1325.0225829999999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387.16733799999997</v>
      </c>
      <c r="B1024" s="1">
        <f>DATE(2011,5,23) + TIME(4,0,58)</f>
        <v>40686.167337962965</v>
      </c>
      <c r="C1024">
        <v>80</v>
      </c>
      <c r="D1024">
        <v>79.966659546000002</v>
      </c>
      <c r="E1024">
        <v>50</v>
      </c>
      <c r="F1024">
        <v>48.055854797000002</v>
      </c>
      <c r="G1024">
        <v>1340.1312256000001</v>
      </c>
      <c r="H1024">
        <v>1337.5053711</v>
      </c>
      <c r="I1024">
        <v>1326.7266846</v>
      </c>
      <c r="J1024">
        <v>1325.0172118999999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387.59093200000001</v>
      </c>
      <c r="B1025" s="1">
        <f>DATE(2011,5,23) + TIME(14,10,56)</f>
        <v>40686.590925925928</v>
      </c>
      <c r="C1025">
        <v>80</v>
      </c>
      <c r="D1025">
        <v>79.966621399000005</v>
      </c>
      <c r="E1025">
        <v>50</v>
      </c>
      <c r="F1025">
        <v>48.027782440000003</v>
      </c>
      <c r="G1025">
        <v>1340.1240233999999</v>
      </c>
      <c r="H1025">
        <v>1337.5020752</v>
      </c>
      <c r="I1025">
        <v>1326.7227783000001</v>
      </c>
      <c r="J1025">
        <v>1325.0118408000001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388.01938699999999</v>
      </c>
      <c r="B1026" s="1">
        <f>DATE(2011,5,24) + TIME(0,27,55)</f>
        <v>40687.019386574073</v>
      </c>
      <c r="C1026">
        <v>80</v>
      </c>
      <c r="D1026">
        <v>79.966590881000002</v>
      </c>
      <c r="E1026">
        <v>50</v>
      </c>
      <c r="F1026">
        <v>47.999507903999998</v>
      </c>
      <c r="G1026">
        <v>1340.1166992000001</v>
      </c>
      <c r="H1026">
        <v>1337.4987793</v>
      </c>
      <c r="I1026">
        <v>1326.71875</v>
      </c>
      <c r="J1026">
        <v>1325.0062256000001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388.45392500000003</v>
      </c>
      <c r="B1027" s="1">
        <f>DATE(2011,5,24) + TIME(10,53,39)</f>
        <v>40687.453923611109</v>
      </c>
      <c r="C1027">
        <v>80</v>
      </c>
      <c r="D1027">
        <v>79.966552734000004</v>
      </c>
      <c r="E1027">
        <v>50</v>
      </c>
      <c r="F1027">
        <v>47.970996857000003</v>
      </c>
      <c r="G1027">
        <v>1340.1094971</v>
      </c>
      <c r="H1027">
        <v>1337.4954834</v>
      </c>
      <c r="I1027">
        <v>1326.7145995999999</v>
      </c>
      <c r="J1027">
        <v>1325.0006103999999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388.895714</v>
      </c>
      <c r="B1028" s="1">
        <f>DATE(2011,5,24) + TIME(21,29,49)</f>
        <v>40687.89570601852</v>
      </c>
      <c r="C1028">
        <v>80</v>
      </c>
      <c r="D1028">
        <v>79.966522217000005</v>
      </c>
      <c r="E1028">
        <v>50</v>
      </c>
      <c r="F1028">
        <v>47.942211151000002</v>
      </c>
      <c r="G1028">
        <v>1340.1022949000001</v>
      </c>
      <c r="H1028">
        <v>1337.4923096</v>
      </c>
      <c r="I1028">
        <v>1326.7103271000001</v>
      </c>
      <c r="J1028">
        <v>1324.994751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389.34594700000002</v>
      </c>
      <c r="B1029" s="1">
        <f>DATE(2011,5,25) + TIME(8,18,9)</f>
        <v>40688.345937500002</v>
      </c>
      <c r="C1029">
        <v>80</v>
      </c>
      <c r="D1029">
        <v>79.966484070000007</v>
      </c>
      <c r="E1029">
        <v>50</v>
      </c>
      <c r="F1029">
        <v>47.913101196</v>
      </c>
      <c r="G1029">
        <v>1340.0950928</v>
      </c>
      <c r="H1029">
        <v>1337.4890137</v>
      </c>
      <c r="I1029">
        <v>1326.7059326000001</v>
      </c>
      <c r="J1029">
        <v>1324.9887695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389.80679199999997</v>
      </c>
      <c r="B1030" s="1">
        <f>DATE(2011,5,25) + TIME(19,21,46)</f>
        <v>40688.80678240741</v>
      </c>
      <c r="C1030">
        <v>80</v>
      </c>
      <c r="D1030">
        <v>79.966453552000004</v>
      </c>
      <c r="E1030">
        <v>50</v>
      </c>
      <c r="F1030">
        <v>47.883571625000002</v>
      </c>
      <c r="G1030">
        <v>1340.0878906</v>
      </c>
      <c r="H1030">
        <v>1337.4858397999999</v>
      </c>
      <c r="I1030">
        <v>1326.7015381000001</v>
      </c>
      <c r="J1030">
        <v>1324.9826660000001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390.27955100000003</v>
      </c>
      <c r="B1031" s="1">
        <f>DATE(2011,5,26) + TIME(6,42,33)</f>
        <v>40689.279548611114</v>
      </c>
      <c r="C1031">
        <v>80</v>
      </c>
      <c r="D1031">
        <v>79.966423035000005</v>
      </c>
      <c r="E1031">
        <v>50</v>
      </c>
      <c r="F1031">
        <v>47.853553771999998</v>
      </c>
      <c r="G1031">
        <v>1340.0806885</v>
      </c>
      <c r="H1031">
        <v>1337.4825439000001</v>
      </c>
      <c r="I1031">
        <v>1326.6968993999999</v>
      </c>
      <c r="J1031">
        <v>1324.9761963000001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390.76262800000001</v>
      </c>
      <c r="B1032" s="1">
        <f>DATE(2011,5,26) + TIME(18,18,11)</f>
        <v>40689.762627314813</v>
      </c>
      <c r="C1032">
        <v>80</v>
      </c>
      <c r="D1032">
        <v>79.966384887999993</v>
      </c>
      <c r="E1032">
        <v>50</v>
      </c>
      <c r="F1032">
        <v>47.823104858000001</v>
      </c>
      <c r="G1032">
        <v>1340.0733643000001</v>
      </c>
      <c r="H1032">
        <v>1337.4792480000001</v>
      </c>
      <c r="I1032">
        <v>1326.6921387</v>
      </c>
      <c r="J1032">
        <v>1324.9696045000001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391.25960400000002</v>
      </c>
      <c r="B1033" s="1">
        <f>DATE(2011,5,27) + TIME(6,13,49)</f>
        <v>40690.259594907409</v>
      </c>
      <c r="C1033">
        <v>80</v>
      </c>
      <c r="D1033">
        <v>79.966354370000005</v>
      </c>
      <c r="E1033">
        <v>50</v>
      </c>
      <c r="F1033">
        <v>47.792076111</v>
      </c>
      <c r="G1033">
        <v>1340.0660399999999</v>
      </c>
      <c r="H1033">
        <v>1337.4759521000001</v>
      </c>
      <c r="I1033">
        <v>1326.6871338000001</v>
      </c>
      <c r="J1033">
        <v>1324.9627685999999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391.77172400000001</v>
      </c>
      <c r="B1034" s="1">
        <f>DATE(2011,5,27) + TIME(18,31,16)</f>
        <v>40690.77171296296</v>
      </c>
      <c r="C1034">
        <v>80</v>
      </c>
      <c r="D1034">
        <v>79.966316223000007</v>
      </c>
      <c r="E1034">
        <v>50</v>
      </c>
      <c r="F1034">
        <v>47.760410309000001</v>
      </c>
      <c r="G1034">
        <v>1340.0587158000001</v>
      </c>
      <c r="H1034">
        <v>1337.4726562000001</v>
      </c>
      <c r="I1034">
        <v>1326.6820068</v>
      </c>
      <c r="J1034">
        <v>1324.9556885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392.303042</v>
      </c>
      <c r="B1035" s="1">
        <f>DATE(2011,5,28) + TIME(7,16,22)</f>
        <v>40691.303032407406</v>
      </c>
      <c r="C1035">
        <v>80</v>
      </c>
      <c r="D1035">
        <v>79.966285705999994</v>
      </c>
      <c r="E1035">
        <v>50</v>
      </c>
      <c r="F1035">
        <v>47.727928161999998</v>
      </c>
      <c r="G1035">
        <v>1340.0511475000001</v>
      </c>
      <c r="H1035">
        <v>1337.4693603999999</v>
      </c>
      <c r="I1035">
        <v>1326.6767577999999</v>
      </c>
      <c r="J1035">
        <v>1324.9483643000001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392.56967300000002</v>
      </c>
      <c r="B1036" s="1">
        <f>DATE(2011,5,28) + TIME(13,40,19)</f>
        <v>40691.569664351853</v>
      </c>
      <c r="C1036">
        <v>80</v>
      </c>
      <c r="D1036">
        <v>79.966255188000005</v>
      </c>
      <c r="E1036">
        <v>50</v>
      </c>
      <c r="F1036">
        <v>47.707923889</v>
      </c>
      <c r="G1036">
        <v>1340.0440673999999</v>
      </c>
      <c r="H1036">
        <v>1337.4663086</v>
      </c>
      <c r="I1036">
        <v>1326.6716309000001</v>
      </c>
      <c r="J1036">
        <v>1324.9414062000001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392.83630399999998</v>
      </c>
      <c r="B1037" s="1">
        <f>DATE(2011,5,28) + TIME(20,4,16)</f>
        <v>40691.836296296293</v>
      </c>
      <c r="C1037">
        <v>80</v>
      </c>
      <c r="D1037">
        <v>79.966232300000001</v>
      </c>
      <c r="E1037">
        <v>50</v>
      </c>
      <c r="F1037">
        <v>47.688743590999998</v>
      </c>
      <c r="G1037">
        <v>1340.0399170000001</v>
      </c>
      <c r="H1037">
        <v>1337.4644774999999</v>
      </c>
      <c r="I1037">
        <v>1326.668457</v>
      </c>
      <c r="J1037">
        <v>1324.9371338000001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393.102934</v>
      </c>
      <c r="B1038" s="1">
        <f>DATE(2011,5,29) + TIME(2,28,13)</f>
        <v>40692.10292824074</v>
      </c>
      <c r="C1038">
        <v>80</v>
      </c>
      <c r="D1038">
        <v>79.966209411999998</v>
      </c>
      <c r="E1038">
        <v>50</v>
      </c>
      <c r="F1038">
        <v>47.670219420999999</v>
      </c>
      <c r="G1038">
        <v>1340.0361327999999</v>
      </c>
      <c r="H1038">
        <v>1337.4626464999999</v>
      </c>
      <c r="I1038">
        <v>1326.6655272999999</v>
      </c>
      <c r="J1038">
        <v>1324.9328613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393.36956500000002</v>
      </c>
      <c r="B1039" s="1">
        <f>DATE(2011,5,29) + TIME(8,52,10)</f>
        <v>40692.369560185187</v>
      </c>
      <c r="C1039">
        <v>80</v>
      </c>
      <c r="D1039">
        <v>79.966194153000004</v>
      </c>
      <c r="E1039">
        <v>50</v>
      </c>
      <c r="F1039">
        <v>47.652210236000002</v>
      </c>
      <c r="G1039">
        <v>1340.0323486</v>
      </c>
      <c r="H1039">
        <v>1337.4609375</v>
      </c>
      <c r="I1039">
        <v>1326.6624756000001</v>
      </c>
      <c r="J1039">
        <v>1324.9287108999999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393.63619599999998</v>
      </c>
      <c r="B1040" s="1">
        <f>DATE(2011,5,29) + TIME(15,16,7)</f>
        <v>40692.636192129627</v>
      </c>
      <c r="C1040">
        <v>80</v>
      </c>
      <c r="D1040">
        <v>79.966171265</v>
      </c>
      <c r="E1040">
        <v>50</v>
      </c>
      <c r="F1040">
        <v>47.634616852000001</v>
      </c>
      <c r="G1040">
        <v>1340.0285644999999</v>
      </c>
      <c r="H1040">
        <v>1337.4592285000001</v>
      </c>
      <c r="I1040">
        <v>1326.6595459</v>
      </c>
      <c r="J1040">
        <v>1324.9244385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394.16945800000002</v>
      </c>
      <c r="B1041" s="1">
        <f>DATE(2011,5,30) + TIME(4,4,1)</f>
        <v>40693.169456018521</v>
      </c>
      <c r="C1041">
        <v>80</v>
      </c>
      <c r="D1041">
        <v>79.966156006000006</v>
      </c>
      <c r="E1041">
        <v>50</v>
      </c>
      <c r="F1041">
        <v>47.606437683000003</v>
      </c>
      <c r="G1041">
        <v>1340.0246582</v>
      </c>
      <c r="H1041">
        <v>1337.4572754000001</v>
      </c>
      <c r="I1041">
        <v>1326.65625</v>
      </c>
      <c r="J1041">
        <v>1324.9196777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394.70336800000001</v>
      </c>
      <c r="B1042" s="1">
        <f>DATE(2011,5,30) + TIME(16,52,51)</f>
        <v>40693.703368055554</v>
      </c>
      <c r="C1042">
        <v>80</v>
      </c>
      <c r="D1042">
        <v>79.966133118000002</v>
      </c>
      <c r="E1042">
        <v>50</v>
      </c>
      <c r="F1042">
        <v>47.576816559000001</v>
      </c>
      <c r="G1042">
        <v>1340.0175781</v>
      </c>
      <c r="H1042">
        <v>1337.4542236</v>
      </c>
      <c r="I1042">
        <v>1326.6507568</v>
      </c>
      <c r="J1042">
        <v>1324.9121094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395.241309</v>
      </c>
      <c r="B1043" s="1">
        <f>DATE(2011,5,31) + TIME(5,47,29)</f>
        <v>40694.241307870368</v>
      </c>
      <c r="C1043">
        <v>80</v>
      </c>
      <c r="D1043">
        <v>79.966102599999999</v>
      </c>
      <c r="E1043">
        <v>50</v>
      </c>
      <c r="F1043">
        <v>47.546234130999999</v>
      </c>
      <c r="G1043">
        <v>1340.0104980000001</v>
      </c>
      <c r="H1043">
        <v>1337.4511719</v>
      </c>
      <c r="I1043">
        <v>1326.6450195</v>
      </c>
      <c r="J1043">
        <v>1324.9041748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395.78322700000001</v>
      </c>
      <c r="B1044" s="1">
        <f>DATE(2011,5,31) + TIME(18,47,50)</f>
        <v>40694.783217592594</v>
      </c>
      <c r="C1044">
        <v>80</v>
      </c>
      <c r="D1044">
        <v>79.966072083</v>
      </c>
      <c r="E1044">
        <v>50</v>
      </c>
      <c r="F1044">
        <v>47.515045166</v>
      </c>
      <c r="G1044">
        <v>1340.0035399999999</v>
      </c>
      <c r="H1044">
        <v>1337.4479980000001</v>
      </c>
      <c r="I1044">
        <v>1326.6391602000001</v>
      </c>
      <c r="J1044">
        <v>1324.8959961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396</v>
      </c>
      <c r="B1045" s="1">
        <f>DATE(2011,6,1) + TIME(0,0,0)</f>
        <v>40695</v>
      </c>
      <c r="C1045">
        <v>80</v>
      </c>
      <c r="D1045">
        <v>79.966049193999993</v>
      </c>
      <c r="E1045">
        <v>50</v>
      </c>
      <c r="F1045">
        <v>47.498859406000001</v>
      </c>
      <c r="G1045">
        <v>1339.9971923999999</v>
      </c>
      <c r="H1045">
        <v>1337.4454346</v>
      </c>
      <c r="I1045">
        <v>1326.6337891000001</v>
      </c>
      <c r="J1045">
        <v>1324.8887939000001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396.54752000000002</v>
      </c>
      <c r="B1046" s="1">
        <f>DATE(2011,6,1) + TIME(13,8,25)</f>
        <v>40695.547511574077</v>
      </c>
      <c r="C1046">
        <v>80</v>
      </c>
      <c r="D1046">
        <v>79.966026306000003</v>
      </c>
      <c r="E1046">
        <v>50</v>
      </c>
      <c r="F1046">
        <v>47.468544006000002</v>
      </c>
      <c r="G1046">
        <v>1339.9935303</v>
      </c>
      <c r="H1046">
        <v>1337.4434814000001</v>
      </c>
      <c r="I1046">
        <v>1326.6304932</v>
      </c>
      <c r="J1046">
        <v>1324.8839111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397.10543699999999</v>
      </c>
      <c r="B1047" s="1">
        <f>DATE(2011,6,2) + TIME(2,31,49)</f>
        <v>40696.105428240742</v>
      </c>
      <c r="C1047">
        <v>80</v>
      </c>
      <c r="D1047">
        <v>79.966003418</v>
      </c>
      <c r="E1047">
        <v>50</v>
      </c>
      <c r="F1047">
        <v>47.437294006000002</v>
      </c>
      <c r="G1047">
        <v>1339.9868164</v>
      </c>
      <c r="H1047">
        <v>1337.4405518000001</v>
      </c>
      <c r="I1047">
        <v>1326.6243896000001</v>
      </c>
      <c r="J1047">
        <v>1324.8754882999999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397.672483</v>
      </c>
      <c r="B1048" s="1">
        <f>DATE(2011,6,2) + TIME(16,8,22)</f>
        <v>40696.672476851854</v>
      </c>
      <c r="C1048">
        <v>80</v>
      </c>
      <c r="D1048">
        <v>79.965972899999997</v>
      </c>
      <c r="E1048">
        <v>50</v>
      </c>
      <c r="F1048">
        <v>47.405364990000002</v>
      </c>
      <c r="G1048">
        <v>1339.9798584</v>
      </c>
      <c r="H1048">
        <v>1337.4373779</v>
      </c>
      <c r="I1048">
        <v>1326.6181641000001</v>
      </c>
      <c r="J1048">
        <v>1324.8666992000001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398.24987800000002</v>
      </c>
      <c r="B1049" s="1">
        <f>DATE(2011,6,3) + TIME(5,59,49)</f>
        <v>40697.249872685185</v>
      </c>
      <c r="C1049">
        <v>80</v>
      </c>
      <c r="D1049">
        <v>79.965942382999998</v>
      </c>
      <c r="E1049">
        <v>50</v>
      </c>
      <c r="F1049">
        <v>47.372863770000002</v>
      </c>
      <c r="G1049">
        <v>1339.9729004000001</v>
      </c>
      <c r="H1049">
        <v>1337.4343262</v>
      </c>
      <c r="I1049">
        <v>1326.6116943</v>
      </c>
      <c r="J1049">
        <v>1324.8576660000001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398.83699899999999</v>
      </c>
      <c r="B1050" s="1">
        <f>DATE(2011,6,3) + TIME(20,5,16)</f>
        <v>40697.83699074074</v>
      </c>
      <c r="C1050">
        <v>80</v>
      </c>
      <c r="D1050">
        <v>79.965911864999995</v>
      </c>
      <c r="E1050">
        <v>50</v>
      </c>
      <c r="F1050">
        <v>47.339900970000002</v>
      </c>
      <c r="G1050">
        <v>1339.9659423999999</v>
      </c>
      <c r="H1050">
        <v>1337.4312743999999</v>
      </c>
      <c r="I1050">
        <v>1326.6051024999999</v>
      </c>
      <c r="J1050">
        <v>1324.8482666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399.43569500000001</v>
      </c>
      <c r="B1051" s="1">
        <f>DATE(2011,6,4) + TIME(10,27,24)</f>
        <v>40698.435694444444</v>
      </c>
      <c r="C1051">
        <v>80</v>
      </c>
      <c r="D1051">
        <v>79.965888977000006</v>
      </c>
      <c r="E1051">
        <v>50</v>
      </c>
      <c r="F1051">
        <v>47.306480407999999</v>
      </c>
      <c r="G1051">
        <v>1339.9589844</v>
      </c>
      <c r="H1051">
        <v>1337.4281006000001</v>
      </c>
      <c r="I1051">
        <v>1326.5982666</v>
      </c>
      <c r="J1051">
        <v>1324.8387451000001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400.047709</v>
      </c>
      <c r="B1052" s="1">
        <f>DATE(2011,6,5) + TIME(1,8,42)</f>
        <v>40699.047708333332</v>
      </c>
      <c r="C1052">
        <v>80</v>
      </c>
      <c r="D1052">
        <v>79.965858459000003</v>
      </c>
      <c r="E1052">
        <v>50</v>
      </c>
      <c r="F1052">
        <v>47.272571564000003</v>
      </c>
      <c r="G1052">
        <v>1339.9520264</v>
      </c>
      <c r="H1052">
        <v>1337.4250488</v>
      </c>
      <c r="I1052">
        <v>1326.5911865</v>
      </c>
      <c r="J1052">
        <v>1324.8288574000001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400.67494900000003</v>
      </c>
      <c r="B1053" s="1">
        <f>DATE(2011,6,5) + TIME(16,11,55)</f>
        <v>40699.674942129626</v>
      </c>
      <c r="C1053">
        <v>80</v>
      </c>
      <c r="D1053">
        <v>79.965827942000004</v>
      </c>
      <c r="E1053">
        <v>50</v>
      </c>
      <c r="F1053">
        <v>47.238124847000002</v>
      </c>
      <c r="G1053">
        <v>1339.9450684000001</v>
      </c>
      <c r="H1053">
        <v>1337.421875</v>
      </c>
      <c r="I1053">
        <v>1326.5839844</v>
      </c>
      <c r="J1053">
        <v>1324.8187256000001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401.31954000000002</v>
      </c>
      <c r="B1054" s="1">
        <f>DATE(2011,6,6) + TIME(7,40,8)</f>
        <v>40700.319537037038</v>
      </c>
      <c r="C1054">
        <v>80</v>
      </c>
      <c r="D1054">
        <v>79.965805054</v>
      </c>
      <c r="E1054">
        <v>50</v>
      </c>
      <c r="F1054">
        <v>47.203067779999998</v>
      </c>
      <c r="G1054">
        <v>1339.9379882999999</v>
      </c>
      <c r="H1054">
        <v>1337.4187012</v>
      </c>
      <c r="I1054">
        <v>1326.5765381000001</v>
      </c>
      <c r="J1054">
        <v>1324.8081055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401.64636200000001</v>
      </c>
      <c r="B1055" s="1">
        <f>DATE(2011,6,6) + TIME(15,30,45)</f>
        <v>40700.646354166667</v>
      </c>
      <c r="C1055">
        <v>80</v>
      </c>
      <c r="D1055">
        <v>79.965774535999998</v>
      </c>
      <c r="E1055">
        <v>50</v>
      </c>
      <c r="F1055">
        <v>47.180664061999998</v>
      </c>
      <c r="G1055">
        <v>1339.9313964999999</v>
      </c>
      <c r="H1055">
        <v>1337.4160156</v>
      </c>
      <c r="I1055">
        <v>1326.5693358999999</v>
      </c>
      <c r="J1055">
        <v>1324.7983397999999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401.973184</v>
      </c>
      <c r="B1056" s="1">
        <f>DATE(2011,6,6) + TIME(23,21,23)</f>
        <v>40700.973182870373</v>
      </c>
      <c r="C1056">
        <v>80</v>
      </c>
      <c r="D1056">
        <v>79.965751647999994</v>
      </c>
      <c r="E1056">
        <v>50</v>
      </c>
      <c r="F1056">
        <v>47.159488678000002</v>
      </c>
      <c r="G1056">
        <v>1339.9274902</v>
      </c>
      <c r="H1056">
        <v>1337.4140625</v>
      </c>
      <c r="I1056">
        <v>1326.5649414</v>
      </c>
      <c r="J1056">
        <v>1324.7919922000001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402.300006</v>
      </c>
      <c r="B1057" s="1">
        <f>DATE(2011,6,7) + TIME(7,12,0)</f>
        <v>40701.300000000003</v>
      </c>
      <c r="C1057">
        <v>80</v>
      </c>
      <c r="D1057">
        <v>79.965736389</v>
      </c>
      <c r="E1057">
        <v>50</v>
      </c>
      <c r="F1057">
        <v>47.139240264999998</v>
      </c>
      <c r="G1057">
        <v>1339.9238281</v>
      </c>
      <c r="H1057">
        <v>1337.4124756000001</v>
      </c>
      <c r="I1057">
        <v>1326.5606689000001</v>
      </c>
      <c r="J1057">
        <v>1324.7858887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402.62682799999999</v>
      </c>
      <c r="B1058" s="1">
        <f>DATE(2011,6,7) + TIME(15,2,37)</f>
        <v>40701.626817129632</v>
      </c>
      <c r="C1058">
        <v>80</v>
      </c>
      <c r="D1058">
        <v>79.965721130000006</v>
      </c>
      <c r="E1058">
        <v>50</v>
      </c>
      <c r="F1058">
        <v>47.119686127000001</v>
      </c>
      <c r="G1058">
        <v>1339.9202881000001</v>
      </c>
      <c r="H1058">
        <v>1337.4107666</v>
      </c>
      <c r="I1058">
        <v>1326.5565185999999</v>
      </c>
      <c r="J1058">
        <v>1324.7799072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402.95364999999998</v>
      </c>
      <c r="B1059" s="1">
        <f>DATE(2011,6,7) + TIME(22,53,15)</f>
        <v>40701.953645833331</v>
      </c>
      <c r="C1059">
        <v>80</v>
      </c>
      <c r="D1059">
        <v>79.965705872000001</v>
      </c>
      <c r="E1059">
        <v>50</v>
      </c>
      <c r="F1059">
        <v>47.100666046000001</v>
      </c>
      <c r="G1059">
        <v>1339.9167480000001</v>
      </c>
      <c r="H1059">
        <v>1337.4091797000001</v>
      </c>
      <c r="I1059">
        <v>1326.5523682</v>
      </c>
      <c r="J1059">
        <v>1324.7739257999999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403.60729300000003</v>
      </c>
      <c r="B1060" s="1">
        <f>DATE(2011,6,8) + TIME(14,34,30)</f>
        <v>40702.607291666667</v>
      </c>
      <c r="C1060">
        <v>80</v>
      </c>
      <c r="D1060">
        <v>79.965698242000002</v>
      </c>
      <c r="E1060">
        <v>50</v>
      </c>
      <c r="F1060">
        <v>47.071243285999998</v>
      </c>
      <c r="G1060">
        <v>1339.9129639</v>
      </c>
      <c r="H1060">
        <v>1337.4073486</v>
      </c>
      <c r="I1060">
        <v>1326.5477295000001</v>
      </c>
      <c r="J1060">
        <v>1324.7670897999999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404.26221900000002</v>
      </c>
      <c r="B1061" s="1">
        <f>DATE(2011,6,9) + TIME(6,17,35)</f>
        <v>40703.26221064815</v>
      </c>
      <c r="C1061">
        <v>80</v>
      </c>
      <c r="D1061">
        <v>79.965675353999998</v>
      </c>
      <c r="E1061">
        <v>50</v>
      </c>
      <c r="F1061">
        <v>47.039535522000001</v>
      </c>
      <c r="G1061">
        <v>1339.9063721</v>
      </c>
      <c r="H1061">
        <v>1337.4044189000001</v>
      </c>
      <c r="I1061">
        <v>1326.5401611</v>
      </c>
      <c r="J1061">
        <v>1324.7565918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404.92315600000001</v>
      </c>
      <c r="B1062" s="1">
        <f>DATE(2011,6,9) + TIME(22,9,20)</f>
        <v>40703.923148148147</v>
      </c>
      <c r="C1062">
        <v>80</v>
      </c>
      <c r="D1062">
        <v>79.965652465999995</v>
      </c>
      <c r="E1062">
        <v>50</v>
      </c>
      <c r="F1062">
        <v>47.006454468000001</v>
      </c>
      <c r="G1062">
        <v>1339.8994141000001</v>
      </c>
      <c r="H1062">
        <v>1337.4012451000001</v>
      </c>
      <c r="I1062">
        <v>1326.5322266000001</v>
      </c>
      <c r="J1062">
        <v>1324.7453613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405.59214200000002</v>
      </c>
      <c r="B1063" s="1">
        <f>DATE(2011,6,10) + TIME(14,12,41)</f>
        <v>40704.592141203706</v>
      </c>
      <c r="C1063">
        <v>80</v>
      </c>
      <c r="D1063">
        <v>79.965629578000005</v>
      </c>
      <c r="E1063">
        <v>50</v>
      </c>
      <c r="F1063">
        <v>46.972484588999997</v>
      </c>
      <c r="G1063">
        <v>1339.8924560999999</v>
      </c>
      <c r="H1063">
        <v>1337.3980713000001</v>
      </c>
      <c r="I1063">
        <v>1326.5240478999999</v>
      </c>
      <c r="J1063">
        <v>1324.7338867000001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406.27102100000002</v>
      </c>
      <c r="B1064" s="1">
        <f>DATE(2011,6,11) + TIME(6,30,16)</f>
        <v>40705.271018518521</v>
      </c>
      <c r="C1064">
        <v>80</v>
      </c>
      <c r="D1064">
        <v>79.965606688999998</v>
      </c>
      <c r="E1064">
        <v>50</v>
      </c>
      <c r="F1064">
        <v>46.937885283999996</v>
      </c>
      <c r="G1064">
        <v>1339.8856201000001</v>
      </c>
      <c r="H1064">
        <v>1337.3948975000001</v>
      </c>
      <c r="I1064">
        <v>1326.5157471</v>
      </c>
      <c r="J1064">
        <v>1324.7220459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406.96190300000001</v>
      </c>
      <c r="B1065" s="1">
        <f>DATE(2011,6,11) + TIME(23,5,8)</f>
        <v>40705.961898148147</v>
      </c>
      <c r="C1065">
        <v>80</v>
      </c>
      <c r="D1065">
        <v>79.965576171999999</v>
      </c>
      <c r="E1065">
        <v>50</v>
      </c>
      <c r="F1065">
        <v>46.902759551999999</v>
      </c>
      <c r="G1065">
        <v>1339.8786620999999</v>
      </c>
      <c r="H1065">
        <v>1337.3917236</v>
      </c>
      <c r="I1065">
        <v>1326.5070800999999</v>
      </c>
      <c r="J1065">
        <v>1324.7098389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407.66704600000003</v>
      </c>
      <c r="B1066" s="1">
        <f>DATE(2011,6,12) + TIME(16,0,32)</f>
        <v>40706.667037037034</v>
      </c>
      <c r="C1066">
        <v>80</v>
      </c>
      <c r="D1066">
        <v>79.965553283999995</v>
      </c>
      <c r="E1066">
        <v>50</v>
      </c>
      <c r="F1066">
        <v>46.867126464999998</v>
      </c>
      <c r="G1066">
        <v>1339.8718262</v>
      </c>
      <c r="H1066">
        <v>1337.3885498</v>
      </c>
      <c r="I1066">
        <v>1326.4982910000001</v>
      </c>
      <c r="J1066">
        <v>1324.6972656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408.39027299999998</v>
      </c>
      <c r="B1067" s="1">
        <f>DATE(2011,6,13) + TIME(9,21,59)</f>
        <v>40707.390266203707</v>
      </c>
      <c r="C1067">
        <v>80</v>
      </c>
      <c r="D1067">
        <v>79.965530396000005</v>
      </c>
      <c r="E1067">
        <v>50</v>
      </c>
      <c r="F1067">
        <v>46.830905913999999</v>
      </c>
      <c r="G1067">
        <v>1339.8648682</v>
      </c>
      <c r="H1067">
        <v>1337.385376</v>
      </c>
      <c r="I1067">
        <v>1326.4892577999999</v>
      </c>
      <c r="J1067">
        <v>1324.6843262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409.13080300000001</v>
      </c>
      <c r="B1068" s="1">
        <f>DATE(2011,6,14) + TIME(3,8,21)</f>
        <v>40708.130798611113</v>
      </c>
      <c r="C1068">
        <v>80</v>
      </c>
      <c r="D1068">
        <v>79.965507506999998</v>
      </c>
      <c r="E1068">
        <v>50</v>
      </c>
      <c r="F1068">
        <v>46.794109343999999</v>
      </c>
      <c r="G1068">
        <v>1339.8579102000001</v>
      </c>
      <c r="H1068">
        <v>1337.3820800999999</v>
      </c>
      <c r="I1068">
        <v>1326.4798584</v>
      </c>
      <c r="J1068">
        <v>1324.6710204999999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409.88302299999998</v>
      </c>
      <c r="B1069" s="1">
        <f>DATE(2011,6,14) + TIME(21,11,33)</f>
        <v>40708.883020833331</v>
      </c>
      <c r="C1069">
        <v>80</v>
      </c>
      <c r="D1069">
        <v>79.965484618999994</v>
      </c>
      <c r="E1069">
        <v>50</v>
      </c>
      <c r="F1069">
        <v>46.756893157999997</v>
      </c>
      <c r="G1069">
        <v>1339.8508300999999</v>
      </c>
      <c r="H1069">
        <v>1337.3789062000001</v>
      </c>
      <c r="I1069">
        <v>1326.4702147999999</v>
      </c>
      <c r="J1069">
        <v>1324.6572266000001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410.649204</v>
      </c>
      <c r="B1070" s="1">
        <f>DATE(2011,6,15) + TIME(15,34,51)</f>
        <v>40709.649201388886</v>
      </c>
      <c r="C1070">
        <v>80</v>
      </c>
      <c r="D1070">
        <v>79.965461731000005</v>
      </c>
      <c r="E1070">
        <v>50</v>
      </c>
      <c r="F1070">
        <v>46.719257355000003</v>
      </c>
      <c r="G1070">
        <v>1339.8438721</v>
      </c>
      <c r="H1070">
        <v>1337.3756103999999</v>
      </c>
      <c r="I1070">
        <v>1326.4604492000001</v>
      </c>
      <c r="J1070">
        <v>1324.6430664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411.42667599999999</v>
      </c>
      <c r="B1071" s="1">
        <f>DATE(2011,6,16) + TIME(10,14,24)</f>
        <v>40710.426666666666</v>
      </c>
      <c r="C1071">
        <v>80</v>
      </c>
      <c r="D1071">
        <v>79.965438843000001</v>
      </c>
      <c r="E1071">
        <v>50</v>
      </c>
      <c r="F1071">
        <v>46.681293488000001</v>
      </c>
      <c r="G1071">
        <v>1339.8367920000001</v>
      </c>
      <c r="H1071">
        <v>1337.3723144999999</v>
      </c>
      <c r="I1071">
        <v>1326.4503173999999</v>
      </c>
      <c r="J1071">
        <v>1324.6286620999999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412.21819099999999</v>
      </c>
      <c r="B1072" s="1">
        <f>DATE(2011,6,17) + TIME(5,14,11)</f>
        <v>40711.218182870369</v>
      </c>
      <c r="C1072">
        <v>80</v>
      </c>
      <c r="D1072">
        <v>79.965415954999997</v>
      </c>
      <c r="E1072">
        <v>50</v>
      </c>
      <c r="F1072">
        <v>46.642959595000001</v>
      </c>
      <c r="G1072">
        <v>1339.8297118999999</v>
      </c>
      <c r="H1072">
        <v>1337.3690185999999</v>
      </c>
      <c r="I1072">
        <v>1326.4399414</v>
      </c>
      <c r="J1072">
        <v>1324.6138916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413.01382899999999</v>
      </c>
      <c r="B1073" s="1">
        <f>DATE(2011,6,18) + TIME(0,19,54)</f>
        <v>40712.013819444444</v>
      </c>
      <c r="C1073">
        <v>80</v>
      </c>
      <c r="D1073">
        <v>79.965400696000003</v>
      </c>
      <c r="E1073">
        <v>50</v>
      </c>
      <c r="F1073">
        <v>46.604511260999999</v>
      </c>
      <c r="G1073">
        <v>1339.8227539</v>
      </c>
      <c r="H1073">
        <v>1337.3657227000001</v>
      </c>
      <c r="I1073">
        <v>1326.4294434000001</v>
      </c>
      <c r="J1073">
        <v>1324.5986327999999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413.81172400000003</v>
      </c>
      <c r="B1074" s="1">
        <f>DATE(2011,6,18) + TIME(19,28,52)</f>
        <v>40712.811712962961</v>
      </c>
      <c r="C1074">
        <v>80</v>
      </c>
      <c r="D1074">
        <v>79.965377808</v>
      </c>
      <c r="E1074">
        <v>50</v>
      </c>
      <c r="F1074">
        <v>46.566097259999999</v>
      </c>
      <c r="G1074">
        <v>1339.8157959</v>
      </c>
      <c r="H1074">
        <v>1337.3625488</v>
      </c>
      <c r="I1074">
        <v>1326.4187012</v>
      </c>
      <c r="J1074">
        <v>1324.5832519999999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414.614755</v>
      </c>
      <c r="B1075" s="1">
        <f>DATE(2011,6,19) + TIME(14,45,14)</f>
        <v>40713.614745370367</v>
      </c>
      <c r="C1075">
        <v>80</v>
      </c>
      <c r="D1075">
        <v>79.965354919000006</v>
      </c>
      <c r="E1075">
        <v>50</v>
      </c>
      <c r="F1075">
        <v>46.527709960999999</v>
      </c>
      <c r="G1075">
        <v>1339.8089600000001</v>
      </c>
      <c r="H1075">
        <v>1337.359375</v>
      </c>
      <c r="I1075">
        <v>1326.4078368999999</v>
      </c>
      <c r="J1075">
        <v>1324.567749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415.42577699999998</v>
      </c>
      <c r="B1076" s="1">
        <f>DATE(2011,6,20) + TIME(10,13,7)</f>
        <v>40714.425775462965</v>
      </c>
      <c r="C1076">
        <v>80</v>
      </c>
      <c r="D1076">
        <v>79.965339661000002</v>
      </c>
      <c r="E1076">
        <v>50</v>
      </c>
      <c r="F1076">
        <v>46.489292145</v>
      </c>
      <c r="G1076">
        <v>1339.8022461</v>
      </c>
      <c r="H1076">
        <v>1337.3560791</v>
      </c>
      <c r="I1076">
        <v>1326.3969727000001</v>
      </c>
      <c r="J1076">
        <v>1324.5520019999999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416.24765100000002</v>
      </c>
      <c r="B1077" s="1">
        <f>DATE(2011,6,21) + TIME(5,56,37)</f>
        <v>40715.247650462959</v>
      </c>
      <c r="C1077">
        <v>80</v>
      </c>
      <c r="D1077">
        <v>79.965316771999994</v>
      </c>
      <c r="E1077">
        <v>50</v>
      </c>
      <c r="F1077">
        <v>46.450740814</v>
      </c>
      <c r="G1077">
        <v>1339.7954102000001</v>
      </c>
      <c r="H1077">
        <v>1337.3529053</v>
      </c>
      <c r="I1077">
        <v>1326.3858643000001</v>
      </c>
      <c r="J1077">
        <v>1324.5358887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417.08288199999998</v>
      </c>
      <c r="B1078" s="1">
        <f>DATE(2011,6,22) + TIME(1,59,21)</f>
        <v>40716.082881944443</v>
      </c>
      <c r="C1078">
        <v>80</v>
      </c>
      <c r="D1078">
        <v>79.965301514000004</v>
      </c>
      <c r="E1078">
        <v>50</v>
      </c>
      <c r="F1078">
        <v>46.411952972000002</v>
      </c>
      <c r="G1078">
        <v>1339.7886963000001</v>
      </c>
      <c r="H1078">
        <v>1337.3497314000001</v>
      </c>
      <c r="I1078">
        <v>1326.3745117000001</v>
      </c>
      <c r="J1078">
        <v>1324.5195312000001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417.92896100000002</v>
      </c>
      <c r="B1079" s="1">
        <f>DATE(2011,6,22) + TIME(22,17,42)</f>
        <v>40716.92895833333</v>
      </c>
      <c r="C1079">
        <v>80</v>
      </c>
      <c r="D1079">
        <v>79.965286254999995</v>
      </c>
      <c r="E1079">
        <v>50</v>
      </c>
      <c r="F1079">
        <v>46.372940063000001</v>
      </c>
      <c r="G1079">
        <v>1339.7821045000001</v>
      </c>
      <c r="H1079">
        <v>1337.3465576000001</v>
      </c>
      <c r="I1079">
        <v>1326.3630370999999</v>
      </c>
      <c r="J1079">
        <v>1324.5028076000001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418.78855499999997</v>
      </c>
      <c r="B1080" s="1">
        <f>DATE(2011,6,23) + TIME(18,55,31)</f>
        <v>40717.788553240738</v>
      </c>
      <c r="C1080">
        <v>80</v>
      </c>
      <c r="D1080">
        <v>79.965263367000006</v>
      </c>
      <c r="E1080">
        <v>50</v>
      </c>
      <c r="F1080">
        <v>46.333641051999997</v>
      </c>
      <c r="G1080">
        <v>1339.7753906</v>
      </c>
      <c r="H1080">
        <v>1337.3433838000001</v>
      </c>
      <c r="I1080">
        <v>1326.3511963000001</v>
      </c>
      <c r="J1080">
        <v>1324.4858397999999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419.66474599999998</v>
      </c>
      <c r="B1081" s="1">
        <f>DATE(2011,6,24) + TIME(15,57,14)</f>
        <v>40718.66474537037</v>
      </c>
      <c r="C1081">
        <v>80</v>
      </c>
      <c r="D1081">
        <v>79.965248107999997</v>
      </c>
      <c r="E1081">
        <v>50</v>
      </c>
      <c r="F1081">
        <v>46.293960571</v>
      </c>
      <c r="G1081">
        <v>1339.7686768000001</v>
      </c>
      <c r="H1081">
        <v>1337.3402100000001</v>
      </c>
      <c r="I1081">
        <v>1326.3392334</v>
      </c>
      <c r="J1081">
        <v>1324.4683838000001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420.56087100000002</v>
      </c>
      <c r="B1082" s="1">
        <f>DATE(2011,6,25) + TIME(13,27,39)</f>
        <v>40719.560868055552</v>
      </c>
      <c r="C1082">
        <v>80</v>
      </c>
      <c r="D1082">
        <v>79.965232849000003</v>
      </c>
      <c r="E1082">
        <v>50</v>
      </c>
      <c r="F1082">
        <v>46.253772736000002</v>
      </c>
      <c r="G1082">
        <v>1339.7619629000001</v>
      </c>
      <c r="H1082">
        <v>1337.3370361</v>
      </c>
      <c r="I1082">
        <v>1326.3269043</v>
      </c>
      <c r="J1082">
        <v>1324.4505615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421.480547</v>
      </c>
      <c r="B1083" s="1">
        <f>DATE(2011,6,26) + TIME(11,31,59)</f>
        <v>40720.480543981481</v>
      </c>
      <c r="C1083">
        <v>80</v>
      </c>
      <c r="D1083">
        <v>79.965217589999995</v>
      </c>
      <c r="E1083">
        <v>50</v>
      </c>
      <c r="F1083">
        <v>46.212947845000002</v>
      </c>
      <c r="G1083">
        <v>1339.755249</v>
      </c>
      <c r="H1083">
        <v>1337.3337402</v>
      </c>
      <c r="I1083">
        <v>1326.3143310999999</v>
      </c>
      <c r="J1083">
        <v>1324.432251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422.42026099999998</v>
      </c>
      <c r="B1084" s="1">
        <f>DATE(2011,6,27) + TIME(10,5,10)</f>
        <v>40721.420254629629</v>
      </c>
      <c r="C1084">
        <v>80</v>
      </c>
      <c r="D1084">
        <v>79.965209960999999</v>
      </c>
      <c r="E1084">
        <v>50</v>
      </c>
      <c r="F1084">
        <v>46.171485900999997</v>
      </c>
      <c r="G1084">
        <v>1339.7484131000001</v>
      </c>
      <c r="H1084">
        <v>1337.3304443</v>
      </c>
      <c r="I1084">
        <v>1326.3013916</v>
      </c>
      <c r="J1084">
        <v>1324.4133300999999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423.37007199999999</v>
      </c>
      <c r="B1085" s="1">
        <f>DATE(2011,6,28) + TIME(8,52,54)</f>
        <v>40722.370069444441</v>
      </c>
      <c r="C1085">
        <v>80</v>
      </c>
      <c r="D1085">
        <v>79.965194702000005</v>
      </c>
      <c r="E1085">
        <v>50</v>
      </c>
      <c r="F1085">
        <v>46.129608154000003</v>
      </c>
      <c r="G1085">
        <v>1339.7415771000001</v>
      </c>
      <c r="H1085">
        <v>1337.3271483999999</v>
      </c>
      <c r="I1085">
        <v>1326.2880858999999</v>
      </c>
      <c r="J1085">
        <v>1324.394043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424.33319499999999</v>
      </c>
      <c r="B1086" s="1">
        <f>DATE(2011,6,29) + TIME(7,59,48)</f>
        <v>40723.333194444444</v>
      </c>
      <c r="C1086">
        <v>80</v>
      </c>
      <c r="D1086">
        <v>79.965179442999997</v>
      </c>
      <c r="E1086">
        <v>50</v>
      </c>
      <c r="F1086">
        <v>46.087364196999999</v>
      </c>
      <c r="G1086">
        <v>1339.7347411999999</v>
      </c>
      <c r="H1086">
        <v>1337.3238524999999</v>
      </c>
      <c r="I1086">
        <v>1326.2746582</v>
      </c>
      <c r="J1086">
        <v>1324.3742675999999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425.30157200000002</v>
      </c>
      <c r="B1087" s="1">
        <f>DATE(2011,6,30) + TIME(7,14,15)</f>
        <v>40724.301562499997</v>
      </c>
      <c r="C1087">
        <v>80</v>
      </c>
      <c r="D1087">
        <v>79.965164185000006</v>
      </c>
      <c r="E1087">
        <v>50</v>
      </c>
      <c r="F1087">
        <v>46.044940947999997</v>
      </c>
      <c r="G1087">
        <v>1339.7279053</v>
      </c>
      <c r="H1087">
        <v>1337.3205565999999</v>
      </c>
      <c r="I1087">
        <v>1326.2608643000001</v>
      </c>
      <c r="J1087">
        <v>1324.354126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426</v>
      </c>
      <c r="B1088" s="1">
        <f>DATE(2011,7,1) + TIME(0,0,0)</f>
        <v>40725</v>
      </c>
      <c r="C1088">
        <v>80</v>
      </c>
      <c r="D1088">
        <v>79.965148925999998</v>
      </c>
      <c r="E1088">
        <v>50</v>
      </c>
      <c r="F1088">
        <v>46.009071349999999</v>
      </c>
      <c r="G1088">
        <v>1339.7214355000001</v>
      </c>
      <c r="H1088">
        <v>1337.3173827999999</v>
      </c>
      <c r="I1088">
        <v>1326.2474365</v>
      </c>
      <c r="J1088">
        <v>1324.3345947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426.96929499999999</v>
      </c>
      <c r="B1089" s="1">
        <f>DATE(2011,7,1) + TIME(23,15,47)</f>
        <v>40725.969293981485</v>
      </c>
      <c r="C1089">
        <v>80</v>
      </c>
      <c r="D1089">
        <v>79.965141295999999</v>
      </c>
      <c r="E1089">
        <v>50</v>
      </c>
      <c r="F1089">
        <v>45.969554901000002</v>
      </c>
      <c r="G1089">
        <v>1339.7161865</v>
      </c>
      <c r="H1089">
        <v>1337.3146973</v>
      </c>
      <c r="I1089">
        <v>1326.2362060999999</v>
      </c>
      <c r="J1089">
        <v>1324.317749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427.94943000000001</v>
      </c>
      <c r="B1090" s="1">
        <f>DATE(2011,7,2) + TIME(22,47,10)</f>
        <v>40726.949421296296</v>
      </c>
      <c r="C1090">
        <v>80</v>
      </c>
      <c r="D1090">
        <v>79.965133667000003</v>
      </c>
      <c r="E1090">
        <v>50</v>
      </c>
      <c r="F1090">
        <v>45.928493500000002</v>
      </c>
      <c r="G1090">
        <v>1339.7097168</v>
      </c>
      <c r="H1090">
        <v>1337.3115233999999</v>
      </c>
      <c r="I1090">
        <v>1326.2225341999999</v>
      </c>
      <c r="J1090">
        <v>1324.2977295000001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428.94065699999999</v>
      </c>
      <c r="B1091" s="1">
        <f>DATE(2011,7,3) + TIME(22,34,32)</f>
        <v>40727.940648148149</v>
      </c>
      <c r="C1091">
        <v>80</v>
      </c>
      <c r="D1091">
        <v>79.965126037999994</v>
      </c>
      <c r="E1091">
        <v>50</v>
      </c>
      <c r="F1091">
        <v>45.886569977000001</v>
      </c>
      <c r="G1091">
        <v>1339.7032471</v>
      </c>
      <c r="H1091">
        <v>1337.3083495999999</v>
      </c>
      <c r="I1091">
        <v>1326.2084961</v>
      </c>
      <c r="J1091">
        <v>1324.2770995999999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429.94725699999998</v>
      </c>
      <c r="B1092" s="1">
        <f>DATE(2011,7,4) + TIME(22,44,2)</f>
        <v>40728.947245370371</v>
      </c>
      <c r="C1092">
        <v>80</v>
      </c>
      <c r="D1092">
        <v>79.965118407999995</v>
      </c>
      <c r="E1092">
        <v>50</v>
      </c>
      <c r="F1092">
        <v>45.844005584999998</v>
      </c>
      <c r="G1092">
        <v>1339.6966553</v>
      </c>
      <c r="H1092">
        <v>1337.3051757999999</v>
      </c>
      <c r="I1092">
        <v>1326.1942139</v>
      </c>
      <c r="J1092">
        <v>1324.2558594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430.97286000000003</v>
      </c>
      <c r="B1093" s="1">
        <f>DATE(2011,7,5) + TIME(23,20,55)</f>
        <v>40729.972858796296</v>
      </c>
      <c r="C1093">
        <v>80</v>
      </c>
      <c r="D1093">
        <v>79.965110779</v>
      </c>
      <c r="E1093">
        <v>50</v>
      </c>
      <c r="F1093">
        <v>45.800830841</v>
      </c>
      <c r="G1093">
        <v>1339.6901855000001</v>
      </c>
      <c r="H1093">
        <v>1337.3018798999999</v>
      </c>
      <c r="I1093">
        <v>1326.1796875</v>
      </c>
      <c r="J1093">
        <v>1324.2342529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432.02177699999999</v>
      </c>
      <c r="B1094" s="1">
        <f>DATE(2011,7,7) + TIME(0,31,21)</f>
        <v>40731.021770833337</v>
      </c>
      <c r="C1094">
        <v>80</v>
      </c>
      <c r="D1094">
        <v>79.965103149000001</v>
      </c>
      <c r="E1094">
        <v>50</v>
      </c>
      <c r="F1094">
        <v>45.756969452</v>
      </c>
      <c r="G1094">
        <v>1339.6835937999999</v>
      </c>
      <c r="H1094">
        <v>1337.2985839999999</v>
      </c>
      <c r="I1094">
        <v>1326.1647949000001</v>
      </c>
      <c r="J1094">
        <v>1324.2121582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433.09869200000003</v>
      </c>
      <c r="B1095" s="1">
        <f>DATE(2011,7,8) + TIME(2,22,6)</f>
        <v>40732.098680555559</v>
      </c>
      <c r="C1095">
        <v>80</v>
      </c>
      <c r="D1095">
        <v>79.965095520000006</v>
      </c>
      <c r="E1095">
        <v>50</v>
      </c>
      <c r="F1095">
        <v>45.712268829000003</v>
      </c>
      <c r="G1095">
        <v>1339.6770019999999</v>
      </c>
      <c r="H1095">
        <v>1337.2952881000001</v>
      </c>
      <c r="I1095">
        <v>1326.1495361</v>
      </c>
      <c r="J1095">
        <v>1324.1894531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434.20069599999999</v>
      </c>
      <c r="B1096" s="1">
        <f>DATE(2011,7,9) + TIME(4,49,0)</f>
        <v>40733.200694444444</v>
      </c>
      <c r="C1096">
        <v>80</v>
      </c>
      <c r="D1096">
        <v>79.965087890999996</v>
      </c>
      <c r="E1096">
        <v>50</v>
      </c>
      <c r="F1096">
        <v>45.666709900000001</v>
      </c>
      <c r="G1096">
        <v>1339.6704102000001</v>
      </c>
      <c r="H1096">
        <v>1337.2918701000001</v>
      </c>
      <c r="I1096">
        <v>1326.1337891000001</v>
      </c>
      <c r="J1096">
        <v>1324.1661377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435.32363500000002</v>
      </c>
      <c r="B1097" s="1">
        <f>DATE(2011,7,10) + TIME(7,46,2)</f>
        <v>40734.323634259257</v>
      </c>
      <c r="C1097">
        <v>80</v>
      </c>
      <c r="D1097">
        <v>79.965080260999997</v>
      </c>
      <c r="E1097">
        <v>50</v>
      </c>
      <c r="F1097">
        <v>45.620361328000001</v>
      </c>
      <c r="G1097">
        <v>1339.6636963000001</v>
      </c>
      <c r="H1097">
        <v>1337.2884521000001</v>
      </c>
      <c r="I1097">
        <v>1326.1177978999999</v>
      </c>
      <c r="J1097">
        <v>1324.1422118999999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436.472104</v>
      </c>
      <c r="B1098" s="1">
        <f>DATE(2011,7,11) + TIME(11,19,49)</f>
        <v>40735.472094907411</v>
      </c>
      <c r="C1098">
        <v>80</v>
      </c>
      <c r="D1098">
        <v>79.965080260999997</v>
      </c>
      <c r="E1098">
        <v>50</v>
      </c>
      <c r="F1098">
        <v>45.573207855</v>
      </c>
      <c r="G1098">
        <v>1339.6569824000001</v>
      </c>
      <c r="H1098">
        <v>1337.2850341999999</v>
      </c>
      <c r="I1098">
        <v>1326.1014404</v>
      </c>
      <c r="J1098">
        <v>1324.1176757999999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437.04757599999999</v>
      </c>
      <c r="B1099" s="1">
        <f>DATE(2011,7,12) + TIME(1,8,30)</f>
        <v>40736.047569444447</v>
      </c>
      <c r="C1099">
        <v>80</v>
      </c>
      <c r="D1099">
        <v>79.965057372999993</v>
      </c>
      <c r="E1099">
        <v>50</v>
      </c>
      <c r="F1099">
        <v>45.539695739999999</v>
      </c>
      <c r="G1099">
        <v>1339.6507568</v>
      </c>
      <c r="H1099">
        <v>1337.2821045000001</v>
      </c>
      <c r="I1099">
        <v>1326.0859375</v>
      </c>
      <c r="J1099">
        <v>1324.0946045000001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438.19851999999997</v>
      </c>
      <c r="B1100" s="1">
        <f>DATE(2011,7,13) + TIME(4,45,52)</f>
        <v>40737.198518518519</v>
      </c>
      <c r="C1100">
        <v>80</v>
      </c>
      <c r="D1100">
        <v>79.965065002000003</v>
      </c>
      <c r="E1100">
        <v>50</v>
      </c>
      <c r="F1100">
        <v>45.497688293000003</v>
      </c>
      <c r="G1100">
        <v>1339.6466064000001</v>
      </c>
      <c r="H1100">
        <v>1337.2796631000001</v>
      </c>
      <c r="I1100">
        <v>1326.0748291</v>
      </c>
      <c r="J1100">
        <v>1324.0773925999999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439.350145</v>
      </c>
      <c r="B1101" s="1">
        <f>DATE(2011,7,14) + TIME(8,24,12)</f>
        <v>40738.350138888891</v>
      </c>
      <c r="C1101">
        <v>80</v>
      </c>
      <c r="D1101">
        <v>79.965065002000003</v>
      </c>
      <c r="E1101">
        <v>50</v>
      </c>
      <c r="F1101">
        <v>45.452419280999997</v>
      </c>
      <c r="G1101">
        <v>1339.6401367000001</v>
      </c>
      <c r="H1101">
        <v>1337.2763672000001</v>
      </c>
      <c r="I1101">
        <v>1326.0588379000001</v>
      </c>
      <c r="J1101">
        <v>1324.0533447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440.509501</v>
      </c>
      <c r="B1102" s="1">
        <f>DATE(2011,7,15) + TIME(12,13,40)</f>
        <v>40739.50949074074</v>
      </c>
      <c r="C1102">
        <v>80</v>
      </c>
      <c r="D1102">
        <v>79.965065002000003</v>
      </c>
      <c r="E1102">
        <v>50</v>
      </c>
      <c r="F1102">
        <v>45.405792236000003</v>
      </c>
      <c r="G1102">
        <v>1339.6335449000001</v>
      </c>
      <c r="H1102">
        <v>1337.2729492000001</v>
      </c>
      <c r="I1102">
        <v>1326.0423584</v>
      </c>
      <c r="J1102">
        <v>1324.0284423999999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441.68167</v>
      </c>
      <c r="B1103" s="1">
        <f>DATE(2011,7,16) + TIME(16,21,36)</f>
        <v>40740.681666666664</v>
      </c>
      <c r="C1103">
        <v>80</v>
      </c>
      <c r="D1103">
        <v>79.965065002000003</v>
      </c>
      <c r="E1103">
        <v>50</v>
      </c>
      <c r="F1103">
        <v>45.358486176</v>
      </c>
      <c r="G1103">
        <v>1339.6270752</v>
      </c>
      <c r="H1103">
        <v>1337.2696533000001</v>
      </c>
      <c r="I1103">
        <v>1326.0255127</v>
      </c>
      <c r="J1103">
        <v>1324.0028076000001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442.87188500000002</v>
      </c>
      <c r="B1104" s="1">
        <f>DATE(2011,7,17) + TIME(20,55,30)</f>
        <v>40741.871874999997</v>
      </c>
      <c r="C1104">
        <v>80</v>
      </c>
      <c r="D1104">
        <v>79.965065002000003</v>
      </c>
      <c r="E1104">
        <v>50</v>
      </c>
      <c r="F1104">
        <v>45.310695647999999</v>
      </c>
      <c r="G1104">
        <v>1339.6206055</v>
      </c>
      <c r="H1104">
        <v>1337.2662353999999</v>
      </c>
      <c r="I1104">
        <v>1326.0085449000001</v>
      </c>
      <c r="J1104">
        <v>1323.9768065999999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444.085713</v>
      </c>
      <c r="B1105" s="1">
        <f>DATE(2011,7,19) + TIME(2,3,25)</f>
        <v>40743.085706018515</v>
      </c>
      <c r="C1105">
        <v>80</v>
      </c>
      <c r="D1105">
        <v>79.965065002000003</v>
      </c>
      <c r="E1105">
        <v>50</v>
      </c>
      <c r="F1105">
        <v>45.262420654000003</v>
      </c>
      <c r="G1105">
        <v>1339.6141356999999</v>
      </c>
      <c r="H1105">
        <v>1337.2628173999999</v>
      </c>
      <c r="I1105">
        <v>1325.9912108999999</v>
      </c>
      <c r="J1105">
        <v>1323.9504394999999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445.32717500000001</v>
      </c>
      <c r="B1106" s="1">
        <f>DATE(2011,7,20) + TIME(7,51,7)</f>
        <v>40744.327164351853</v>
      </c>
      <c r="C1106">
        <v>80</v>
      </c>
      <c r="D1106">
        <v>79.965065002000003</v>
      </c>
      <c r="E1106">
        <v>50</v>
      </c>
      <c r="F1106">
        <v>45.213623046999999</v>
      </c>
      <c r="G1106">
        <v>1339.6076660000001</v>
      </c>
      <c r="H1106">
        <v>1337.2593993999999</v>
      </c>
      <c r="I1106">
        <v>1325.9737548999999</v>
      </c>
      <c r="J1106">
        <v>1323.9234618999999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446.585981</v>
      </c>
      <c r="B1107" s="1">
        <f>DATE(2011,7,21) + TIME(14,3,48)</f>
        <v>40745.585972222223</v>
      </c>
      <c r="C1107">
        <v>80</v>
      </c>
      <c r="D1107">
        <v>79.965065002000003</v>
      </c>
      <c r="E1107">
        <v>50</v>
      </c>
      <c r="F1107">
        <v>45.164501190000003</v>
      </c>
      <c r="G1107">
        <v>1339.6010742000001</v>
      </c>
      <c r="H1107">
        <v>1337.2559814000001</v>
      </c>
      <c r="I1107">
        <v>1325.9558105000001</v>
      </c>
      <c r="J1107">
        <v>1323.895874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447.868448</v>
      </c>
      <c r="B1108" s="1">
        <f>DATE(2011,7,22) + TIME(20,50,33)</f>
        <v>40746.868437500001</v>
      </c>
      <c r="C1108">
        <v>80</v>
      </c>
      <c r="D1108">
        <v>79.965065002000003</v>
      </c>
      <c r="E1108">
        <v>50</v>
      </c>
      <c r="F1108">
        <v>45.115219115999999</v>
      </c>
      <c r="G1108">
        <v>1339.5944824000001</v>
      </c>
      <c r="H1108">
        <v>1337.2524414</v>
      </c>
      <c r="I1108">
        <v>1325.9377440999999</v>
      </c>
      <c r="J1108">
        <v>1323.8677978999999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449.18071700000002</v>
      </c>
      <c r="B1109" s="1">
        <f>DATE(2011,7,24) + TIME(4,20,13)</f>
        <v>40748.180706018517</v>
      </c>
      <c r="C1109">
        <v>80</v>
      </c>
      <c r="D1109">
        <v>79.965072632000002</v>
      </c>
      <c r="E1109">
        <v>50</v>
      </c>
      <c r="F1109">
        <v>45.065834045000003</v>
      </c>
      <c r="G1109">
        <v>1339.5878906</v>
      </c>
      <c r="H1109">
        <v>1337.2489014</v>
      </c>
      <c r="I1109">
        <v>1325.9194336</v>
      </c>
      <c r="J1109">
        <v>1323.8392334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450.52939400000002</v>
      </c>
      <c r="B1110" s="1">
        <f>DATE(2011,7,25) + TIME(12,42,19)</f>
        <v>40749.529386574075</v>
      </c>
      <c r="C1110">
        <v>80</v>
      </c>
      <c r="D1110">
        <v>79.965072632000002</v>
      </c>
      <c r="E1110">
        <v>50</v>
      </c>
      <c r="F1110">
        <v>45.016429901000002</v>
      </c>
      <c r="G1110">
        <v>1339.5812988</v>
      </c>
      <c r="H1110">
        <v>1337.2452393000001</v>
      </c>
      <c r="I1110">
        <v>1325.9008789</v>
      </c>
      <c r="J1110">
        <v>1323.8100586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451.903144</v>
      </c>
      <c r="B1111" s="1">
        <f>DATE(2011,7,26) + TIME(21,40,31)</f>
        <v>40750.903136574074</v>
      </c>
      <c r="C1111">
        <v>80</v>
      </c>
      <c r="D1111">
        <v>79.965080260999997</v>
      </c>
      <c r="E1111">
        <v>50</v>
      </c>
      <c r="F1111">
        <v>44.967372894</v>
      </c>
      <c r="G1111">
        <v>1339.5745850000001</v>
      </c>
      <c r="H1111">
        <v>1337.2416992000001</v>
      </c>
      <c r="I1111">
        <v>1325.8819579999999</v>
      </c>
      <c r="J1111">
        <v>1323.7801514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453.27774499999998</v>
      </c>
      <c r="B1112" s="1">
        <f>DATE(2011,7,28) + TIME(6,39,57)</f>
        <v>40752.277743055558</v>
      </c>
      <c r="C1112">
        <v>80</v>
      </c>
      <c r="D1112">
        <v>79.965087890999996</v>
      </c>
      <c r="E1112">
        <v>50</v>
      </c>
      <c r="F1112">
        <v>44.919513702000003</v>
      </c>
      <c r="G1112">
        <v>1339.5678711</v>
      </c>
      <c r="H1112">
        <v>1337.2380370999999</v>
      </c>
      <c r="I1112">
        <v>1325.862793</v>
      </c>
      <c r="J1112">
        <v>1323.7498779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454.66018600000001</v>
      </c>
      <c r="B1113" s="1">
        <f>DATE(2011,7,29) + TIME(15,50,40)</f>
        <v>40753.660185185188</v>
      </c>
      <c r="C1113">
        <v>80</v>
      </c>
      <c r="D1113">
        <v>79.965095520000006</v>
      </c>
      <c r="E1113">
        <v>50</v>
      </c>
      <c r="F1113">
        <v>44.873584747000002</v>
      </c>
      <c r="G1113">
        <v>1339.5612793</v>
      </c>
      <c r="H1113">
        <v>1337.234375</v>
      </c>
      <c r="I1113">
        <v>1325.8436279</v>
      </c>
      <c r="J1113">
        <v>1323.7193603999999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456.0575</v>
      </c>
      <c r="B1114" s="1">
        <f>DATE(2011,7,31) + TIME(1,22,47)</f>
        <v>40755.057488425926</v>
      </c>
      <c r="C1114">
        <v>80</v>
      </c>
      <c r="D1114">
        <v>79.965103149000001</v>
      </c>
      <c r="E1114">
        <v>50</v>
      </c>
      <c r="F1114">
        <v>44.830127716</v>
      </c>
      <c r="G1114">
        <v>1339.5546875</v>
      </c>
      <c r="H1114">
        <v>1337.2307129000001</v>
      </c>
      <c r="I1114">
        <v>1325.8245850000001</v>
      </c>
      <c r="J1114">
        <v>1323.6887207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457</v>
      </c>
      <c r="B1115" s="1">
        <f>DATE(2011,8,1) + TIME(0,0,0)</f>
        <v>40756</v>
      </c>
      <c r="C1115">
        <v>80</v>
      </c>
      <c r="D1115">
        <v>79.965095520000006</v>
      </c>
      <c r="E1115">
        <v>50</v>
      </c>
      <c r="F1115">
        <v>44.795841217000003</v>
      </c>
      <c r="G1115">
        <v>1339.5483397999999</v>
      </c>
      <c r="H1115">
        <v>1337.2272949000001</v>
      </c>
      <c r="I1115">
        <v>1325.8063964999999</v>
      </c>
      <c r="J1115">
        <v>1323.6593018000001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458.41924699999998</v>
      </c>
      <c r="B1116" s="1">
        <f>DATE(2011,8,2) + TIME(10,3,42)</f>
        <v>40757.419236111113</v>
      </c>
      <c r="C1116">
        <v>80</v>
      </c>
      <c r="D1116">
        <v>79.965110779</v>
      </c>
      <c r="E1116">
        <v>50</v>
      </c>
      <c r="F1116">
        <v>44.762744904000002</v>
      </c>
      <c r="G1116">
        <v>1339.5435791</v>
      </c>
      <c r="H1116">
        <v>1337.2244873</v>
      </c>
      <c r="I1116">
        <v>1325.7912598</v>
      </c>
      <c r="J1116">
        <v>1323.6346435999999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459.86587500000002</v>
      </c>
      <c r="B1117" s="1">
        <f>DATE(2011,8,3) + TIME(20,46,51)</f>
        <v>40758.865868055553</v>
      </c>
      <c r="C1117">
        <v>80</v>
      </c>
      <c r="D1117">
        <v>79.965126037999994</v>
      </c>
      <c r="E1117">
        <v>50</v>
      </c>
      <c r="F1117">
        <v>44.730983733999999</v>
      </c>
      <c r="G1117">
        <v>1339.5372314000001</v>
      </c>
      <c r="H1117">
        <v>1337.2209473</v>
      </c>
      <c r="I1117">
        <v>1325.7734375</v>
      </c>
      <c r="J1117">
        <v>1323.6053466999999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461.33489200000002</v>
      </c>
      <c r="B1118" s="1">
        <f>DATE(2011,8,5) + TIME(8,2,14)</f>
        <v>40760.33488425926</v>
      </c>
      <c r="C1118">
        <v>80</v>
      </c>
      <c r="D1118">
        <v>79.965133667000003</v>
      </c>
      <c r="E1118">
        <v>50</v>
      </c>
      <c r="F1118">
        <v>44.703483581999997</v>
      </c>
      <c r="G1118">
        <v>1339.5306396000001</v>
      </c>
      <c r="H1118">
        <v>1337.2172852000001</v>
      </c>
      <c r="I1118">
        <v>1325.7548827999999</v>
      </c>
      <c r="J1118">
        <v>1323.574707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462.83461</v>
      </c>
      <c r="B1119" s="1">
        <f>DATE(2011,8,6) + TIME(20,1,50)</f>
        <v>40761.834606481483</v>
      </c>
      <c r="C1119">
        <v>80</v>
      </c>
      <c r="D1119">
        <v>79.965148925999998</v>
      </c>
      <c r="E1119">
        <v>50</v>
      </c>
      <c r="F1119">
        <v>44.682247162000003</v>
      </c>
      <c r="G1119">
        <v>1339.5241699000001</v>
      </c>
      <c r="H1119">
        <v>1337.2136230000001</v>
      </c>
      <c r="I1119">
        <v>1325.7362060999999</v>
      </c>
      <c r="J1119">
        <v>1323.543457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464.37359600000002</v>
      </c>
      <c r="B1120" s="1">
        <f>DATE(2011,8,8) + TIME(8,57,58)</f>
        <v>40763.37358796296</v>
      </c>
      <c r="C1120">
        <v>80</v>
      </c>
      <c r="D1120">
        <v>79.965164185000006</v>
      </c>
      <c r="E1120">
        <v>50</v>
      </c>
      <c r="F1120">
        <v>44.669208527000002</v>
      </c>
      <c r="G1120">
        <v>1339.5174560999999</v>
      </c>
      <c r="H1120">
        <v>1337.2098389</v>
      </c>
      <c r="I1120">
        <v>1325.7174072</v>
      </c>
      <c r="J1120">
        <v>1323.5118408000001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465.96084400000001</v>
      </c>
      <c r="B1121" s="1">
        <f>DATE(2011,8,9) + TIME(23,3,36)</f>
        <v>40764.960833333331</v>
      </c>
      <c r="C1121">
        <v>80</v>
      </c>
      <c r="D1121">
        <v>79.965171814000001</v>
      </c>
      <c r="E1121">
        <v>50</v>
      </c>
      <c r="F1121">
        <v>44.666564940999997</v>
      </c>
      <c r="G1121">
        <v>1339.5108643000001</v>
      </c>
      <c r="H1121">
        <v>1337.2059326000001</v>
      </c>
      <c r="I1121">
        <v>1325.6984863</v>
      </c>
      <c r="J1121">
        <v>1323.4797363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467.585714</v>
      </c>
      <c r="B1122" s="1">
        <f>DATE(2011,8,11) + TIME(14,3,25)</f>
        <v>40766.585706018515</v>
      </c>
      <c r="C1122">
        <v>80</v>
      </c>
      <c r="D1122">
        <v>79.965187072999996</v>
      </c>
      <c r="E1122">
        <v>50</v>
      </c>
      <c r="F1122">
        <v>44.677093505999999</v>
      </c>
      <c r="G1122">
        <v>1339.5040283000001</v>
      </c>
      <c r="H1122">
        <v>1337.2020264</v>
      </c>
      <c r="I1122">
        <v>1325.6795654</v>
      </c>
      <c r="J1122">
        <v>1323.4472656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469.23089700000003</v>
      </c>
      <c r="B1123" s="1">
        <f>DATE(2011,8,13) + TIME(5,32,29)</f>
        <v>40768.230891203704</v>
      </c>
      <c r="C1123">
        <v>80</v>
      </c>
      <c r="D1123">
        <v>79.965209960999999</v>
      </c>
      <c r="E1123">
        <v>50</v>
      </c>
      <c r="F1123">
        <v>44.703777313000003</v>
      </c>
      <c r="G1123">
        <v>1339.4971923999999</v>
      </c>
      <c r="H1123">
        <v>1337.1981201000001</v>
      </c>
      <c r="I1123">
        <v>1325.6606445</v>
      </c>
      <c r="J1123">
        <v>1323.4146728999999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470.88742999999999</v>
      </c>
      <c r="B1124" s="1">
        <f>DATE(2011,8,14) + TIME(21,17,53)</f>
        <v>40769.887418981481</v>
      </c>
      <c r="C1124">
        <v>80</v>
      </c>
      <c r="D1124">
        <v>79.965225219999994</v>
      </c>
      <c r="E1124">
        <v>50</v>
      </c>
      <c r="F1124">
        <v>44.749706267999997</v>
      </c>
      <c r="G1124">
        <v>1339.4903564000001</v>
      </c>
      <c r="H1124">
        <v>1337.1940918</v>
      </c>
      <c r="I1124">
        <v>1325.6420897999999</v>
      </c>
      <c r="J1124">
        <v>1323.3822021000001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472.558538</v>
      </c>
      <c r="B1125" s="1">
        <f>DATE(2011,8,16) + TIME(13,24,17)</f>
        <v>40771.558530092596</v>
      </c>
      <c r="C1125">
        <v>80</v>
      </c>
      <c r="D1125">
        <v>79.965240479000002</v>
      </c>
      <c r="E1125">
        <v>50</v>
      </c>
      <c r="F1125">
        <v>44.817996979</v>
      </c>
      <c r="G1125">
        <v>1339.4835204999999</v>
      </c>
      <c r="H1125">
        <v>1337.1900635</v>
      </c>
      <c r="I1125">
        <v>1325.6239014</v>
      </c>
      <c r="J1125">
        <v>1323.3503418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474.237863</v>
      </c>
      <c r="B1126" s="1">
        <f>DATE(2011,8,18) + TIME(5,42,31)</f>
        <v>40773.237858796296</v>
      </c>
      <c r="C1126">
        <v>80</v>
      </c>
      <c r="D1126">
        <v>79.965255737000007</v>
      </c>
      <c r="E1126">
        <v>50</v>
      </c>
      <c r="F1126">
        <v>44.911869049000003</v>
      </c>
      <c r="G1126">
        <v>1339.4768065999999</v>
      </c>
      <c r="H1126">
        <v>1337.1860352000001</v>
      </c>
      <c r="I1126">
        <v>1325.6062012</v>
      </c>
      <c r="J1126">
        <v>1323.3189697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475.93422600000002</v>
      </c>
      <c r="B1127" s="1">
        <f>DATE(2011,8,19) + TIME(22,25,17)</f>
        <v>40774.934224537035</v>
      </c>
      <c r="C1127">
        <v>80</v>
      </c>
      <c r="D1127">
        <v>79.965278624999996</v>
      </c>
      <c r="E1127">
        <v>50</v>
      </c>
      <c r="F1127">
        <v>45.034580231</v>
      </c>
      <c r="G1127">
        <v>1339.4700928</v>
      </c>
      <c r="H1127">
        <v>1337.1821289</v>
      </c>
      <c r="I1127">
        <v>1325.5891113</v>
      </c>
      <c r="J1127">
        <v>1323.2885742000001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476.79628400000001</v>
      </c>
      <c r="B1128" s="1">
        <f>DATE(2011,8,20) + TIME(19,6,38)</f>
        <v>40775.796273148146</v>
      </c>
      <c r="C1128">
        <v>80</v>
      </c>
      <c r="D1128">
        <v>79.965270996000001</v>
      </c>
      <c r="E1128">
        <v>50</v>
      </c>
      <c r="F1128">
        <v>45.154628754000001</v>
      </c>
      <c r="G1128">
        <v>1339.4639893000001</v>
      </c>
      <c r="H1128">
        <v>1337.1785889</v>
      </c>
      <c r="I1128">
        <v>1325.5749512</v>
      </c>
      <c r="J1128">
        <v>1323.2613524999999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478.37573300000003</v>
      </c>
      <c r="B1129" s="1">
        <f>DATE(2011,8,22) + TIME(9,1,3)</f>
        <v>40777.37572916667</v>
      </c>
      <c r="C1129">
        <v>80</v>
      </c>
      <c r="D1129">
        <v>79.965301514000004</v>
      </c>
      <c r="E1129">
        <v>50</v>
      </c>
      <c r="F1129">
        <v>45.294227599999999</v>
      </c>
      <c r="G1129">
        <v>1339.4598389</v>
      </c>
      <c r="H1129">
        <v>1337.1757812000001</v>
      </c>
      <c r="I1129">
        <v>1325.5622559000001</v>
      </c>
      <c r="J1129">
        <v>1323.2415771000001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480.03114299999999</v>
      </c>
      <c r="B1130" s="1">
        <f>DATE(2011,8,24) + TIME(0,44,50)</f>
        <v>40779.031134259261</v>
      </c>
      <c r="C1130">
        <v>80</v>
      </c>
      <c r="D1130">
        <v>79.965324401999993</v>
      </c>
      <c r="E1130">
        <v>50</v>
      </c>
      <c r="F1130">
        <v>45.481895446999999</v>
      </c>
      <c r="G1130">
        <v>1339.4538574000001</v>
      </c>
      <c r="H1130">
        <v>1337.1722411999999</v>
      </c>
      <c r="I1130">
        <v>1325.5489502</v>
      </c>
      <c r="J1130">
        <v>1323.2172852000001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481.71684299999998</v>
      </c>
      <c r="B1131" s="1">
        <f>DATE(2011,8,25) + TIME(17,12,15)</f>
        <v>40780.716840277775</v>
      </c>
      <c r="C1131">
        <v>80</v>
      </c>
      <c r="D1131">
        <v>79.965347289999997</v>
      </c>
      <c r="E1131">
        <v>50</v>
      </c>
      <c r="F1131">
        <v>45.717689514</v>
      </c>
      <c r="G1131">
        <v>1339.4476318</v>
      </c>
      <c r="H1131">
        <v>1337.168457</v>
      </c>
      <c r="I1131">
        <v>1325.5351562000001</v>
      </c>
      <c r="J1131">
        <v>1323.1926269999999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483.44754899999998</v>
      </c>
      <c r="B1132" s="1">
        <f>DATE(2011,8,27) + TIME(10,44,28)</f>
        <v>40782.447546296295</v>
      </c>
      <c r="C1132">
        <v>80</v>
      </c>
      <c r="D1132">
        <v>79.965370178000001</v>
      </c>
      <c r="E1132">
        <v>50</v>
      </c>
      <c r="F1132">
        <v>45.990398407000001</v>
      </c>
      <c r="G1132">
        <v>1339.4412841999999</v>
      </c>
      <c r="H1132">
        <v>1337.1645507999999</v>
      </c>
      <c r="I1132">
        <v>1325.5212402</v>
      </c>
      <c r="J1132">
        <v>1323.1683350000001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485.181827</v>
      </c>
      <c r="B1133" s="1">
        <f>DATE(2011,8,29) + TIME(4,21,49)</f>
        <v>40784.181817129633</v>
      </c>
      <c r="C1133">
        <v>80</v>
      </c>
      <c r="D1133">
        <v>79.965393066000004</v>
      </c>
      <c r="E1133">
        <v>50</v>
      </c>
      <c r="F1133">
        <v>46.300483704000001</v>
      </c>
      <c r="G1133">
        <v>1339.4348144999999</v>
      </c>
      <c r="H1133">
        <v>1337.1605225000001</v>
      </c>
      <c r="I1133">
        <v>1325.5078125</v>
      </c>
      <c r="J1133">
        <v>1323.1447754000001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486.92598700000002</v>
      </c>
      <c r="B1134" s="1">
        <f>DATE(2011,8,30) + TIME(22,13,25)</f>
        <v>40785.925983796296</v>
      </c>
      <c r="C1134">
        <v>80</v>
      </c>
      <c r="D1134">
        <v>79.965415954999997</v>
      </c>
      <c r="E1134">
        <v>50</v>
      </c>
      <c r="F1134">
        <v>46.647331238</v>
      </c>
      <c r="G1134">
        <v>1339.4284668</v>
      </c>
      <c r="H1134">
        <v>1337.1566161999999</v>
      </c>
      <c r="I1134">
        <v>1325.4948730000001</v>
      </c>
      <c r="J1134">
        <v>1323.1224365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488</v>
      </c>
      <c r="B1135" s="1">
        <f>DATE(2011,9,1) + TIME(0,0,0)</f>
        <v>40787</v>
      </c>
      <c r="C1135">
        <v>80</v>
      </c>
      <c r="D1135">
        <v>79.965423584000007</v>
      </c>
      <c r="E1135">
        <v>50</v>
      </c>
      <c r="F1135">
        <v>46.972301483000003</v>
      </c>
      <c r="G1135">
        <v>1339.4224853999999</v>
      </c>
      <c r="H1135">
        <v>1337.1530762</v>
      </c>
      <c r="I1135">
        <v>1325.4846190999999</v>
      </c>
      <c r="J1135">
        <v>1323.1027832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489.78418099999999</v>
      </c>
      <c r="B1136" s="1">
        <f>DATE(2011,9,2) + TIME(18,49,13)</f>
        <v>40788.784178240741</v>
      </c>
      <c r="C1136">
        <v>80</v>
      </c>
      <c r="D1136">
        <v>79.965454101999995</v>
      </c>
      <c r="E1136">
        <v>50</v>
      </c>
      <c r="F1136">
        <v>47.309658051</v>
      </c>
      <c r="G1136">
        <v>1339.4180908000001</v>
      </c>
      <c r="H1136">
        <v>1337.1500243999999</v>
      </c>
      <c r="I1136">
        <v>1325.4735106999999</v>
      </c>
      <c r="J1136">
        <v>1323.0876464999999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491.62237800000003</v>
      </c>
      <c r="B1137" s="1">
        <f>DATE(2011,9,4) + TIME(14,56,13)</f>
        <v>40790.622372685182</v>
      </c>
      <c r="C1137">
        <v>80</v>
      </c>
      <c r="D1137">
        <v>79.965484618999994</v>
      </c>
      <c r="E1137">
        <v>50</v>
      </c>
      <c r="F1137">
        <v>47.729637146000002</v>
      </c>
      <c r="G1137">
        <v>1339.4118652</v>
      </c>
      <c r="H1137">
        <v>1337.1462402</v>
      </c>
      <c r="I1137">
        <v>1325.4631348</v>
      </c>
      <c r="J1137">
        <v>1323.0699463000001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493.519046</v>
      </c>
      <c r="B1138" s="1">
        <f>DATE(2011,9,6) + TIME(12,27,25)</f>
        <v>40792.51903935185</v>
      </c>
      <c r="C1138">
        <v>80</v>
      </c>
      <c r="D1138">
        <v>79.965515136999997</v>
      </c>
      <c r="E1138">
        <v>50</v>
      </c>
      <c r="F1138">
        <v>48.196563720999997</v>
      </c>
      <c r="G1138">
        <v>1339.4055175999999</v>
      </c>
      <c r="H1138">
        <v>1337.1422118999999</v>
      </c>
      <c r="I1138">
        <v>1325.4522704999999</v>
      </c>
      <c r="J1138">
        <v>1323.0523682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495.50126399999999</v>
      </c>
      <c r="B1139" s="1">
        <f>DATE(2011,9,8) + TIME(12,1,49)</f>
        <v>40794.501261574071</v>
      </c>
      <c r="C1139">
        <v>80</v>
      </c>
      <c r="D1139">
        <v>79.965545653999996</v>
      </c>
      <c r="E1139">
        <v>50</v>
      </c>
      <c r="F1139">
        <v>48.698467254999997</v>
      </c>
      <c r="G1139">
        <v>1339.3990478999999</v>
      </c>
      <c r="H1139">
        <v>1337.1380615</v>
      </c>
      <c r="I1139">
        <v>1325.4415283000001</v>
      </c>
      <c r="J1139">
        <v>1323.0356445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497.551625</v>
      </c>
      <c r="B1140" s="1">
        <f>DATE(2011,9,10) + TIME(13,14,20)</f>
        <v>40796.551620370374</v>
      </c>
      <c r="C1140">
        <v>80</v>
      </c>
      <c r="D1140">
        <v>79.965576171999999</v>
      </c>
      <c r="E1140">
        <v>50</v>
      </c>
      <c r="F1140">
        <v>49.230998993</v>
      </c>
      <c r="G1140">
        <v>1339.3923339999999</v>
      </c>
      <c r="H1140">
        <v>1337.1339111</v>
      </c>
      <c r="I1140">
        <v>1325.4310303</v>
      </c>
      <c r="J1140">
        <v>1323.0195312000001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499.65736700000002</v>
      </c>
      <c r="B1141" s="1">
        <f>DATE(2011,9,12) + TIME(15,46,36)</f>
        <v>40798.657361111109</v>
      </c>
      <c r="C1141">
        <v>80</v>
      </c>
      <c r="D1141">
        <v>79.965614318999997</v>
      </c>
      <c r="E1141">
        <v>50</v>
      </c>
      <c r="F1141">
        <v>49.785736084</v>
      </c>
      <c r="G1141">
        <v>1339.3854980000001</v>
      </c>
      <c r="H1141">
        <v>1337.1295166</v>
      </c>
      <c r="I1141">
        <v>1325.4210204999999</v>
      </c>
      <c r="J1141">
        <v>1323.0042725000001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501.79739499999999</v>
      </c>
      <c r="B1142" s="1">
        <f>DATE(2011,9,14) + TIME(19,8,14)</f>
        <v>40800.797384259262</v>
      </c>
      <c r="C1142">
        <v>80</v>
      </c>
      <c r="D1142">
        <v>79.965644835999996</v>
      </c>
      <c r="E1142">
        <v>50</v>
      </c>
      <c r="F1142">
        <v>50.352836609000001</v>
      </c>
      <c r="G1142">
        <v>1339.3786620999999</v>
      </c>
      <c r="H1142">
        <v>1337.1251221</v>
      </c>
      <c r="I1142">
        <v>1325.411499</v>
      </c>
      <c r="J1142">
        <v>1322.9901123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503.978182</v>
      </c>
      <c r="B1143" s="1">
        <f>DATE(2011,9,16) + TIME(23,28,34)</f>
        <v>40802.978171296294</v>
      </c>
      <c r="C1143">
        <v>80</v>
      </c>
      <c r="D1143">
        <v>79.965682982999994</v>
      </c>
      <c r="E1143">
        <v>50</v>
      </c>
      <c r="F1143">
        <v>50.923213959000002</v>
      </c>
      <c r="G1143">
        <v>1339.3718262</v>
      </c>
      <c r="H1143">
        <v>1337.1208495999999</v>
      </c>
      <c r="I1143">
        <v>1325.4024658000001</v>
      </c>
      <c r="J1143">
        <v>1322.9769286999999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506.193602</v>
      </c>
      <c r="B1144" s="1">
        <f>DATE(2011,9,19) + TIME(4,38,47)</f>
        <v>40805.193599537037</v>
      </c>
      <c r="C1144">
        <v>80</v>
      </c>
      <c r="D1144">
        <v>79.965721130000006</v>
      </c>
      <c r="E1144">
        <v>50</v>
      </c>
      <c r="F1144">
        <v>51.490982056</v>
      </c>
      <c r="G1144">
        <v>1339.3649902</v>
      </c>
      <c r="H1144">
        <v>1337.1164550999999</v>
      </c>
      <c r="I1144">
        <v>1325.3941649999999</v>
      </c>
      <c r="J1144">
        <v>1322.9648437999999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508.44418200000001</v>
      </c>
      <c r="B1145" s="1">
        <f>DATE(2011,9,21) + TIME(10,39,37)</f>
        <v>40807.444178240738</v>
      </c>
      <c r="C1145">
        <v>80</v>
      </c>
      <c r="D1145">
        <v>79.965759277000004</v>
      </c>
      <c r="E1145">
        <v>50</v>
      </c>
      <c r="F1145">
        <v>52.051925658999998</v>
      </c>
      <c r="G1145">
        <v>1339.3581543</v>
      </c>
      <c r="H1145">
        <v>1337.1120605000001</v>
      </c>
      <c r="I1145">
        <v>1325.3863524999999</v>
      </c>
      <c r="J1145">
        <v>1322.9536132999999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510.73271699999998</v>
      </c>
      <c r="B1146" s="1">
        <f>DATE(2011,9,23) + TIME(17,35,6)</f>
        <v>40809.732708333337</v>
      </c>
      <c r="C1146">
        <v>80</v>
      </c>
      <c r="D1146">
        <v>79.965797424000002</v>
      </c>
      <c r="E1146">
        <v>50</v>
      </c>
      <c r="F1146">
        <v>52.603439330999997</v>
      </c>
      <c r="G1146">
        <v>1339.3514404</v>
      </c>
      <c r="H1146">
        <v>1337.1077881000001</v>
      </c>
      <c r="I1146">
        <v>1325.3791504000001</v>
      </c>
      <c r="J1146">
        <v>1322.9433594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513.05717200000004</v>
      </c>
      <c r="B1147" s="1">
        <f>DATE(2011,9,26) + TIME(1,22,19)</f>
        <v>40812.057164351849</v>
      </c>
      <c r="C1147">
        <v>80</v>
      </c>
      <c r="D1147">
        <v>79.965835571</v>
      </c>
      <c r="E1147">
        <v>50</v>
      </c>
      <c r="F1147">
        <v>53.144687652999998</v>
      </c>
      <c r="G1147">
        <v>1339.3447266000001</v>
      </c>
      <c r="H1147">
        <v>1337.1033935999999</v>
      </c>
      <c r="I1147">
        <v>1325.3725586</v>
      </c>
      <c r="J1147">
        <v>1322.9339600000001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515.42627300000004</v>
      </c>
      <c r="B1148" s="1">
        <f>DATE(2011,9,28) + TIME(10,13,49)</f>
        <v>40814.426261574074</v>
      </c>
      <c r="C1148">
        <v>80</v>
      </c>
      <c r="D1148">
        <v>79.965873717999997</v>
      </c>
      <c r="E1148">
        <v>50</v>
      </c>
      <c r="F1148">
        <v>53.674182891999997</v>
      </c>
      <c r="G1148">
        <v>1339.3381348</v>
      </c>
      <c r="H1148">
        <v>1337.0991211</v>
      </c>
      <c r="I1148">
        <v>1325.3663329999999</v>
      </c>
      <c r="J1148">
        <v>1322.9251709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517.84491400000002</v>
      </c>
      <c r="B1149" s="1">
        <f>DATE(2011,9,30) + TIME(20,16,40)</f>
        <v>40816.844907407409</v>
      </c>
      <c r="C1149">
        <v>80</v>
      </c>
      <c r="D1149">
        <v>79.965919494999994</v>
      </c>
      <c r="E1149">
        <v>50</v>
      </c>
      <c r="F1149">
        <v>54.191390990999999</v>
      </c>
      <c r="G1149">
        <v>1339.3314209</v>
      </c>
      <c r="H1149">
        <v>1337.0948486</v>
      </c>
      <c r="I1149">
        <v>1325.3605957</v>
      </c>
      <c r="J1149">
        <v>1322.9169922000001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518</v>
      </c>
      <c r="B1150" s="1">
        <f>DATE(2011,10,1) + TIME(0,0,0)</f>
        <v>40817</v>
      </c>
      <c r="C1150">
        <v>80</v>
      </c>
      <c r="D1150">
        <v>79.965911864999995</v>
      </c>
      <c r="E1150">
        <v>50</v>
      </c>
      <c r="F1150">
        <v>54.323589325</v>
      </c>
      <c r="G1150">
        <v>1339.3283690999999</v>
      </c>
      <c r="H1150">
        <v>1337.0936279</v>
      </c>
      <c r="I1150">
        <v>1325.3662108999999</v>
      </c>
      <c r="J1150">
        <v>1322.9133300999999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520.44483000000002</v>
      </c>
      <c r="B1151" s="1">
        <f>DATE(2011,10,3) + TIME(10,40,33)</f>
        <v>40819.444826388892</v>
      </c>
      <c r="C1151">
        <v>80</v>
      </c>
      <c r="D1151">
        <v>79.965965271000002</v>
      </c>
      <c r="E1151">
        <v>50</v>
      </c>
      <c r="F1151">
        <v>54.745464325</v>
      </c>
      <c r="G1151">
        <v>1339.3242187999999</v>
      </c>
      <c r="H1151">
        <v>1337.0902100000001</v>
      </c>
      <c r="I1151">
        <v>1325.3548584</v>
      </c>
      <c r="J1151">
        <v>1322.9094238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522.93432099999995</v>
      </c>
      <c r="B1152" s="1">
        <f>DATE(2011,10,5) + TIME(22,25,25)</f>
        <v>40821.934317129628</v>
      </c>
      <c r="C1152">
        <v>80</v>
      </c>
      <c r="D1152">
        <v>79.966011046999995</v>
      </c>
      <c r="E1152">
        <v>50</v>
      </c>
      <c r="F1152">
        <v>55.215633392000001</v>
      </c>
      <c r="G1152">
        <v>1339.3178711</v>
      </c>
      <c r="H1152">
        <v>1337.0861815999999</v>
      </c>
      <c r="I1152">
        <v>1325.3500977000001</v>
      </c>
      <c r="J1152">
        <v>1322.9016113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525.48832400000003</v>
      </c>
      <c r="B1153" s="1">
        <f>DATE(2011,10,8) + TIME(11,43,11)</f>
        <v>40824.488321759258</v>
      </c>
      <c r="C1153">
        <v>80</v>
      </c>
      <c r="D1153">
        <v>79.966056824000006</v>
      </c>
      <c r="E1153">
        <v>50</v>
      </c>
      <c r="F1153">
        <v>55.684024811</v>
      </c>
      <c r="G1153">
        <v>1339.3114014</v>
      </c>
      <c r="H1153">
        <v>1337.0820312000001</v>
      </c>
      <c r="I1153">
        <v>1325.3455810999999</v>
      </c>
      <c r="J1153">
        <v>1322.8948975000001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528.06743700000004</v>
      </c>
      <c r="B1154" s="1">
        <f>DATE(2011,10,11) + TIME(1,37,6)</f>
        <v>40827.067430555559</v>
      </c>
      <c r="C1154">
        <v>80</v>
      </c>
      <c r="D1154">
        <v>79.966102599999999</v>
      </c>
      <c r="E1154">
        <v>50</v>
      </c>
      <c r="F1154">
        <v>56.141292571999998</v>
      </c>
      <c r="G1154">
        <v>1339.3049315999999</v>
      </c>
      <c r="H1154">
        <v>1337.0777588000001</v>
      </c>
      <c r="I1154">
        <v>1325.3414307</v>
      </c>
      <c r="J1154">
        <v>1322.8884277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530.67746</v>
      </c>
      <c r="B1155" s="1">
        <f>DATE(2011,10,13) + TIME(16,15,32)</f>
        <v>40829.677453703705</v>
      </c>
      <c r="C1155">
        <v>80</v>
      </c>
      <c r="D1155">
        <v>79.966148376000007</v>
      </c>
      <c r="E1155">
        <v>50</v>
      </c>
      <c r="F1155">
        <v>56.581459045000003</v>
      </c>
      <c r="G1155">
        <v>1339.2985839999999</v>
      </c>
      <c r="H1155">
        <v>1337.0737305</v>
      </c>
      <c r="I1155">
        <v>1325.3375243999999</v>
      </c>
      <c r="J1155">
        <v>1322.8824463000001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533.34389399999998</v>
      </c>
      <c r="B1156" s="1">
        <f>DATE(2011,10,16) + TIME(8,15,12)</f>
        <v>40832.343888888892</v>
      </c>
      <c r="C1156">
        <v>80</v>
      </c>
      <c r="D1156">
        <v>79.966201781999999</v>
      </c>
      <c r="E1156">
        <v>50</v>
      </c>
      <c r="F1156">
        <v>57.001853943</v>
      </c>
      <c r="G1156">
        <v>1339.2922363</v>
      </c>
      <c r="H1156">
        <v>1337.0697021000001</v>
      </c>
      <c r="I1156">
        <v>1325.3338623</v>
      </c>
      <c r="J1156">
        <v>1322.8767089999999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536.07407000000001</v>
      </c>
      <c r="B1157" s="1">
        <f>DATE(2011,10,19) + TIME(1,46,39)</f>
        <v>40835.074062500003</v>
      </c>
      <c r="C1157">
        <v>80</v>
      </c>
      <c r="D1157">
        <v>79.966255188000005</v>
      </c>
      <c r="E1157">
        <v>50</v>
      </c>
      <c r="F1157">
        <v>57.409725189</v>
      </c>
      <c r="G1157">
        <v>1339.2858887</v>
      </c>
      <c r="H1157">
        <v>1337.0656738</v>
      </c>
      <c r="I1157">
        <v>1325.3305664</v>
      </c>
      <c r="J1157">
        <v>1322.8712158000001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538.81869099999994</v>
      </c>
      <c r="B1158" s="1">
        <f>DATE(2011,10,21) + TIME(19,38,54)</f>
        <v>40837.818680555552</v>
      </c>
      <c r="C1158">
        <v>80</v>
      </c>
      <c r="D1158">
        <v>79.966300963999998</v>
      </c>
      <c r="E1158">
        <v>50</v>
      </c>
      <c r="F1158">
        <v>57.802070618000002</v>
      </c>
      <c r="G1158">
        <v>1339.2796631000001</v>
      </c>
      <c r="H1158">
        <v>1337.0616454999999</v>
      </c>
      <c r="I1158">
        <v>1325.3275146000001</v>
      </c>
      <c r="J1158">
        <v>1322.8659668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541.61393299999997</v>
      </c>
      <c r="B1159" s="1">
        <f>DATE(2011,10,24) + TIME(14,44,3)</f>
        <v>40840.613923611112</v>
      </c>
      <c r="C1159">
        <v>80</v>
      </c>
      <c r="D1159">
        <v>79.966354370000005</v>
      </c>
      <c r="E1159">
        <v>50</v>
      </c>
      <c r="F1159">
        <v>58.178092956999997</v>
      </c>
      <c r="G1159">
        <v>1339.2734375</v>
      </c>
      <c r="H1159">
        <v>1337.0576172000001</v>
      </c>
      <c r="I1159">
        <v>1325.324707</v>
      </c>
      <c r="J1159">
        <v>1322.8610839999999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544.490769</v>
      </c>
      <c r="B1160" s="1">
        <f>DATE(2011,10,27) + TIME(11,46,42)</f>
        <v>40843.490763888891</v>
      </c>
      <c r="C1160">
        <v>80</v>
      </c>
      <c r="D1160">
        <v>79.966407775999997</v>
      </c>
      <c r="E1160">
        <v>50</v>
      </c>
      <c r="F1160">
        <v>58.537799835000001</v>
      </c>
      <c r="G1160">
        <v>1339.2673339999999</v>
      </c>
      <c r="H1160">
        <v>1337.0537108999999</v>
      </c>
      <c r="I1160">
        <v>1325.3221435999999</v>
      </c>
      <c r="J1160">
        <v>1322.8563231999999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547.38682100000005</v>
      </c>
      <c r="B1161" s="1">
        <f>DATE(2011,10,30) + TIME(9,17,1)</f>
        <v>40846.386817129627</v>
      </c>
      <c r="C1161">
        <v>80</v>
      </c>
      <c r="D1161">
        <v>79.966461182000003</v>
      </c>
      <c r="E1161">
        <v>50</v>
      </c>
      <c r="F1161">
        <v>58.888393401999998</v>
      </c>
      <c r="G1161">
        <v>1339.2612305</v>
      </c>
      <c r="H1161">
        <v>1337.0498047000001</v>
      </c>
      <c r="I1161">
        <v>1325.3198242000001</v>
      </c>
      <c r="J1161">
        <v>1322.8518065999999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549</v>
      </c>
      <c r="B1162" s="1">
        <f>DATE(2011,11,1) + TIME(0,0,0)</f>
        <v>40848</v>
      </c>
      <c r="C1162">
        <v>80</v>
      </c>
      <c r="D1162">
        <v>79.966484070000007</v>
      </c>
      <c r="E1162">
        <v>50</v>
      </c>
      <c r="F1162">
        <v>59.182914734000001</v>
      </c>
      <c r="G1162">
        <v>1339.2556152</v>
      </c>
      <c r="H1162">
        <v>1337.0463867000001</v>
      </c>
      <c r="I1162">
        <v>1325.3192139</v>
      </c>
      <c r="J1162">
        <v>1322.8485106999999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549.000001</v>
      </c>
      <c r="B1163" s="1">
        <f>DATE(2011,11,1) + TIME(0,0,0)</f>
        <v>40848</v>
      </c>
      <c r="C1163">
        <v>80</v>
      </c>
      <c r="D1163">
        <v>79.966445922999995</v>
      </c>
      <c r="E1163">
        <v>50</v>
      </c>
      <c r="F1163">
        <v>59.182926178000002</v>
      </c>
      <c r="G1163">
        <v>1337.0355225000001</v>
      </c>
      <c r="H1163">
        <v>1336.4667969</v>
      </c>
      <c r="I1163">
        <v>1327.9658202999999</v>
      </c>
      <c r="J1163">
        <v>1325.3343506000001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549.00000399999999</v>
      </c>
      <c r="B1164" s="1">
        <f>DATE(2011,11,1) + TIME(0,0,0)</f>
        <v>40848</v>
      </c>
      <c r="C1164">
        <v>80</v>
      </c>
      <c r="D1164">
        <v>79.966346740999995</v>
      </c>
      <c r="E1164">
        <v>50</v>
      </c>
      <c r="F1164">
        <v>59.182964325</v>
      </c>
      <c r="G1164">
        <v>1337.0035399999999</v>
      </c>
      <c r="H1164">
        <v>1336.4362793</v>
      </c>
      <c r="I1164">
        <v>1327.9971923999999</v>
      </c>
      <c r="J1164">
        <v>1325.3787841999999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549.00001299999997</v>
      </c>
      <c r="B1165" s="1">
        <f>DATE(2011,11,1) + TIME(0,0,1)</f>
        <v>40848.000011574077</v>
      </c>
      <c r="C1165">
        <v>80</v>
      </c>
      <c r="D1165">
        <v>79.966056824000006</v>
      </c>
      <c r="E1165">
        <v>50</v>
      </c>
      <c r="F1165">
        <v>59.183071136000002</v>
      </c>
      <c r="G1165">
        <v>1336.9133300999999</v>
      </c>
      <c r="H1165">
        <v>1336.3500977000001</v>
      </c>
      <c r="I1165">
        <v>1328.0880127</v>
      </c>
      <c r="J1165">
        <v>1325.5051269999999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549.00004000000001</v>
      </c>
      <c r="B1166" s="1">
        <f>DATE(2011,11,1) + TIME(0,0,3)</f>
        <v>40848.000034722223</v>
      </c>
      <c r="C1166">
        <v>80</v>
      </c>
      <c r="D1166">
        <v>79.965316771999994</v>
      </c>
      <c r="E1166">
        <v>50</v>
      </c>
      <c r="F1166">
        <v>59.183307648000003</v>
      </c>
      <c r="G1166">
        <v>1336.6848144999999</v>
      </c>
      <c r="H1166">
        <v>1336.1295166</v>
      </c>
      <c r="I1166">
        <v>1328.3341064000001</v>
      </c>
      <c r="J1166">
        <v>1325.8336182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549.00012100000004</v>
      </c>
      <c r="B1167" s="1">
        <f>DATE(2011,11,1) + TIME(0,0,10)</f>
        <v>40848.000115740739</v>
      </c>
      <c r="C1167">
        <v>80</v>
      </c>
      <c r="D1167">
        <v>79.963813782000003</v>
      </c>
      <c r="E1167">
        <v>50</v>
      </c>
      <c r="F1167">
        <v>59.183578490999999</v>
      </c>
      <c r="G1167">
        <v>1336.2194824000001</v>
      </c>
      <c r="H1167">
        <v>1335.6706543</v>
      </c>
      <c r="I1167">
        <v>1328.9088135</v>
      </c>
      <c r="J1167">
        <v>1326.5368652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549.00036399999999</v>
      </c>
      <c r="B1168" s="1">
        <f>DATE(2011,11,1) + TIME(0,0,31)</f>
        <v>40848.000358796293</v>
      </c>
      <c r="C1168">
        <v>80</v>
      </c>
      <c r="D1168">
        <v>79.96156311</v>
      </c>
      <c r="E1168">
        <v>50</v>
      </c>
      <c r="F1168">
        <v>59.181934357000003</v>
      </c>
      <c r="G1168">
        <v>1335.5249022999999</v>
      </c>
      <c r="H1168">
        <v>1334.9663086</v>
      </c>
      <c r="I1168">
        <v>1329.9384766000001</v>
      </c>
      <c r="J1168">
        <v>1327.6391602000001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549.00109299999997</v>
      </c>
      <c r="B1169" s="1">
        <f>DATE(2011,11,1) + TIME(0,1,34)</f>
        <v>40848.001087962963</v>
      </c>
      <c r="C1169">
        <v>80</v>
      </c>
      <c r="D1169">
        <v>79.958908081000004</v>
      </c>
      <c r="E1169">
        <v>50</v>
      </c>
      <c r="F1169">
        <v>59.172885895</v>
      </c>
      <c r="G1169">
        <v>1334.7241211</v>
      </c>
      <c r="H1169">
        <v>1334.1381836</v>
      </c>
      <c r="I1169">
        <v>1331.3039550999999</v>
      </c>
      <c r="J1169">
        <v>1328.9848632999999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549.00328000000002</v>
      </c>
      <c r="B1170" s="1">
        <f>DATE(2011,11,1) + TIME(0,4,43)</f>
        <v>40848.003275462965</v>
      </c>
      <c r="C1170">
        <v>80</v>
      </c>
      <c r="D1170">
        <v>79.955940247000001</v>
      </c>
      <c r="E1170">
        <v>50</v>
      </c>
      <c r="F1170">
        <v>59.139938354000002</v>
      </c>
      <c r="G1170">
        <v>1333.8868408000001</v>
      </c>
      <c r="H1170">
        <v>1333.2640381000001</v>
      </c>
      <c r="I1170">
        <v>1332.7757568</v>
      </c>
      <c r="J1170">
        <v>1330.4171143000001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549.00984100000005</v>
      </c>
      <c r="B1171" s="1">
        <f>DATE(2011,11,1) + TIME(0,14,10)</f>
        <v>40848.009837962964</v>
      </c>
      <c r="C1171">
        <v>80</v>
      </c>
      <c r="D1171">
        <v>79.952232361</v>
      </c>
      <c r="E1171">
        <v>50</v>
      </c>
      <c r="F1171">
        <v>59.035125731999997</v>
      </c>
      <c r="G1171">
        <v>1333.0056152</v>
      </c>
      <c r="H1171">
        <v>1332.331543</v>
      </c>
      <c r="I1171">
        <v>1334.2657471</v>
      </c>
      <c r="J1171">
        <v>1331.8725586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549.02952400000004</v>
      </c>
      <c r="B1172" s="1">
        <f>DATE(2011,11,1) + TIME(0,42,30)</f>
        <v>40848.029513888891</v>
      </c>
      <c r="C1172">
        <v>80</v>
      </c>
      <c r="D1172">
        <v>79.946441649999997</v>
      </c>
      <c r="E1172">
        <v>50</v>
      </c>
      <c r="F1172">
        <v>58.721824646000002</v>
      </c>
      <c r="G1172">
        <v>1332.0612793</v>
      </c>
      <c r="H1172">
        <v>1331.3179932</v>
      </c>
      <c r="I1172">
        <v>1335.7543945</v>
      </c>
      <c r="J1172">
        <v>1333.3176269999999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549.05996100000004</v>
      </c>
      <c r="B1173" s="1">
        <f>DATE(2011,11,1) + TIME(1,26,20)</f>
        <v>40848.059953703705</v>
      </c>
      <c r="C1173">
        <v>80</v>
      </c>
      <c r="D1173">
        <v>79.939933776999993</v>
      </c>
      <c r="E1173">
        <v>50</v>
      </c>
      <c r="F1173">
        <v>58.256839751999998</v>
      </c>
      <c r="G1173">
        <v>1331.3969727000001</v>
      </c>
      <c r="H1173">
        <v>1330.6005858999999</v>
      </c>
      <c r="I1173">
        <v>1336.7390137</v>
      </c>
      <c r="J1173">
        <v>1334.2631836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549.09267299999999</v>
      </c>
      <c r="B1174" s="1">
        <f>DATE(2011,11,1) + TIME(2,13,26)</f>
        <v>40848.092662037037</v>
      </c>
      <c r="C1174">
        <v>80</v>
      </c>
      <c r="D1174">
        <v>79.933845520000006</v>
      </c>
      <c r="E1174">
        <v>50</v>
      </c>
      <c r="F1174">
        <v>57.783176421999997</v>
      </c>
      <c r="G1174">
        <v>1330.9921875</v>
      </c>
      <c r="H1174">
        <v>1330.1634521000001</v>
      </c>
      <c r="I1174">
        <v>1337.3137207</v>
      </c>
      <c r="J1174">
        <v>1334.8099365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549.12757299999998</v>
      </c>
      <c r="B1175" s="1">
        <f>DATE(2011,11,1) + TIME(3,3,42)</f>
        <v>40848.127569444441</v>
      </c>
      <c r="C1175">
        <v>80</v>
      </c>
      <c r="D1175">
        <v>79.927818298000005</v>
      </c>
      <c r="E1175">
        <v>50</v>
      </c>
      <c r="F1175">
        <v>57.308013916</v>
      </c>
      <c r="G1175">
        <v>1330.7181396000001</v>
      </c>
      <c r="H1175">
        <v>1329.8684082</v>
      </c>
      <c r="I1175">
        <v>1337.6877440999999</v>
      </c>
      <c r="J1175">
        <v>1335.1636963000001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549.16467899999998</v>
      </c>
      <c r="B1176" s="1">
        <f>DATE(2011,11,1) + TIME(3,57,8)</f>
        <v>40848.164675925924</v>
      </c>
      <c r="C1176">
        <v>80</v>
      </c>
      <c r="D1176">
        <v>79.921707153</v>
      </c>
      <c r="E1176">
        <v>50</v>
      </c>
      <c r="F1176">
        <v>56.835956572999997</v>
      </c>
      <c r="G1176">
        <v>1330.5196533000001</v>
      </c>
      <c r="H1176">
        <v>1329.6556396000001</v>
      </c>
      <c r="I1176">
        <v>1337.9475098</v>
      </c>
      <c r="J1176">
        <v>1335.4083252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549.20405800000003</v>
      </c>
      <c r="B1177" s="1">
        <f>DATE(2011,11,1) + TIME(4,53,50)</f>
        <v>40848.204050925924</v>
      </c>
      <c r="C1177">
        <v>80</v>
      </c>
      <c r="D1177">
        <v>79.915428161999998</v>
      </c>
      <c r="E1177">
        <v>50</v>
      </c>
      <c r="F1177">
        <v>56.370304107999999</v>
      </c>
      <c r="G1177">
        <v>1330.3688964999999</v>
      </c>
      <c r="H1177">
        <v>1329.4946289</v>
      </c>
      <c r="I1177">
        <v>1338.1354980000001</v>
      </c>
      <c r="J1177">
        <v>1335.5849608999999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549.24582099999998</v>
      </c>
      <c r="B1178" s="1">
        <f>DATE(2011,11,1) + TIME(5,53,58)</f>
        <v>40848.245810185188</v>
      </c>
      <c r="C1178">
        <v>80</v>
      </c>
      <c r="D1178">
        <v>79.908927917</v>
      </c>
      <c r="E1178">
        <v>50</v>
      </c>
      <c r="F1178">
        <v>55.913490295000003</v>
      </c>
      <c r="G1178">
        <v>1330.25</v>
      </c>
      <c r="H1178">
        <v>1329.3681641000001</v>
      </c>
      <c r="I1178">
        <v>1338.2756348</v>
      </c>
      <c r="J1178">
        <v>1335.7163086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549.290119</v>
      </c>
      <c r="B1179" s="1">
        <f>DATE(2011,11,1) + TIME(6,57,46)</f>
        <v>40848.29011574074</v>
      </c>
      <c r="C1179">
        <v>80</v>
      </c>
      <c r="D1179">
        <v>79.902160644999995</v>
      </c>
      <c r="E1179">
        <v>50</v>
      </c>
      <c r="F1179">
        <v>55.467353821000003</v>
      </c>
      <c r="G1179">
        <v>1330.1535644999999</v>
      </c>
      <c r="H1179">
        <v>1329.2657471</v>
      </c>
      <c r="I1179">
        <v>1338.3819579999999</v>
      </c>
      <c r="J1179">
        <v>1335.8155518000001</v>
      </c>
      <c r="K1179">
        <v>0</v>
      </c>
      <c r="L1179">
        <v>2400</v>
      </c>
      <c r="M1179">
        <v>2400</v>
      </c>
      <c r="N1179">
        <v>0</v>
      </c>
    </row>
    <row r="1180" spans="1:14" x14ac:dyDescent="0.25">
      <c r="A1180">
        <v>549.33711500000004</v>
      </c>
      <c r="B1180" s="1">
        <f>DATE(2011,11,1) + TIME(8,5,26)</f>
        <v>40848.337106481478</v>
      </c>
      <c r="C1180">
        <v>80</v>
      </c>
      <c r="D1180">
        <v>79.895103454999997</v>
      </c>
      <c r="E1180">
        <v>50</v>
      </c>
      <c r="F1180">
        <v>55.033531189000001</v>
      </c>
      <c r="G1180">
        <v>1330.0734863</v>
      </c>
      <c r="H1180">
        <v>1329.1807861</v>
      </c>
      <c r="I1180">
        <v>1338.463501</v>
      </c>
      <c r="J1180">
        <v>1335.8912353999999</v>
      </c>
      <c r="K1180">
        <v>0</v>
      </c>
      <c r="L1180">
        <v>2400</v>
      </c>
      <c r="M1180">
        <v>2400</v>
      </c>
      <c r="N1180">
        <v>0</v>
      </c>
    </row>
    <row r="1181" spans="1:14" x14ac:dyDescent="0.25">
      <c r="A1181">
        <v>549.38705700000003</v>
      </c>
      <c r="B1181" s="1">
        <f>DATE(2011,11,1) + TIME(9,17,21)</f>
        <v>40848.387048611112</v>
      </c>
      <c r="C1181">
        <v>80</v>
      </c>
      <c r="D1181">
        <v>79.887718200999998</v>
      </c>
      <c r="E1181">
        <v>50</v>
      </c>
      <c r="F1181">
        <v>54.612987517999997</v>
      </c>
      <c r="G1181">
        <v>1330.0059814000001</v>
      </c>
      <c r="H1181">
        <v>1329.1087646000001</v>
      </c>
      <c r="I1181">
        <v>1338.5262451000001</v>
      </c>
      <c r="J1181">
        <v>1335.9492187999999</v>
      </c>
      <c r="K1181">
        <v>0</v>
      </c>
      <c r="L1181">
        <v>2400</v>
      </c>
      <c r="M1181">
        <v>2400</v>
      </c>
      <c r="N1181">
        <v>0</v>
      </c>
    </row>
    <row r="1182" spans="1:14" x14ac:dyDescent="0.25">
      <c r="A1182">
        <v>549.44021199999997</v>
      </c>
      <c r="B1182" s="1">
        <f>DATE(2011,11,1) + TIME(10,33,54)</f>
        <v>40848.440208333333</v>
      </c>
      <c r="C1182">
        <v>80</v>
      </c>
      <c r="D1182">
        <v>79.879966736</v>
      </c>
      <c r="E1182">
        <v>50</v>
      </c>
      <c r="F1182">
        <v>54.206710815000001</v>
      </c>
      <c r="G1182">
        <v>1329.9479980000001</v>
      </c>
      <c r="H1182">
        <v>1329.0469971</v>
      </c>
      <c r="I1182">
        <v>1338.5742187999999</v>
      </c>
      <c r="J1182">
        <v>1335.9932861</v>
      </c>
      <c r="K1182">
        <v>0</v>
      </c>
      <c r="L1182">
        <v>2400</v>
      </c>
      <c r="M1182">
        <v>2400</v>
      </c>
      <c r="N1182">
        <v>0</v>
      </c>
    </row>
    <row r="1183" spans="1:14" x14ac:dyDescent="0.25">
      <c r="A1183">
        <v>549.496894</v>
      </c>
      <c r="B1183" s="1">
        <f>DATE(2011,11,1) + TIME(11,55,31)</f>
        <v>40848.496886574074</v>
      </c>
      <c r="C1183">
        <v>80</v>
      </c>
      <c r="D1183">
        <v>79.871810913000004</v>
      </c>
      <c r="E1183">
        <v>50</v>
      </c>
      <c r="F1183">
        <v>53.815574646000002</v>
      </c>
      <c r="G1183">
        <v>1329.8977050999999</v>
      </c>
      <c r="H1183">
        <v>1328.9930420000001</v>
      </c>
      <c r="I1183">
        <v>1338.6107178</v>
      </c>
      <c r="J1183">
        <v>1336.0261230000001</v>
      </c>
      <c r="K1183">
        <v>0</v>
      </c>
      <c r="L1183">
        <v>2400</v>
      </c>
      <c r="M1183">
        <v>2400</v>
      </c>
      <c r="N1183">
        <v>0</v>
      </c>
    </row>
    <row r="1184" spans="1:14" x14ac:dyDescent="0.25">
      <c r="A1184">
        <v>549.55653700000005</v>
      </c>
      <c r="B1184" s="1">
        <f>DATE(2011,11,1) + TIME(13,21,24)</f>
        <v>40848.556527777779</v>
      </c>
      <c r="C1184">
        <v>80</v>
      </c>
      <c r="D1184">
        <v>79.863342285000002</v>
      </c>
      <c r="E1184">
        <v>50</v>
      </c>
      <c r="F1184">
        <v>53.445537567000002</v>
      </c>
      <c r="G1184">
        <v>1329.854126</v>
      </c>
      <c r="H1184">
        <v>1328.9460449000001</v>
      </c>
      <c r="I1184">
        <v>1338.6376952999999</v>
      </c>
      <c r="J1184">
        <v>1336.0500488</v>
      </c>
      <c r="K1184">
        <v>0</v>
      </c>
      <c r="L1184">
        <v>2400</v>
      </c>
      <c r="M1184">
        <v>2400</v>
      </c>
      <c r="N1184">
        <v>0</v>
      </c>
    </row>
    <row r="1185" spans="1:14" x14ac:dyDescent="0.25">
      <c r="A1185">
        <v>549.61908500000004</v>
      </c>
      <c r="B1185" s="1">
        <f>DATE(2011,11,1) + TIME(14,51,28)</f>
        <v>40848.619074074071</v>
      </c>
      <c r="C1185">
        <v>80</v>
      </c>
      <c r="D1185">
        <v>79.854560852000006</v>
      </c>
      <c r="E1185">
        <v>50</v>
      </c>
      <c r="F1185">
        <v>53.098041533999996</v>
      </c>
      <c r="G1185">
        <v>1329.8162841999999</v>
      </c>
      <c r="H1185">
        <v>1328.9049072</v>
      </c>
      <c r="I1185">
        <v>1338.6571045000001</v>
      </c>
      <c r="J1185">
        <v>1336.0666504000001</v>
      </c>
      <c r="K1185">
        <v>0</v>
      </c>
      <c r="L1185">
        <v>2400</v>
      </c>
      <c r="M1185">
        <v>2400</v>
      </c>
      <c r="N1185">
        <v>0</v>
      </c>
    </row>
    <row r="1186" spans="1:14" x14ac:dyDescent="0.25">
      <c r="A1186">
        <v>549.68481699999995</v>
      </c>
      <c r="B1186" s="1">
        <f>DATE(2011,11,1) + TIME(16,26,8)</f>
        <v>40848.684814814813</v>
      </c>
      <c r="C1186">
        <v>80</v>
      </c>
      <c r="D1186">
        <v>79.845436096</v>
      </c>
      <c r="E1186">
        <v>50</v>
      </c>
      <c r="F1186">
        <v>52.772453308000003</v>
      </c>
      <c r="G1186">
        <v>1329.7829589999999</v>
      </c>
      <c r="H1186">
        <v>1328.8684082</v>
      </c>
      <c r="I1186">
        <v>1338.6705322</v>
      </c>
      <c r="J1186">
        <v>1336.0775146000001</v>
      </c>
      <c r="K1186">
        <v>0</v>
      </c>
      <c r="L1186">
        <v>2400</v>
      </c>
      <c r="M1186">
        <v>2400</v>
      </c>
      <c r="N1186">
        <v>0</v>
      </c>
    </row>
    <row r="1187" spans="1:14" x14ac:dyDescent="0.25">
      <c r="A1187">
        <v>549.75405699999999</v>
      </c>
      <c r="B1187" s="1">
        <f>DATE(2011,11,1) + TIME(18,5,50)</f>
        <v>40848.754050925927</v>
      </c>
      <c r="C1187">
        <v>80</v>
      </c>
      <c r="D1187">
        <v>79.8359375</v>
      </c>
      <c r="E1187">
        <v>50</v>
      </c>
      <c r="F1187">
        <v>52.468166351000001</v>
      </c>
      <c r="G1187">
        <v>1329.753418</v>
      </c>
      <c r="H1187">
        <v>1328.8356934000001</v>
      </c>
      <c r="I1187">
        <v>1338.6791992000001</v>
      </c>
      <c r="J1187">
        <v>1336.0838623</v>
      </c>
      <c r="K1187">
        <v>0</v>
      </c>
      <c r="L1187">
        <v>2400</v>
      </c>
      <c r="M1187">
        <v>2400</v>
      </c>
      <c r="N1187">
        <v>0</v>
      </c>
    </row>
    <row r="1188" spans="1:14" x14ac:dyDescent="0.25">
      <c r="A1188">
        <v>549.82719399999996</v>
      </c>
      <c r="B1188" s="1">
        <f>DATE(2011,11,1) + TIME(19,51,9)</f>
        <v>40848.827187499999</v>
      </c>
      <c r="C1188">
        <v>80</v>
      </c>
      <c r="D1188">
        <v>79.826026916999993</v>
      </c>
      <c r="E1188">
        <v>50</v>
      </c>
      <c r="F1188">
        <v>52.184532165999997</v>
      </c>
      <c r="G1188">
        <v>1329.7270507999999</v>
      </c>
      <c r="H1188">
        <v>1328.8061522999999</v>
      </c>
      <c r="I1188">
        <v>1338.6842041</v>
      </c>
      <c r="J1188">
        <v>1336.0867920000001</v>
      </c>
      <c r="K1188">
        <v>0</v>
      </c>
      <c r="L1188">
        <v>2400</v>
      </c>
      <c r="M1188">
        <v>2400</v>
      </c>
      <c r="N1188">
        <v>0</v>
      </c>
    </row>
    <row r="1189" spans="1:14" x14ac:dyDescent="0.25">
      <c r="A1189">
        <v>549.90467100000001</v>
      </c>
      <c r="B1189" s="1">
        <f>DATE(2011,11,1) + TIME(21,42,43)</f>
        <v>40848.904664351852</v>
      </c>
      <c r="C1189">
        <v>80</v>
      </c>
      <c r="D1189">
        <v>79.815643311000002</v>
      </c>
      <c r="E1189">
        <v>50</v>
      </c>
      <c r="F1189">
        <v>51.920974731000001</v>
      </c>
      <c r="G1189">
        <v>1329.7032471</v>
      </c>
      <c r="H1189">
        <v>1328.7791748</v>
      </c>
      <c r="I1189">
        <v>1338.6864014</v>
      </c>
      <c r="J1189">
        <v>1336.0871582</v>
      </c>
      <c r="K1189">
        <v>0</v>
      </c>
      <c r="L1189">
        <v>2400</v>
      </c>
      <c r="M1189">
        <v>2400</v>
      </c>
      <c r="N1189">
        <v>0</v>
      </c>
    </row>
    <row r="1190" spans="1:14" x14ac:dyDescent="0.25">
      <c r="A1190">
        <v>549.98700799999995</v>
      </c>
      <c r="B1190" s="1">
        <f>DATE(2011,11,1) + TIME(23,41,17)</f>
        <v>40848.987002314818</v>
      </c>
      <c r="C1190">
        <v>80</v>
      </c>
      <c r="D1190">
        <v>79.804748535000002</v>
      </c>
      <c r="E1190">
        <v>50</v>
      </c>
      <c r="F1190">
        <v>51.676952362000002</v>
      </c>
      <c r="G1190">
        <v>1329.6815185999999</v>
      </c>
      <c r="H1190">
        <v>1328.7542725000001</v>
      </c>
      <c r="I1190">
        <v>1338.6865233999999</v>
      </c>
      <c r="J1190">
        <v>1336.0855713000001</v>
      </c>
      <c r="K1190">
        <v>0</v>
      </c>
      <c r="L1190">
        <v>2400</v>
      </c>
      <c r="M1190">
        <v>2400</v>
      </c>
      <c r="N1190">
        <v>0</v>
      </c>
    </row>
    <row r="1191" spans="1:14" x14ac:dyDescent="0.25">
      <c r="A1191">
        <v>550.07481800000005</v>
      </c>
      <c r="B1191" s="1">
        <f>DATE(2011,11,2) + TIME(1,47,44)</f>
        <v>40849.074814814812</v>
      </c>
      <c r="C1191">
        <v>80</v>
      </c>
      <c r="D1191">
        <v>79.793266295999999</v>
      </c>
      <c r="E1191">
        <v>50</v>
      </c>
      <c r="F1191">
        <v>51.451938628999997</v>
      </c>
      <c r="G1191">
        <v>1329.6617432</v>
      </c>
      <c r="H1191">
        <v>1328.7312012</v>
      </c>
      <c r="I1191">
        <v>1338.6853027</v>
      </c>
      <c r="J1191">
        <v>1336.0826416</v>
      </c>
      <c r="K1191">
        <v>0</v>
      </c>
      <c r="L1191">
        <v>2400</v>
      </c>
      <c r="M1191">
        <v>2400</v>
      </c>
      <c r="N1191">
        <v>0</v>
      </c>
    </row>
    <row r="1192" spans="1:14" x14ac:dyDescent="0.25">
      <c r="A1192">
        <v>550.16883299999995</v>
      </c>
      <c r="B1192" s="1">
        <f>DATE(2011,11,2) + TIME(4,3,7)</f>
        <v>40849.16883101852</v>
      </c>
      <c r="C1192">
        <v>80</v>
      </c>
      <c r="D1192">
        <v>79.781127929999997</v>
      </c>
      <c r="E1192">
        <v>50</v>
      </c>
      <c r="F1192">
        <v>51.245433806999998</v>
      </c>
      <c r="G1192">
        <v>1329.6433105000001</v>
      </c>
      <c r="H1192">
        <v>1328.7094727000001</v>
      </c>
      <c r="I1192">
        <v>1338.6829834</v>
      </c>
      <c r="J1192">
        <v>1336.0788574000001</v>
      </c>
      <c r="K1192">
        <v>0</v>
      </c>
      <c r="L1192">
        <v>2400</v>
      </c>
      <c r="M1192">
        <v>2400</v>
      </c>
      <c r="N1192">
        <v>0</v>
      </c>
    </row>
    <row r="1193" spans="1:14" x14ac:dyDescent="0.25">
      <c r="A1193">
        <v>550.26993200000004</v>
      </c>
      <c r="B1193" s="1">
        <f>DATE(2011,11,2) + TIME(6,28,42)</f>
        <v>40849.269930555558</v>
      </c>
      <c r="C1193">
        <v>80</v>
      </c>
      <c r="D1193">
        <v>79.768249511999997</v>
      </c>
      <c r="E1193">
        <v>50</v>
      </c>
      <c r="F1193">
        <v>51.056949615000001</v>
      </c>
      <c r="G1193">
        <v>1329.6260986</v>
      </c>
      <c r="H1193">
        <v>1328.6888428</v>
      </c>
      <c r="I1193">
        <v>1338.6800536999999</v>
      </c>
      <c r="J1193">
        <v>1336.0745850000001</v>
      </c>
      <c r="K1193">
        <v>0</v>
      </c>
      <c r="L1193">
        <v>2400</v>
      </c>
      <c r="M1193">
        <v>2400</v>
      </c>
      <c r="N1193">
        <v>0</v>
      </c>
    </row>
    <row r="1194" spans="1:14" x14ac:dyDescent="0.25">
      <c r="A1194">
        <v>550.37918100000002</v>
      </c>
      <c r="B1194" s="1">
        <f>DATE(2011,11,2) + TIME(9,6,1)</f>
        <v>40849.379178240742</v>
      </c>
      <c r="C1194">
        <v>80</v>
      </c>
      <c r="D1194">
        <v>79.754508971999996</v>
      </c>
      <c r="E1194">
        <v>50</v>
      </c>
      <c r="F1194">
        <v>50.886005402000002</v>
      </c>
      <c r="G1194">
        <v>1329.6099853999999</v>
      </c>
      <c r="H1194">
        <v>1328.6690673999999</v>
      </c>
      <c r="I1194">
        <v>1338.6767577999999</v>
      </c>
      <c r="J1194">
        <v>1336.0701904</v>
      </c>
      <c r="K1194">
        <v>0</v>
      </c>
      <c r="L1194">
        <v>2400</v>
      </c>
      <c r="M1194">
        <v>2400</v>
      </c>
      <c r="N1194">
        <v>0</v>
      </c>
    </row>
    <row r="1195" spans="1:14" x14ac:dyDescent="0.25">
      <c r="A1195">
        <v>550.49789699999997</v>
      </c>
      <c r="B1195" s="1">
        <f>DATE(2011,11,2) + TIME(11,56,58)</f>
        <v>40849.497893518521</v>
      </c>
      <c r="C1195">
        <v>80</v>
      </c>
      <c r="D1195">
        <v>79.739799500000004</v>
      </c>
      <c r="E1195">
        <v>50</v>
      </c>
      <c r="F1195">
        <v>50.732116699000002</v>
      </c>
      <c r="G1195">
        <v>1329.5944824000001</v>
      </c>
      <c r="H1195">
        <v>1328.6499022999999</v>
      </c>
      <c r="I1195">
        <v>1338.6733397999999</v>
      </c>
      <c r="J1195">
        <v>1336.0657959</v>
      </c>
      <c r="K1195">
        <v>0</v>
      </c>
      <c r="L1195">
        <v>2400</v>
      </c>
      <c r="M1195">
        <v>2400</v>
      </c>
      <c r="N1195">
        <v>0</v>
      </c>
    </row>
    <row r="1196" spans="1:14" x14ac:dyDescent="0.25">
      <c r="A1196">
        <v>550.62772199999995</v>
      </c>
      <c r="B1196" s="1">
        <f>DATE(2011,11,2) + TIME(15,3,55)</f>
        <v>40849.62771990741</v>
      </c>
      <c r="C1196">
        <v>80</v>
      </c>
      <c r="D1196">
        <v>79.723945618000002</v>
      </c>
      <c r="E1196">
        <v>50</v>
      </c>
      <c r="F1196">
        <v>50.594787598000003</v>
      </c>
      <c r="G1196">
        <v>1329.5795897999999</v>
      </c>
      <c r="H1196">
        <v>1328.6311035000001</v>
      </c>
      <c r="I1196">
        <v>1338.6699219</v>
      </c>
      <c r="J1196">
        <v>1336.0616454999999</v>
      </c>
      <c r="K1196">
        <v>0</v>
      </c>
      <c r="L1196">
        <v>2400</v>
      </c>
      <c r="M1196">
        <v>2400</v>
      </c>
      <c r="N1196">
        <v>0</v>
      </c>
    </row>
    <row r="1197" spans="1:14" x14ac:dyDescent="0.25">
      <c r="A1197">
        <v>550.77036699999996</v>
      </c>
      <c r="B1197" s="1">
        <f>DATE(2011,11,2) + TIME(18,29,19)</f>
        <v>40849.770358796297</v>
      </c>
      <c r="C1197">
        <v>80</v>
      </c>
      <c r="D1197">
        <v>79.706802367999998</v>
      </c>
      <c r="E1197">
        <v>50</v>
      </c>
      <c r="F1197">
        <v>50.473751067999999</v>
      </c>
      <c r="G1197">
        <v>1329.5650635</v>
      </c>
      <c r="H1197">
        <v>1328.6124268000001</v>
      </c>
      <c r="I1197">
        <v>1338.6665039</v>
      </c>
      <c r="J1197">
        <v>1336.0578613</v>
      </c>
      <c r="K1197">
        <v>0</v>
      </c>
      <c r="L1197">
        <v>2400</v>
      </c>
      <c r="M1197">
        <v>2400</v>
      </c>
      <c r="N1197">
        <v>0</v>
      </c>
    </row>
    <row r="1198" spans="1:14" x14ac:dyDescent="0.25">
      <c r="A1198">
        <v>550.92071799999997</v>
      </c>
      <c r="B1198" s="1">
        <f>DATE(2011,11,2) + TIME(22,5,49)</f>
        <v>40849.920706018522</v>
      </c>
      <c r="C1198">
        <v>80</v>
      </c>
      <c r="D1198">
        <v>79.688911438000005</v>
      </c>
      <c r="E1198">
        <v>50</v>
      </c>
      <c r="F1198">
        <v>50.37241745</v>
      </c>
      <c r="G1198">
        <v>1329.5509033000001</v>
      </c>
      <c r="H1198">
        <v>1328.5939940999999</v>
      </c>
      <c r="I1198">
        <v>1338.6641846</v>
      </c>
      <c r="J1198">
        <v>1336.0550536999999</v>
      </c>
      <c r="K1198">
        <v>0</v>
      </c>
      <c r="L1198">
        <v>2400</v>
      </c>
      <c r="M1198">
        <v>2400</v>
      </c>
      <c r="N1198">
        <v>0</v>
      </c>
    </row>
    <row r="1199" spans="1:14" x14ac:dyDescent="0.25">
      <c r="A1199">
        <v>551.07504500000005</v>
      </c>
      <c r="B1199" s="1">
        <f>DATE(2011,11,3) + TIME(1,48,3)</f>
        <v>40850.07503472222</v>
      </c>
      <c r="C1199">
        <v>80</v>
      </c>
      <c r="D1199">
        <v>79.670669556000007</v>
      </c>
      <c r="E1199">
        <v>50</v>
      </c>
      <c r="F1199">
        <v>50.290184021000002</v>
      </c>
      <c r="G1199">
        <v>1329.5374756000001</v>
      </c>
      <c r="H1199">
        <v>1328.5762939000001</v>
      </c>
      <c r="I1199">
        <v>1338.6622314000001</v>
      </c>
      <c r="J1199">
        <v>1336.0529785000001</v>
      </c>
      <c r="K1199">
        <v>0</v>
      </c>
      <c r="L1199">
        <v>2400</v>
      </c>
      <c r="M1199">
        <v>2400</v>
      </c>
      <c r="N1199">
        <v>0</v>
      </c>
    </row>
    <row r="1200" spans="1:14" x14ac:dyDescent="0.25">
      <c r="A1200">
        <v>551.23381500000005</v>
      </c>
      <c r="B1200" s="1">
        <f>DATE(2011,11,3) + TIME(5,36,41)</f>
        <v>40850.233807870369</v>
      </c>
      <c r="C1200">
        <v>80</v>
      </c>
      <c r="D1200">
        <v>79.652023314999994</v>
      </c>
      <c r="E1200">
        <v>50</v>
      </c>
      <c r="F1200">
        <v>50.223659515000001</v>
      </c>
      <c r="G1200">
        <v>1329.5246582</v>
      </c>
      <c r="H1200">
        <v>1328.559082</v>
      </c>
      <c r="I1200">
        <v>1338.6601562000001</v>
      </c>
      <c r="J1200">
        <v>1336.0510254000001</v>
      </c>
      <c r="K1200">
        <v>0</v>
      </c>
      <c r="L1200">
        <v>2400</v>
      </c>
      <c r="M1200">
        <v>2400</v>
      </c>
      <c r="N1200">
        <v>0</v>
      </c>
    </row>
    <row r="1201" spans="1:14" x14ac:dyDescent="0.25">
      <c r="A1201">
        <v>551.39733200000001</v>
      </c>
      <c r="B1201" s="1">
        <f>DATE(2011,11,3) + TIME(9,32,9)</f>
        <v>40850.397326388891</v>
      </c>
      <c r="C1201">
        <v>80</v>
      </c>
      <c r="D1201">
        <v>79.632949828999998</v>
      </c>
      <c r="E1201">
        <v>50</v>
      </c>
      <c r="F1201">
        <v>50.170089722</v>
      </c>
      <c r="G1201">
        <v>1329.512207</v>
      </c>
      <c r="H1201">
        <v>1328.5422363</v>
      </c>
      <c r="I1201">
        <v>1338.6579589999999</v>
      </c>
      <c r="J1201">
        <v>1336.0493164</v>
      </c>
      <c r="K1201">
        <v>0</v>
      </c>
      <c r="L1201">
        <v>2400</v>
      </c>
      <c r="M1201">
        <v>2400</v>
      </c>
      <c r="N1201">
        <v>0</v>
      </c>
    </row>
    <row r="1202" spans="1:14" x14ac:dyDescent="0.25">
      <c r="A1202">
        <v>551.56592899999998</v>
      </c>
      <c r="B1202" s="1">
        <f>DATE(2011,11,3) + TIME(13,34,56)</f>
        <v>40850.565925925926</v>
      </c>
      <c r="C1202">
        <v>80</v>
      </c>
      <c r="D1202">
        <v>79.613410950000002</v>
      </c>
      <c r="E1202">
        <v>50</v>
      </c>
      <c r="F1202">
        <v>50.127174377000003</v>
      </c>
      <c r="G1202">
        <v>1329.5001221</v>
      </c>
      <c r="H1202">
        <v>1328.5257568</v>
      </c>
      <c r="I1202">
        <v>1338.6555175999999</v>
      </c>
      <c r="J1202">
        <v>1336.0477295000001</v>
      </c>
      <c r="K1202">
        <v>0</v>
      </c>
      <c r="L1202">
        <v>2400</v>
      </c>
      <c r="M1202">
        <v>2400</v>
      </c>
      <c r="N1202">
        <v>0</v>
      </c>
    </row>
    <row r="1203" spans="1:14" x14ac:dyDescent="0.25">
      <c r="A1203">
        <v>551.739958</v>
      </c>
      <c r="B1203" s="1">
        <f>DATE(2011,11,3) + TIME(17,45,32)</f>
        <v>40850.739953703705</v>
      </c>
      <c r="C1203">
        <v>80</v>
      </c>
      <c r="D1203">
        <v>79.593383789000001</v>
      </c>
      <c r="E1203">
        <v>50</v>
      </c>
      <c r="F1203">
        <v>50.092971802000001</v>
      </c>
      <c r="G1203">
        <v>1329.4882812000001</v>
      </c>
      <c r="H1203">
        <v>1328.5095214999999</v>
      </c>
      <c r="I1203">
        <v>1338.652832</v>
      </c>
      <c r="J1203">
        <v>1336.0460204999999</v>
      </c>
      <c r="K1203">
        <v>0</v>
      </c>
      <c r="L1203">
        <v>2400</v>
      </c>
      <c r="M1203">
        <v>2400</v>
      </c>
      <c r="N1203">
        <v>0</v>
      </c>
    </row>
    <row r="1204" spans="1:14" x14ac:dyDescent="0.25">
      <c r="A1204">
        <v>551.91979900000001</v>
      </c>
      <c r="B1204" s="1">
        <f>DATE(2011,11,3) + TIME(22,4,30)</f>
        <v>40850.919791666667</v>
      </c>
      <c r="C1204">
        <v>80</v>
      </c>
      <c r="D1204">
        <v>79.572814941000004</v>
      </c>
      <c r="E1204">
        <v>50</v>
      </c>
      <c r="F1204">
        <v>50.065872192</v>
      </c>
      <c r="G1204">
        <v>1329.4765625</v>
      </c>
      <c r="H1204">
        <v>1328.4932861</v>
      </c>
      <c r="I1204">
        <v>1338.6499022999999</v>
      </c>
      <c r="J1204">
        <v>1336.0444336</v>
      </c>
      <c r="K1204">
        <v>0</v>
      </c>
      <c r="L1204">
        <v>2400</v>
      </c>
      <c r="M1204">
        <v>2400</v>
      </c>
      <c r="N1204">
        <v>0</v>
      </c>
    </row>
    <row r="1205" spans="1:14" x14ac:dyDescent="0.25">
      <c r="A1205">
        <v>552.10586000000001</v>
      </c>
      <c r="B1205" s="1">
        <f>DATE(2011,11,4) + TIME(2,32,26)</f>
        <v>40851.105856481481</v>
      </c>
      <c r="C1205">
        <v>80</v>
      </c>
      <c r="D1205">
        <v>79.551689147999994</v>
      </c>
      <c r="E1205">
        <v>50</v>
      </c>
      <c r="F1205">
        <v>50.044528960999997</v>
      </c>
      <c r="G1205">
        <v>1329.4648437999999</v>
      </c>
      <c r="H1205">
        <v>1328.4770507999999</v>
      </c>
      <c r="I1205">
        <v>1338.6467285000001</v>
      </c>
      <c r="J1205">
        <v>1336.0426024999999</v>
      </c>
      <c r="K1205">
        <v>0</v>
      </c>
      <c r="L1205">
        <v>2400</v>
      </c>
      <c r="M1205">
        <v>2400</v>
      </c>
      <c r="N1205">
        <v>0</v>
      </c>
    </row>
    <row r="1206" spans="1:14" x14ac:dyDescent="0.25">
      <c r="A1206">
        <v>552.29858000000002</v>
      </c>
      <c r="B1206" s="1">
        <f>DATE(2011,11,4) + TIME(7,9,57)</f>
        <v>40851.298576388886</v>
      </c>
      <c r="C1206">
        <v>80</v>
      </c>
      <c r="D1206">
        <v>79.529953003000003</v>
      </c>
      <c r="E1206">
        <v>50</v>
      </c>
      <c r="F1206">
        <v>50.027828217</v>
      </c>
      <c r="G1206">
        <v>1329.4530029</v>
      </c>
      <c r="H1206">
        <v>1328.4606934000001</v>
      </c>
      <c r="I1206">
        <v>1338.6431885</v>
      </c>
      <c r="J1206">
        <v>1336.0407714999999</v>
      </c>
      <c r="K1206">
        <v>0</v>
      </c>
      <c r="L1206">
        <v>2400</v>
      </c>
      <c r="M1206">
        <v>2400</v>
      </c>
      <c r="N1206">
        <v>0</v>
      </c>
    </row>
    <row r="1207" spans="1:14" x14ac:dyDescent="0.25">
      <c r="A1207">
        <v>552.49843699999997</v>
      </c>
      <c r="B1207" s="1">
        <f>DATE(2011,11,4) + TIME(11,57,44)</f>
        <v>40851.498425925929</v>
      </c>
      <c r="C1207">
        <v>80</v>
      </c>
      <c r="D1207">
        <v>79.507568359000004</v>
      </c>
      <c r="E1207">
        <v>50</v>
      </c>
      <c r="F1207">
        <v>50.014846802000001</v>
      </c>
      <c r="G1207">
        <v>1329.4411620999999</v>
      </c>
      <c r="H1207">
        <v>1328.4440918</v>
      </c>
      <c r="I1207">
        <v>1338.6392822</v>
      </c>
      <c r="J1207">
        <v>1336.0386963000001</v>
      </c>
      <c r="K1207">
        <v>0</v>
      </c>
      <c r="L1207">
        <v>2400</v>
      </c>
      <c r="M1207">
        <v>2400</v>
      </c>
      <c r="N1207">
        <v>0</v>
      </c>
    </row>
    <row r="1208" spans="1:14" x14ac:dyDescent="0.25">
      <c r="A1208">
        <v>552.70595100000003</v>
      </c>
      <c r="B1208" s="1">
        <f>DATE(2011,11,4) + TIME(16,56,34)</f>
        <v>40851.705949074072</v>
      </c>
      <c r="C1208">
        <v>80</v>
      </c>
      <c r="D1208">
        <v>79.484481811999999</v>
      </c>
      <c r="E1208">
        <v>50</v>
      </c>
      <c r="F1208">
        <v>50.004825592000003</v>
      </c>
      <c r="G1208">
        <v>1329.4291992000001</v>
      </c>
      <c r="H1208">
        <v>1328.4273682</v>
      </c>
      <c r="I1208">
        <v>1338.6351318</v>
      </c>
      <c r="J1208">
        <v>1336.0363769999999</v>
      </c>
      <c r="K1208">
        <v>0</v>
      </c>
      <c r="L1208">
        <v>2400</v>
      </c>
      <c r="M1208">
        <v>2400</v>
      </c>
      <c r="N1208">
        <v>0</v>
      </c>
    </row>
    <row r="1209" spans="1:14" x14ac:dyDescent="0.25">
      <c r="A1209">
        <v>552.92159500000002</v>
      </c>
      <c r="B1209" s="1">
        <f>DATE(2011,11,4) + TIME(22,7,5)</f>
        <v>40851.921585648146</v>
      </c>
      <c r="C1209">
        <v>80</v>
      </c>
      <c r="D1209">
        <v>79.460670471</v>
      </c>
      <c r="E1209">
        <v>50</v>
      </c>
      <c r="F1209">
        <v>49.997150421000001</v>
      </c>
      <c r="G1209">
        <v>1329.4169922000001</v>
      </c>
      <c r="H1209">
        <v>1328.4104004000001</v>
      </c>
      <c r="I1209">
        <v>1338.6306152</v>
      </c>
      <c r="J1209">
        <v>1336.0340576000001</v>
      </c>
      <c r="K1209">
        <v>0</v>
      </c>
      <c r="L1209">
        <v>2400</v>
      </c>
      <c r="M1209">
        <v>2400</v>
      </c>
      <c r="N1209">
        <v>0</v>
      </c>
    </row>
    <row r="1210" spans="1:14" x14ac:dyDescent="0.25">
      <c r="A1210">
        <v>553.14606400000002</v>
      </c>
      <c r="B1210" s="1">
        <f>DATE(2011,11,5) + TIME(3,30,19)</f>
        <v>40852.146053240744</v>
      </c>
      <c r="C1210">
        <v>80</v>
      </c>
      <c r="D1210">
        <v>79.436065674000005</v>
      </c>
      <c r="E1210">
        <v>50</v>
      </c>
      <c r="F1210">
        <v>49.991306305000002</v>
      </c>
      <c r="G1210">
        <v>1329.4045410000001</v>
      </c>
      <c r="H1210">
        <v>1328.3930664</v>
      </c>
      <c r="I1210">
        <v>1338.6258545000001</v>
      </c>
      <c r="J1210">
        <v>1336.0314940999999</v>
      </c>
      <c r="K1210">
        <v>0</v>
      </c>
      <c r="L1210">
        <v>2400</v>
      </c>
      <c r="M1210">
        <v>2400</v>
      </c>
      <c r="N1210">
        <v>0</v>
      </c>
    </row>
    <row r="1211" spans="1:14" x14ac:dyDescent="0.25">
      <c r="A1211">
        <v>553.380043</v>
      </c>
      <c r="B1211" s="1">
        <f>DATE(2011,11,5) + TIME(9,7,15)</f>
        <v>40852.38003472222</v>
      </c>
      <c r="C1211">
        <v>80</v>
      </c>
      <c r="D1211">
        <v>79.410606384000005</v>
      </c>
      <c r="E1211">
        <v>50</v>
      </c>
      <c r="F1211">
        <v>49.986892699999999</v>
      </c>
      <c r="G1211">
        <v>1329.3918457</v>
      </c>
      <c r="H1211">
        <v>1328.3753661999999</v>
      </c>
      <c r="I1211">
        <v>1338.6207274999999</v>
      </c>
      <c r="J1211">
        <v>1336.0286865</v>
      </c>
      <c r="K1211">
        <v>0</v>
      </c>
      <c r="L1211">
        <v>2400</v>
      </c>
      <c r="M1211">
        <v>2400</v>
      </c>
      <c r="N1211">
        <v>0</v>
      </c>
    </row>
    <row r="1212" spans="1:14" x14ac:dyDescent="0.25">
      <c r="A1212">
        <v>553.62428299999999</v>
      </c>
      <c r="B1212" s="1">
        <f>DATE(2011,11,5) + TIME(14,58,58)</f>
        <v>40852.624282407407</v>
      </c>
      <c r="C1212">
        <v>80</v>
      </c>
      <c r="D1212">
        <v>79.384231567</v>
      </c>
      <c r="E1212">
        <v>50</v>
      </c>
      <c r="F1212">
        <v>49.983585357999999</v>
      </c>
      <c r="G1212">
        <v>1329.3789062000001</v>
      </c>
      <c r="H1212">
        <v>1328.3571777</v>
      </c>
      <c r="I1212">
        <v>1338.6153564000001</v>
      </c>
      <c r="J1212">
        <v>1336.0257568</v>
      </c>
      <c r="K1212">
        <v>0</v>
      </c>
      <c r="L1212">
        <v>2400</v>
      </c>
      <c r="M1212">
        <v>2400</v>
      </c>
      <c r="N1212">
        <v>0</v>
      </c>
    </row>
    <row r="1213" spans="1:14" x14ac:dyDescent="0.25">
      <c r="A1213">
        <v>553.87961099999995</v>
      </c>
      <c r="B1213" s="1">
        <f>DATE(2011,11,5) + TIME(21,6,38)</f>
        <v>40852.879606481481</v>
      </c>
      <c r="C1213">
        <v>80</v>
      </c>
      <c r="D1213">
        <v>79.356872558999996</v>
      </c>
      <c r="E1213">
        <v>50</v>
      </c>
      <c r="F1213">
        <v>49.981121063000003</v>
      </c>
      <c r="G1213">
        <v>1329.3654785000001</v>
      </c>
      <c r="H1213">
        <v>1328.338501</v>
      </c>
      <c r="I1213">
        <v>1338.6098632999999</v>
      </c>
      <c r="J1213">
        <v>1336.0227050999999</v>
      </c>
      <c r="K1213">
        <v>0</v>
      </c>
      <c r="L1213">
        <v>2400</v>
      </c>
      <c r="M1213">
        <v>2400</v>
      </c>
      <c r="N1213">
        <v>0</v>
      </c>
    </row>
    <row r="1214" spans="1:14" x14ac:dyDescent="0.25">
      <c r="A1214">
        <v>554.14694999999995</v>
      </c>
      <c r="B1214" s="1">
        <f>DATE(2011,11,6) + TIME(3,31,36)</f>
        <v>40853.146944444445</v>
      </c>
      <c r="C1214">
        <v>80</v>
      </c>
      <c r="D1214">
        <v>79.328460692999997</v>
      </c>
      <c r="E1214">
        <v>50</v>
      </c>
      <c r="F1214">
        <v>49.979301452999998</v>
      </c>
      <c r="G1214">
        <v>1329.3516846</v>
      </c>
      <c r="H1214">
        <v>1328.3192139</v>
      </c>
      <c r="I1214">
        <v>1338.6040039</v>
      </c>
      <c r="J1214">
        <v>1336.0194091999999</v>
      </c>
      <c r="K1214">
        <v>0</v>
      </c>
      <c r="L1214">
        <v>2400</v>
      </c>
      <c r="M1214">
        <v>2400</v>
      </c>
      <c r="N1214">
        <v>0</v>
      </c>
    </row>
    <row r="1215" spans="1:14" x14ac:dyDescent="0.25">
      <c r="A1215">
        <v>554.427324</v>
      </c>
      <c r="B1215" s="1">
        <f>DATE(2011,11,6) + TIME(10,15,20)</f>
        <v>40853.427314814813</v>
      </c>
      <c r="C1215">
        <v>80</v>
      </c>
      <c r="D1215">
        <v>79.298912048000005</v>
      </c>
      <c r="E1215">
        <v>50</v>
      </c>
      <c r="F1215">
        <v>49.977966309000003</v>
      </c>
      <c r="G1215">
        <v>1329.3375243999999</v>
      </c>
      <c r="H1215">
        <v>1328.2994385</v>
      </c>
      <c r="I1215">
        <v>1338.5980225000001</v>
      </c>
      <c r="J1215">
        <v>1336.0159911999999</v>
      </c>
      <c r="K1215">
        <v>0</v>
      </c>
      <c r="L1215">
        <v>2400</v>
      </c>
      <c r="M1215">
        <v>2400</v>
      </c>
      <c r="N1215">
        <v>0</v>
      </c>
    </row>
    <row r="1216" spans="1:14" x14ac:dyDescent="0.25">
      <c r="A1216">
        <v>554.72188200000005</v>
      </c>
      <c r="B1216" s="1">
        <f>DATE(2011,11,6) + TIME(17,19,30)</f>
        <v>40853.721875000003</v>
      </c>
      <c r="C1216">
        <v>80</v>
      </c>
      <c r="D1216">
        <v>79.268135071000003</v>
      </c>
      <c r="E1216">
        <v>50</v>
      </c>
      <c r="F1216">
        <v>49.976989746000001</v>
      </c>
      <c r="G1216">
        <v>1329.3227539</v>
      </c>
      <c r="H1216">
        <v>1328.2789307</v>
      </c>
      <c r="I1216">
        <v>1338.5917969</v>
      </c>
      <c r="J1216">
        <v>1336.0124512</v>
      </c>
      <c r="K1216">
        <v>0</v>
      </c>
      <c r="L1216">
        <v>2400</v>
      </c>
      <c r="M1216">
        <v>2400</v>
      </c>
      <c r="N1216">
        <v>0</v>
      </c>
    </row>
    <row r="1217" spans="1:14" x14ac:dyDescent="0.25">
      <c r="A1217">
        <v>555.03191300000003</v>
      </c>
      <c r="B1217" s="1">
        <f>DATE(2011,11,7) + TIME(0,45,57)</f>
        <v>40854.031909722224</v>
      </c>
      <c r="C1217">
        <v>80</v>
      </c>
      <c r="D1217">
        <v>79.236022949000002</v>
      </c>
      <c r="E1217">
        <v>50</v>
      </c>
      <c r="F1217">
        <v>49.976280211999999</v>
      </c>
      <c r="G1217">
        <v>1329.3074951000001</v>
      </c>
      <c r="H1217">
        <v>1328.2576904</v>
      </c>
      <c r="I1217">
        <v>1338.5853271000001</v>
      </c>
      <c r="J1217">
        <v>1336.0087891000001</v>
      </c>
      <c r="K1217">
        <v>0</v>
      </c>
      <c r="L1217">
        <v>2400</v>
      </c>
      <c r="M1217">
        <v>2400</v>
      </c>
      <c r="N1217">
        <v>0</v>
      </c>
    </row>
    <row r="1218" spans="1:14" x14ac:dyDescent="0.25">
      <c r="A1218">
        <v>555.35887100000002</v>
      </c>
      <c r="B1218" s="1">
        <f>DATE(2011,11,7) + TIME(8,36,46)</f>
        <v>40854.358865740738</v>
      </c>
      <c r="C1218">
        <v>80</v>
      </c>
      <c r="D1218">
        <v>79.202476501000007</v>
      </c>
      <c r="E1218">
        <v>50</v>
      </c>
      <c r="F1218">
        <v>49.975761413999997</v>
      </c>
      <c r="G1218">
        <v>1329.291626</v>
      </c>
      <c r="H1218">
        <v>1328.2357178</v>
      </c>
      <c r="I1218">
        <v>1338.5787353999999</v>
      </c>
      <c r="J1218">
        <v>1336.0050048999999</v>
      </c>
      <c r="K1218">
        <v>0</v>
      </c>
      <c r="L1218">
        <v>2400</v>
      </c>
      <c r="M1218">
        <v>2400</v>
      </c>
      <c r="N1218">
        <v>0</v>
      </c>
    </row>
    <row r="1219" spans="1:14" x14ac:dyDescent="0.25">
      <c r="A1219">
        <v>555.70443999999998</v>
      </c>
      <c r="B1219" s="1">
        <f>DATE(2011,11,7) + TIME(16,54,23)</f>
        <v>40854.704432870371</v>
      </c>
      <c r="C1219">
        <v>80</v>
      </c>
      <c r="D1219">
        <v>79.167358398000005</v>
      </c>
      <c r="E1219">
        <v>50</v>
      </c>
      <c r="F1219">
        <v>49.975387572999999</v>
      </c>
      <c r="G1219">
        <v>1329.2751464999999</v>
      </c>
      <c r="H1219">
        <v>1328.2127685999999</v>
      </c>
      <c r="I1219">
        <v>1338.5720214999999</v>
      </c>
      <c r="J1219">
        <v>1336.0009766000001</v>
      </c>
      <c r="K1219">
        <v>0</v>
      </c>
      <c r="L1219">
        <v>2400</v>
      </c>
      <c r="M1219">
        <v>2400</v>
      </c>
      <c r="N1219">
        <v>0</v>
      </c>
    </row>
    <row r="1220" spans="1:14" x14ac:dyDescent="0.25">
      <c r="A1220">
        <v>556.070514</v>
      </c>
      <c r="B1220" s="1">
        <f>DATE(2011,11,8) + TIME(1,41,32)</f>
        <v>40855.070509259262</v>
      </c>
      <c r="C1220">
        <v>80</v>
      </c>
      <c r="D1220">
        <v>79.130523682000003</v>
      </c>
      <c r="E1220">
        <v>50</v>
      </c>
      <c r="F1220">
        <v>49.975109099999997</v>
      </c>
      <c r="G1220">
        <v>1329.2579346</v>
      </c>
      <c r="H1220">
        <v>1328.1888428</v>
      </c>
      <c r="I1220">
        <v>1338.5650635</v>
      </c>
      <c r="J1220">
        <v>1335.9969481999999</v>
      </c>
      <c r="K1220">
        <v>0</v>
      </c>
      <c r="L1220">
        <v>2400</v>
      </c>
      <c r="M1220">
        <v>2400</v>
      </c>
      <c r="N1220">
        <v>0</v>
      </c>
    </row>
    <row r="1221" spans="1:14" x14ac:dyDescent="0.25">
      <c r="A1221">
        <v>556.45920100000001</v>
      </c>
      <c r="B1221" s="1">
        <f>DATE(2011,11,8) + TIME(11,1,14)</f>
        <v>40855.459189814814</v>
      </c>
      <c r="C1221">
        <v>80</v>
      </c>
      <c r="D1221">
        <v>79.091835021999998</v>
      </c>
      <c r="E1221">
        <v>50</v>
      </c>
      <c r="F1221">
        <v>49.974906920999999</v>
      </c>
      <c r="G1221">
        <v>1329.2398682</v>
      </c>
      <c r="H1221">
        <v>1328.1638184000001</v>
      </c>
      <c r="I1221">
        <v>1338.5579834</v>
      </c>
      <c r="J1221">
        <v>1335.9926757999999</v>
      </c>
      <c r="K1221">
        <v>0</v>
      </c>
      <c r="L1221">
        <v>2400</v>
      </c>
      <c r="M1221">
        <v>2400</v>
      </c>
      <c r="N1221">
        <v>0</v>
      </c>
    </row>
    <row r="1222" spans="1:14" x14ac:dyDescent="0.25">
      <c r="A1222">
        <v>556.86954500000002</v>
      </c>
      <c r="B1222" s="1">
        <f>DATE(2011,11,8) + TIME(20,52,8)</f>
        <v>40855.869537037041</v>
      </c>
      <c r="C1222">
        <v>80</v>
      </c>
      <c r="D1222">
        <v>79.051322936999995</v>
      </c>
      <c r="E1222">
        <v>50</v>
      </c>
      <c r="F1222">
        <v>49.974758147999999</v>
      </c>
      <c r="G1222">
        <v>1329.2210693</v>
      </c>
      <c r="H1222">
        <v>1328.1378173999999</v>
      </c>
      <c r="I1222">
        <v>1338.5506591999999</v>
      </c>
      <c r="J1222">
        <v>1335.9884033000001</v>
      </c>
      <c r="K1222">
        <v>0</v>
      </c>
      <c r="L1222">
        <v>2400</v>
      </c>
      <c r="M1222">
        <v>2400</v>
      </c>
      <c r="N1222">
        <v>0</v>
      </c>
    </row>
    <row r="1223" spans="1:14" x14ac:dyDescent="0.25">
      <c r="A1223">
        <v>557.292102</v>
      </c>
      <c r="B1223" s="1">
        <f>DATE(2011,11,9) + TIME(7,0,37)</f>
        <v>40856.292094907411</v>
      </c>
      <c r="C1223">
        <v>80</v>
      </c>
      <c r="D1223">
        <v>79.009651184000006</v>
      </c>
      <c r="E1223">
        <v>50</v>
      </c>
      <c r="F1223">
        <v>49.974647521999998</v>
      </c>
      <c r="G1223">
        <v>1329.2014160000001</v>
      </c>
      <c r="H1223">
        <v>1328.1105957</v>
      </c>
      <c r="I1223">
        <v>1338.5432129000001</v>
      </c>
      <c r="J1223">
        <v>1335.9840088000001</v>
      </c>
      <c r="K1223">
        <v>0</v>
      </c>
      <c r="L1223">
        <v>2400</v>
      </c>
      <c r="M1223">
        <v>2400</v>
      </c>
      <c r="N1223">
        <v>0</v>
      </c>
    </row>
    <row r="1224" spans="1:14" x14ac:dyDescent="0.25">
      <c r="A1224">
        <v>557.72990400000003</v>
      </c>
      <c r="B1224" s="1">
        <f>DATE(2011,11,9) + TIME(17,31,3)</f>
        <v>40856.729895833334</v>
      </c>
      <c r="C1224">
        <v>80</v>
      </c>
      <c r="D1224">
        <v>78.966697693</v>
      </c>
      <c r="E1224">
        <v>50</v>
      </c>
      <c r="F1224">
        <v>49.974563599</v>
      </c>
      <c r="G1224">
        <v>1329.1813964999999</v>
      </c>
      <c r="H1224">
        <v>1328.0828856999999</v>
      </c>
      <c r="I1224">
        <v>1338.5358887</v>
      </c>
      <c r="J1224">
        <v>1335.9794922000001</v>
      </c>
      <c r="K1224">
        <v>0</v>
      </c>
      <c r="L1224">
        <v>2400</v>
      </c>
      <c r="M1224">
        <v>2400</v>
      </c>
      <c r="N1224">
        <v>0</v>
      </c>
    </row>
    <row r="1225" spans="1:14" x14ac:dyDescent="0.25">
      <c r="A1225">
        <v>558.17628300000001</v>
      </c>
      <c r="B1225" s="1">
        <f>DATE(2011,11,10) + TIME(4,13,50)</f>
        <v>40857.17627314815</v>
      </c>
      <c r="C1225">
        <v>80</v>
      </c>
      <c r="D1225">
        <v>78.922966002999999</v>
      </c>
      <c r="E1225">
        <v>50</v>
      </c>
      <c r="F1225">
        <v>49.974498748999999</v>
      </c>
      <c r="G1225">
        <v>1329.1607666</v>
      </c>
      <c r="H1225">
        <v>1328.0544434000001</v>
      </c>
      <c r="I1225">
        <v>1338.5286865</v>
      </c>
      <c r="J1225">
        <v>1335.9750977000001</v>
      </c>
      <c r="K1225">
        <v>0</v>
      </c>
      <c r="L1225">
        <v>2400</v>
      </c>
      <c r="M1225">
        <v>2400</v>
      </c>
      <c r="N1225">
        <v>0</v>
      </c>
    </row>
    <row r="1226" spans="1:14" x14ac:dyDescent="0.25">
      <c r="A1226">
        <v>558.62860499999999</v>
      </c>
      <c r="B1226" s="1">
        <f>DATE(2011,11,10) + TIME(15,5,11)</f>
        <v>40857.628599537034</v>
      </c>
      <c r="C1226">
        <v>80</v>
      </c>
      <c r="D1226">
        <v>78.878723144999995</v>
      </c>
      <c r="E1226">
        <v>50</v>
      </c>
      <c r="F1226">
        <v>49.974449157999999</v>
      </c>
      <c r="G1226">
        <v>1329.1400146000001</v>
      </c>
      <c r="H1226">
        <v>1328.0257568</v>
      </c>
      <c r="I1226">
        <v>1338.5214844</v>
      </c>
      <c r="J1226">
        <v>1335.9708252</v>
      </c>
      <c r="K1226">
        <v>0</v>
      </c>
      <c r="L1226">
        <v>2400</v>
      </c>
      <c r="M1226">
        <v>2400</v>
      </c>
      <c r="N1226">
        <v>0</v>
      </c>
    </row>
    <row r="1227" spans="1:14" x14ac:dyDescent="0.25">
      <c r="A1227">
        <v>559.08804599999996</v>
      </c>
      <c r="B1227" s="1">
        <f>DATE(2011,11,11) + TIME(2,6,47)</f>
        <v>40858.088043981479</v>
      </c>
      <c r="C1227">
        <v>80</v>
      </c>
      <c r="D1227">
        <v>78.833999633999994</v>
      </c>
      <c r="E1227">
        <v>50</v>
      </c>
      <c r="F1227">
        <v>49.974407196000001</v>
      </c>
      <c r="G1227">
        <v>1329.1191406</v>
      </c>
      <c r="H1227">
        <v>1327.9968262</v>
      </c>
      <c r="I1227">
        <v>1338.5145264</v>
      </c>
      <c r="J1227">
        <v>1335.9666748</v>
      </c>
      <c r="K1227">
        <v>0</v>
      </c>
      <c r="L1227">
        <v>2400</v>
      </c>
      <c r="M1227">
        <v>2400</v>
      </c>
      <c r="N1227">
        <v>0</v>
      </c>
    </row>
    <row r="1228" spans="1:14" x14ac:dyDescent="0.25">
      <c r="A1228">
        <v>559.55557499999998</v>
      </c>
      <c r="B1228" s="1">
        <f>DATE(2011,11,11) + TIME(13,20,1)</f>
        <v>40858.555567129632</v>
      </c>
      <c r="C1228">
        <v>80</v>
      </c>
      <c r="D1228">
        <v>78.788818359000004</v>
      </c>
      <c r="E1228">
        <v>50</v>
      </c>
      <c r="F1228">
        <v>49.974372864000003</v>
      </c>
      <c r="G1228">
        <v>1329.0980225000001</v>
      </c>
      <c r="H1228">
        <v>1327.9677733999999</v>
      </c>
      <c r="I1228">
        <v>1338.5078125</v>
      </c>
      <c r="J1228">
        <v>1335.9625243999999</v>
      </c>
      <c r="K1228">
        <v>0</v>
      </c>
      <c r="L1228">
        <v>2400</v>
      </c>
      <c r="M1228">
        <v>2400</v>
      </c>
      <c r="N1228">
        <v>0</v>
      </c>
    </row>
    <row r="1229" spans="1:14" x14ac:dyDescent="0.25">
      <c r="A1229">
        <v>560.03218700000002</v>
      </c>
      <c r="B1229" s="1">
        <f>DATE(2011,11,12) + TIME(0,46,20)</f>
        <v>40859.032175925924</v>
      </c>
      <c r="C1229">
        <v>80</v>
      </c>
      <c r="D1229">
        <v>78.743141174000002</v>
      </c>
      <c r="E1229">
        <v>50</v>
      </c>
      <c r="F1229">
        <v>49.974346161</v>
      </c>
      <c r="G1229">
        <v>1329.0769043</v>
      </c>
      <c r="H1229">
        <v>1327.9384766000001</v>
      </c>
      <c r="I1229">
        <v>1338.5012207</v>
      </c>
      <c r="J1229">
        <v>1335.9584961</v>
      </c>
      <c r="K1229">
        <v>0</v>
      </c>
      <c r="L1229">
        <v>2400</v>
      </c>
      <c r="M1229">
        <v>2400</v>
      </c>
      <c r="N1229">
        <v>0</v>
      </c>
    </row>
    <row r="1230" spans="1:14" x14ac:dyDescent="0.25">
      <c r="A1230">
        <v>560.51890800000001</v>
      </c>
      <c r="B1230" s="1">
        <f>DATE(2011,11,12) + TIME(12,27,13)</f>
        <v>40859.518900462965</v>
      </c>
      <c r="C1230">
        <v>80</v>
      </c>
      <c r="D1230">
        <v>78.696929932000003</v>
      </c>
      <c r="E1230">
        <v>50</v>
      </c>
      <c r="F1230">
        <v>49.974323273000003</v>
      </c>
      <c r="G1230">
        <v>1329.0554199000001</v>
      </c>
      <c r="H1230">
        <v>1327.9089355000001</v>
      </c>
      <c r="I1230">
        <v>1338.494751</v>
      </c>
      <c r="J1230">
        <v>1335.9545897999999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561.01681599999995</v>
      </c>
      <c r="B1231" s="1">
        <f>DATE(2011,11,13) + TIME(0,24,12)</f>
        <v>40860.016805555555</v>
      </c>
      <c r="C1231">
        <v>80</v>
      </c>
      <c r="D1231">
        <v>78.650123596</v>
      </c>
      <c r="E1231">
        <v>50</v>
      </c>
      <c r="F1231">
        <v>49.974300384999999</v>
      </c>
      <c r="G1231">
        <v>1329.0338135</v>
      </c>
      <c r="H1231">
        <v>1327.8791504000001</v>
      </c>
      <c r="I1231">
        <v>1338.4882812000001</v>
      </c>
      <c r="J1231">
        <v>1335.9506836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561.52705200000003</v>
      </c>
      <c r="B1232" s="1">
        <f>DATE(2011,11,13) + TIME(12,38,57)</f>
        <v>40860.527048611111</v>
      </c>
      <c r="C1232">
        <v>80</v>
      </c>
      <c r="D1232">
        <v>78.602676392000006</v>
      </c>
      <c r="E1232">
        <v>50</v>
      </c>
      <c r="F1232">
        <v>49.974285125999998</v>
      </c>
      <c r="G1232">
        <v>1329.0119629000001</v>
      </c>
      <c r="H1232">
        <v>1327.8491211</v>
      </c>
      <c r="I1232">
        <v>1338.4820557</v>
      </c>
      <c r="J1232">
        <v>1335.9467772999999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562.050791</v>
      </c>
      <c r="B1233" s="1">
        <f>DATE(2011,11,14) + TIME(1,13,8)</f>
        <v>40861.050787037035</v>
      </c>
      <c r="C1233">
        <v>80</v>
      </c>
      <c r="D1233">
        <v>78.554496764999996</v>
      </c>
      <c r="E1233">
        <v>50</v>
      </c>
      <c r="F1233">
        <v>49.974266051999997</v>
      </c>
      <c r="G1233">
        <v>1328.9897461</v>
      </c>
      <c r="H1233">
        <v>1327.8184814000001</v>
      </c>
      <c r="I1233">
        <v>1338.4758300999999</v>
      </c>
      <c r="J1233">
        <v>1335.9429932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562.58930899999996</v>
      </c>
      <c r="B1234" s="1">
        <f>DATE(2011,11,14) + TIME(14,8,36)</f>
        <v>40861.589305555557</v>
      </c>
      <c r="C1234">
        <v>80</v>
      </c>
      <c r="D1234">
        <v>78.505508422999995</v>
      </c>
      <c r="E1234">
        <v>50</v>
      </c>
      <c r="F1234">
        <v>49.974254608000003</v>
      </c>
      <c r="G1234">
        <v>1328.9672852000001</v>
      </c>
      <c r="H1234">
        <v>1327.7875977000001</v>
      </c>
      <c r="I1234">
        <v>1338.4697266000001</v>
      </c>
      <c r="J1234">
        <v>1335.9393310999999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563.14394200000004</v>
      </c>
      <c r="B1235" s="1">
        <f>DATE(2011,11,15) + TIME(3,27,16)</f>
        <v>40862.143935185188</v>
      </c>
      <c r="C1235">
        <v>80</v>
      </c>
      <c r="D1235">
        <v>78.455627441000004</v>
      </c>
      <c r="E1235">
        <v>50</v>
      </c>
      <c r="F1235">
        <v>49.974239349000001</v>
      </c>
      <c r="G1235">
        <v>1328.9443358999999</v>
      </c>
      <c r="H1235">
        <v>1327.7561035000001</v>
      </c>
      <c r="I1235">
        <v>1338.4637451000001</v>
      </c>
      <c r="J1235">
        <v>1335.9356689000001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563.71586600000001</v>
      </c>
      <c r="B1236" s="1">
        <f>DATE(2011,11,15) + TIME(17,10,50)</f>
        <v>40862.715856481482</v>
      </c>
      <c r="C1236">
        <v>80</v>
      </c>
      <c r="D1236">
        <v>78.404785156000003</v>
      </c>
      <c r="E1236">
        <v>50</v>
      </c>
      <c r="F1236">
        <v>49.974227904999999</v>
      </c>
      <c r="G1236">
        <v>1328.9210204999999</v>
      </c>
      <c r="H1236">
        <v>1327.723999</v>
      </c>
      <c r="I1236">
        <v>1338.4577637</v>
      </c>
      <c r="J1236">
        <v>1335.9320068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564.30683799999997</v>
      </c>
      <c r="B1237" s="1">
        <f>DATE(2011,11,16) + TIME(7,21,50)</f>
        <v>40863.306828703702</v>
      </c>
      <c r="C1237">
        <v>80</v>
      </c>
      <c r="D1237">
        <v>78.352867126000007</v>
      </c>
      <c r="E1237">
        <v>50</v>
      </c>
      <c r="F1237">
        <v>49.974216460999997</v>
      </c>
      <c r="G1237">
        <v>1328.8972168</v>
      </c>
      <c r="H1237">
        <v>1327.6914062000001</v>
      </c>
      <c r="I1237">
        <v>1338.4517822</v>
      </c>
      <c r="J1237">
        <v>1335.9283447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564.91856499999994</v>
      </c>
      <c r="B1238" s="1">
        <f>DATE(2011,11,16) + TIME(22,2,43)</f>
        <v>40863.918553240743</v>
      </c>
      <c r="C1238">
        <v>80</v>
      </c>
      <c r="D1238">
        <v>78.299766540999997</v>
      </c>
      <c r="E1238">
        <v>50</v>
      </c>
      <c r="F1238">
        <v>49.974205017000003</v>
      </c>
      <c r="G1238">
        <v>1328.8729248</v>
      </c>
      <c r="H1238">
        <v>1327.6579589999999</v>
      </c>
      <c r="I1238">
        <v>1338.4458007999999</v>
      </c>
      <c r="J1238">
        <v>1335.9246826000001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565.55291499999998</v>
      </c>
      <c r="B1239" s="1">
        <f>DATE(2011,11,17) + TIME(13,16,11)</f>
        <v>40864.552905092591</v>
      </c>
      <c r="C1239">
        <v>80</v>
      </c>
      <c r="D1239">
        <v>78.245384216000005</v>
      </c>
      <c r="E1239">
        <v>50</v>
      </c>
      <c r="F1239">
        <v>49.974197388</v>
      </c>
      <c r="G1239">
        <v>1328.8480225000001</v>
      </c>
      <c r="H1239">
        <v>1327.6237793</v>
      </c>
      <c r="I1239">
        <v>1338.4398193</v>
      </c>
      <c r="J1239">
        <v>1335.9211425999999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566.21194700000001</v>
      </c>
      <c r="B1240" s="1">
        <f>DATE(2011,11,18) + TIME(5,5,12)</f>
        <v>40865.211944444447</v>
      </c>
      <c r="C1240">
        <v>80</v>
      </c>
      <c r="D1240">
        <v>78.189590453999998</v>
      </c>
      <c r="E1240">
        <v>50</v>
      </c>
      <c r="F1240">
        <v>49.974189758000001</v>
      </c>
      <c r="G1240">
        <v>1328.8223877</v>
      </c>
      <c r="H1240">
        <v>1327.5888672000001</v>
      </c>
      <c r="I1240">
        <v>1338.4339600000001</v>
      </c>
      <c r="J1240">
        <v>1335.9174805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566.89793499999996</v>
      </c>
      <c r="B1241" s="1">
        <f>DATE(2011,11,18) + TIME(21,33,1)</f>
        <v>40865.897928240738</v>
      </c>
      <c r="C1241">
        <v>80</v>
      </c>
      <c r="D1241">
        <v>78.132247925000001</v>
      </c>
      <c r="E1241">
        <v>50</v>
      </c>
      <c r="F1241">
        <v>49.974178314</v>
      </c>
      <c r="G1241">
        <v>1328.7961425999999</v>
      </c>
      <c r="H1241">
        <v>1327.5528564000001</v>
      </c>
      <c r="I1241">
        <v>1338.4279785000001</v>
      </c>
      <c r="J1241">
        <v>1335.9139404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567.61339899999996</v>
      </c>
      <c r="B1242" s="1">
        <f>DATE(2011,11,19) + TIME(14,43,17)</f>
        <v>40866.613391203704</v>
      </c>
      <c r="C1242">
        <v>80</v>
      </c>
      <c r="D1242">
        <v>78.073226929</v>
      </c>
      <c r="E1242">
        <v>50</v>
      </c>
      <c r="F1242">
        <v>49.974174499999997</v>
      </c>
      <c r="G1242">
        <v>1328.769043</v>
      </c>
      <c r="H1242">
        <v>1327.5158690999999</v>
      </c>
      <c r="I1242">
        <v>1338.4219971</v>
      </c>
      <c r="J1242">
        <v>1335.9102783000001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568.36114499999996</v>
      </c>
      <c r="B1243" s="1">
        <f>DATE(2011,11,20) + TIME(8,40,2)</f>
        <v>40867.361134259256</v>
      </c>
      <c r="C1243">
        <v>80</v>
      </c>
      <c r="D1243">
        <v>78.012351989999999</v>
      </c>
      <c r="E1243">
        <v>50</v>
      </c>
      <c r="F1243">
        <v>49.974166869999998</v>
      </c>
      <c r="G1243">
        <v>1328.7412108999999</v>
      </c>
      <c r="H1243">
        <v>1327.4777832</v>
      </c>
      <c r="I1243">
        <v>1338.4160156</v>
      </c>
      <c r="J1243">
        <v>1335.9067382999999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569.14435300000002</v>
      </c>
      <c r="B1244" s="1">
        <f>DATE(2011,11,21) + TIME(3,27,52)</f>
        <v>40868.14435185185</v>
      </c>
      <c r="C1244">
        <v>80</v>
      </c>
      <c r="D1244">
        <v>77.949455260999997</v>
      </c>
      <c r="E1244">
        <v>50</v>
      </c>
      <c r="F1244">
        <v>49.974159241000002</v>
      </c>
      <c r="G1244">
        <v>1328.7124022999999</v>
      </c>
      <c r="H1244">
        <v>1327.4383545000001</v>
      </c>
      <c r="I1244">
        <v>1338.4099120999999</v>
      </c>
      <c r="J1244">
        <v>1335.9030762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569.96658300000001</v>
      </c>
      <c r="B1245" s="1">
        <f>DATE(2011,11,21) + TIME(23,11,52)</f>
        <v>40868.966574074075</v>
      </c>
      <c r="C1245">
        <v>80</v>
      </c>
      <c r="D1245">
        <v>77.884338378999999</v>
      </c>
      <c r="E1245">
        <v>50</v>
      </c>
      <c r="F1245">
        <v>49.974151611000003</v>
      </c>
      <c r="G1245">
        <v>1328.6824951000001</v>
      </c>
      <c r="H1245">
        <v>1327.3977050999999</v>
      </c>
      <c r="I1245">
        <v>1338.4039307</v>
      </c>
      <c r="J1245">
        <v>1335.8994141000001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570.81791799999996</v>
      </c>
      <c r="B1246" s="1">
        <f>DATE(2011,11,22) + TIME(19,37,48)</f>
        <v>40869.817916666667</v>
      </c>
      <c r="C1246">
        <v>80</v>
      </c>
      <c r="D1246">
        <v>77.817298889</v>
      </c>
      <c r="E1246">
        <v>50</v>
      </c>
      <c r="F1246">
        <v>49.974147797000001</v>
      </c>
      <c r="G1246">
        <v>1328.6516113</v>
      </c>
      <c r="H1246">
        <v>1327.3554687999999</v>
      </c>
      <c r="I1246">
        <v>1338.3977050999999</v>
      </c>
      <c r="J1246">
        <v>1335.8957519999999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571.69143399999996</v>
      </c>
      <c r="B1247" s="1">
        <f>DATE(2011,11,23) + TIME(16,35,39)</f>
        <v>40870.691423611112</v>
      </c>
      <c r="C1247">
        <v>80</v>
      </c>
      <c r="D1247">
        <v>77.748794556000007</v>
      </c>
      <c r="E1247">
        <v>50</v>
      </c>
      <c r="F1247">
        <v>49.974143982000001</v>
      </c>
      <c r="G1247">
        <v>1328.6198730000001</v>
      </c>
      <c r="H1247">
        <v>1327.3122559000001</v>
      </c>
      <c r="I1247">
        <v>1338.3916016000001</v>
      </c>
      <c r="J1247">
        <v>1335.8922118999999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572.59403599999996</v>
      </c>
      <c r="B1248" s="1">
        <f>DATE(2011,11,24) + TIME(14,15,24)</f>
        <v>40871.594027777777</v>
      </c>
      <c r="C1248">
        <v>80</v>
      </c>
      <c r="D1248">
        <v>77.678833007999998</v>
      </c>
      <c r="E1248">
        <v>50</v>
      </c>
      <c r="F1248">
        <v>49.974140167000002</v>
      </c>
      <c r="G1248">
        <v>1328.5874022999999</v>
      </c>
      <c r="H1248">
        <v>1327.2680664</v>
      </c>
      <c r="I1248">
        <v>1338.3854980000001</v>
      </c>
      <c r="J1248">
        <v>1335.8885498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573.50890500000003</v>
      </c>
      <c r="B1249" s="1">
        <f>DATE(2011,11,25) + TIME(12,12,49)</f>
        <v>40872.508900462963</v>
      </c>
      <c r="C1249">
        <v>80</v>
      </c>
      <c r="D1249">
        <v>77.607994079999997</v>
      </c>
      <c r="E1249">
        <v>50</v>
      </c>
      <c r="F1249">
        <v>49.974132537999999</v>
      </c>
      <c r="G1249">
        <v>1328.5544434000001</v>
      </c>
      <c r="H1249">
        <v>1327.2231445</v>
      </c>
      <c r="I1249">
        <v>1338.3795166</v>
      </c>
      <c r="J1249">
        <v>1335.8850098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574.44074799999999</v>
      </c>
      <c r="B1250" s="1">
        <f>DATE(2011,11,26) + TIME(10,34,40)</f>
        <v>40873.440740740742</v>
      </c>
      <c r="C1250">
        <v>80</v>
      </c>
      <c r="D1250">
        <v>77.536506653000004</v>
      </c>
      <c r="E1250">
        <v>50</v>
      </c>
      <c r="F1250">
        <v>49.974132537999999</v>
      </c>
      <c r="G1250">
        <v>1328.5211182</v>
      </c>
      <c r="H1250">
        <v>1327.1777344</v>
      </c>
      <c r="I1250">
        <v>1338.3735352000001</v>
      </c>
      <c r="J1250">
        <v>1335.8815918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575.39559899999995</v>
      </c>
      <c r="B1251" s="1">
        <f>DATE(2011,11,27) + TIME(9,29,39)</f>
        <v>40874.395590277774</v>
      </c>
      <c r="C1251">
        <v>80</v>
      </c>
      <c r="D1251">
        <v>77.46421814</v>
      </c>
      <c r="E1251">
        <v>50</v>
      </c>
      <c r="F1251">
        <v>49.974128723</v>
      </c>
      <c r="G1251">
        <v>1328.4875488</v>
      </c>
      <c r="H1251">
        <v>1327.1319579999999</v>
      </c>
      <c r="I1251">
        <v>1338.3677978999999</v>
      </c>
      <c r="J1251">
        <v>1335.8782959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576.37993500000005</v>
      </c>
      <c r="B1252" s="1">
        <f>DATE(2011,11,28) + TIME(9,7,6)</f>
        <v>40875.379930555559</v>
      </c>
      <c r="C1252">
        <v>80</v>
      </c>
      <c r="D1252">
        <v>77.390815735000004</v>
      </c>
      <c r="E1252">
        <v>50</v>
      </c>
      <c r="F1252">
        <v>49.974124908</v>
      </c>
      <c r="G1252">
        <v>1328.4534911999999</v>
      </c>
      <c r="H1252">
        <v>1327.0856934000001</v>
      </c>
      <c r="I1252">
        <v>1338.3620605000001</v>
      </c>
      <c r="J1252">
        <v>1335.875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577.39434300000005</v>
      </c>
      <c r="B1253" s="1">
        <f>DATE(2011,11,29) + TIME(9,27,51)</f>
        <v>40876.39434027778</v>
      </c>
      <c r="C1253">
        <v>80</v>
      </c>
      <c r="D1253">
        <v>77.316085814999994</v>
      </c>
      <c r="E1253">
        <v>50</v>
      </c>
      <c r="F1253">
        <v>49.974124908</v>
      </c>
      <c r="G1253">
        <v>1328.4189452999999</v>
      </c>
      <c r="H1253">
        <v>1327.0386963000001</v>
      </c>
      <c r="I1253">
        <v>1338.3563231999999</v>
      </c>
      <c r="J1253">
        <v>1335.8717041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578.43337599999995</v>
      </c>
      <c r="B1254" s="1">
        <f>DATE(2011,11,30) + TIME(10,24,3)</f>
        <v>40877.433368055557</v>
      </c>
      <c r="C1254">
        <v>80</v>
      </c>
      <c r="D1254">
        <v>77.240081786999994</v>
      </c>
      <c r="E1254">
        <v>50</v>
      </c>
      <c r="F1254">
        <v>49.974124908</v>
      </c>
      <c r="G1254">
        <v>1328.3836670000001</v>
      </c>
      <c r="H1254">
        <v>1326.9908447</v>
      </c>
      <c r="I1254">
        <v>1338.3507079999999</v>
      </c>
      <c r="J1254">
        <v>1335.8685303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579</v>
      </c>
      <c r="B1255" s="1">
        <f>DATE(2011,12,1) + TIME(0,0,0)</f>
        <v>40878</v>
      </c>
      <c r="C1255">
        <v>80</v>
      </c>
      <c r="D1255">
        <v>77.183158875000004</v>
      </c>
      <c r="E1255">
        <v>50</v>
      </c>
      <c r="F1255">
        <v>49.974117278999998</v>
      </c>
      <c r="G1255">
        <v>1328.3492432</v>
      </c>
      <c r="H1255">
        <v>1326.9447021000001</v>
      </c>
      <c r="I1255">
        <v>1338.3448486</v>
      </c>
      <c r="J1255">
        <v>1335.8652344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580.06656099999998</v>
      </c>
      <c r="B1256" s="1">
        <f>DATE(2011,12,2) + TIME(1,35,50)</f>
        <v>40879.066550925927</v>
      </c>
      <c r="C1256">
        <v>80</v>
      </c>
      <c r="D1256">
        <v>77.115013122999997</v>
      </c>
      <c r="E1256">
        <v>50</v>
      </c>
      <c r="F1256">
        <v>49.974121093999997</v>
      </c>
      <c r="G1256">
        <v>1328.3250731999999</v>
      </c>
      <c r="H1256">
        <v>1326.9104004000001</v>
      </c>
      <c r="I1256">
        <v>1338.3421631000001</v>
      </c>
      <c r="J1256">
        <v>1335.8636475000001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581.180477</v>
      </c>
      <c r="B1257" s="1">
        <f>DATE(2011,12,3) + TIME(4,19,53)</f>
        <v>40880.180474537039</v>
      </c>
      <c r="C1257">
        <v>80</v>
      </c>
      <c r="D1257">
        <v>77.039810181000007</v>
      </c>
      <c r="E1257">
        <v>50</v>
      </c>
      <c r="F1257">
        <v>49.974124908</v>
      </c>
      <c r="G1257">
        <v>1328.2911377</v>
      </c>
      <c r="H1257">
        <v>1326.8647461</v>
      </c>
      <c r="I1257">
        <v>1338.3366699000001</v>
      </c>
      <c r="J1257">
        <v>1335.8607178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582.32904900000005</v>
      </c>
      <c r="B1258" s="1">
        <f>DATE(2011,12,4) + TIME(7,53,49)</f>
        <v>40881.329039351855</v>
      </c>
      <c r="C1258">
        <v>80</v>
      </c>
      <c r="D1258">
        <v>76.960334778000004</v>
      </c>
      <c r="E1258">
        <v>50</v>
      </c>
      <c r="F1258">
        <v>49.974124908</v>
      </c>
      <c r="G1258">
        <v>1328.2548827999999</v>
      </c>
      <c r="H1258">
        <v>1326.8160399999999</v>
      </c>
      <c r="I1258">
        <v>1338.3311768000001</v>
      </c>
      <c r="J1258">
        <v>1335.8576660000001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583.50735399999996</v>
      </c>
      <c r="B1259" s="1">
        <f>DATE(2011,12,5) + TIME(12,10,35)</f>
        <v>40882.507349537038</v>
      </c>
      <c r="C1259">
        <v>80</v>
      </c>
      <c r="D1259">
        <v>76.878105164000004</v>
      </c>
      <c r="E1259">
        <v>50</v>
      </c>
      <c r="F1259">
        <v>49.974124908</v>
      </c>
      <c r="G1259">
        <v>1328.2175293</v>
      </c>
      <c r="H1259">
        <v>1326.7653809000001</v>
      </c>
      <c r="I1259">
        <v>1338.3256836</v>
      </c>
      <c r="J1259">
        <v>1335.8546143000001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584.70670800000005</v>
      </c>
      <c r="B1260" s="1">
        <f>DATE(2011,12,6) + TIME(16,57,39)</f>
        <v>40883.706701388888</v>
      </c>
      <c r="C1260">
        <v>80</v>
      </c>
      <c r="D1260">
        <v>76.794052124000004</v>
      </c>
      <c r="E1260">
        <v>50</v>
      </c>
      <c r="F1260">
        <v>49.974128723</v>
      </c>
      <c r="G1260">
        <v>1328.1793213000001</v>
      </c>
      <c r="H1260">
        <v>1326.7136230000001</v>
      </c>
      <c r="I1260">
        <v>1338.3201904</v>
      </c>
      <c r="J1260">
        <v>1335.8516846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585.935474</v>
      </c>
      <c r="B1261" s="1">
        <f>DATE(2011,12,7) + TIME(22,27,4)</f>
        <v>40884.93546296296</v>
      </c>
      <c r="C1261">
        <v>80</v>
      </c>
      <c r="D1261">
        <v>76.708435058999996</v>
      </c>
      <c r="E1261">
        <v>50</v>
      </c>
      <c r="F1261">
        <v>49.974132537999999</v>
      </c>
      <c r="G1261">
        <v>1328.140625</v>
      </c>
      <c r="H1261">
        <v>1326.6613769999999</v>
      </c>
      <c r="I1261">
        <v>1338.3148193</v>
      </c>
      <c r="J1261">
        <v>1335.8488769999999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587.20242900000005</v>
      </c>
      <c r="B1262" s="1">
        <f>DATE(2011,12,9) + TIME(4,51,29)</f>
        <v>40886.202418981484</v>
      </c>
      <c r="C1262">
        <v>80</v>
      </c>
      <c r="D1262">
        <v>76.620971679999997</v>
      </c>
      <c r="E1262">
        <v>50</v>
      </c>
      <c r="F1262">
        <v>49.974132537999999</v>
      </c>
      <c r="G1262">
        <v>1328.1015625</v>
      </c>
      <c r="H1262">
        <v>1326.6083983999999</v>
      </c>
      <c r="I1262">
        <v>1338.3094481999999</v>
      </c>
      <c r="J1262">
        <v>1335.8459473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588.51734499999998</v>
      </c>
      <c r="B1263" s="1">
        <f>DATE(2011,12,10) + TIME(12,24,58)</f>
        <v>40887.517337962963</v>
      </c>
      <c r="C1263">
        <v>80</v>
      </c>
      <c r="D1263">
        <v>76.531089782999999</v>
      </c>
      <c r="E1263">
        <v>50</v>
      </c>
      <c r="F1263">
        <v>49.974136352999999</v>
      </c>
      <c r="G1263">
        <v>1328.0617675999999</v>
      </c>
      <c r="H1263">
        <v>1326.5546875</v>
      </c>
      <c r="I1263">
        <v>1338.3041992000001</v>
      </c>
      <c r="J1263">
        <v>1335.8432617000001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589.87178200000005</v>
      </c>
      <c r="B1264" s="1">
        <f>DATE(2011,12,11) + TIME(20,55,21)</f>
        <v>40888.871770833335</v>
      </c>
      <c r="C1264">
        <v>80</v>
      </c>
      <c r="D1264">
        <v>76.438537597999996</v>
      </c>
      <c r="E1264">
        <v>50</v>
      </c>
      <c r="F1264">
        <v>49.974143982000001</v>
      </c>
      <c r="G1264">
        <v>1328.0211182</v>
      </c>
      <c r="H1264">
        <v>1326.4997559000001</v>
      </c>
      <c r="I1264">
        <v>1338.2988281</v>
      </c>
      <c r="J1264">
        <v>1335.8404541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591.25238000000002</v>
      </c>
      <c r="B1265" s="1">
        <f>DATE(2011,12,13) + TIME(6,3,25)</f>
        <v>40890.252372685187</v>
      </c>
      <c r="C1265">
        <v>80</v>
      </c>
      <c r="D1265">
        <v>76.343666076999995</v>
      </c>
      <c r="E1265">
        <v>50</v>
      </c>
      <c r="F1265">
        <v>49.974147797000001</v>
      </c>
      <c r="G1265">
        <v>1327.9797363</v>
      </c>
      <c r="H1265">
        <v>1326.4438477000001</v>
      </c>
      <c r="I1265">
        <v>1338.293457</v>
      </c>
      <c r="J1265">
        <v>1335.8377685999999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592.66979800000001</v>
      </c>
      <c r="B1266" s="1">
        <f>DATE(2011,12,14) + TIME(16,4,30)</f>
        <v>40891.669791666667</v>
      </c>
      <c r="C1266">
        <v>80</v>
      </c>
      <c r="D1266">
        <v>76.246604919000006</v>
      </c>
      <c r="E1266">
        <v>50</v>
      </c>
      <c r="F1266">
        <v>49.974151611000003</v>
      </c>
      <c r="G1266">
        <v>1327.9379882999999</v>
      </c>
      <c r="H1266">
        <v>1326.3874512</v>
      </c>
      <c r="I1266">
        <v>1338.2882079999999</v>
      </c>
      <c r="J1266">
        <v>1335.8350829999999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594.13523299999997</v>
      </c>
      <c r="B1267" s="1">
        <f>DATE(2011,12,16) + TIME(3,14,44)</f>
        <v>40893.135231481479</v>
      </c>
      <c r="C1267">
        <v>80</v>
      </c>
      <c r="D1267">
        <v>76.146858214999995</v>
      </c>
      <c r="E1267">
        <v>50</v>
      </c>
      <c r="F1267">
        <v>49.974159241000002</v>
      </c>
      <c r="G1267">
        <v>1327.8956298999999</v>
      </c>
      <c r="H1267">
        <v>1326.3303223</v>
      </c>
      <c r="I1267">
        <v>1338.2829589999999</v>
      </c>
      <c r="J1267">
        <v>1335.8323975000001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595.62854900000002</v>
      </c>
      <c r="B1268" s="1">
        <f>DATE(2011,12,17) + TIME(15,5,6)</f>
        <v>40894.628541666665</v>
      </c>
      <c r="C1268">
        <v>80</v>
      </c>
      <c r="D1268">
        <v>76.044303893999995</v>
      </c>
      <c r="E1268">
        <v>50</v>
      </c>
      <c r="F1268">
        <v>49.974163054999998</v>
      </c>
      <c r="G1268">
        <v>1327.8526611</v>
      </c>
      <c r="H1268">
        <v>1326.2723389</v>
      </c>
      <c r="I1268">
        <v>1338.2777100000001</v>
      </c>
      <c r="J1268">
        <v>1335.8298339999999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597.14608499999997</v>
      </c>
      <c r="B1269" s="1">
        <f>DATE(2011,12,19) + TIME(3,30,21)</f>
        <v>40896.14607638889</v>
      </c>
      <c r="C1269">
        <v>80</v>
      </c>
      <c r="D1269">
        <v>75.939453125</v>
      </c>
      <c r="E1269">
        <v>50</v>
      </c>
      <c r="F1269">
        <v>49.974170684999997</v>
      </c>
      <c r="G1269">
        <v>1327.8092041</v>
      </c>
      <c r="H1269">
        <v>1326.2138672000001</v>
      </c>
      <c r="I1269">
        <v>1338.2724608999999</v>
      </c>
      <c r="J1269">
        <v>1335.8272704999999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598.69383700000003</v>
      </c>
      <c r="B1270" s="1">
        <f>DATE(2011,12,20) + TIME(16,39,7)</f>
        <v>40897.693831018521</v>
      </c>
      <c r="C1270">
        <v>80</v>
      </c>
      <c r="D1270">
        <v>75.832374572999996</v>
      </c>
      <c r="E1270">
        <v>50</v>
      </c>
      <c r="F1270">
        <v>49.974178314</v>
      </c>
      <c r="G1270">
        <v>1327.765625</v>
      </c>
      <c r="H1270">
        <v>1326.1550293</v>
      </c>
      <c r="I1270">
        <v>1338.2673339999999</v>
      </c>
      <c r="J1270">
        <v>1335.8248291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600.282735</v>
      </c>
      <c r="B1271" s="1">
        <f>DATE(2011,12,22) + TIME(6,47,8)</f>
        <v>40899.282731481479</v>
      </c>
      <c r="C1271">
        <v>80</v>
      </c>
      <c r="D1271">
        <v>75.722618103000002</v>
      </c>
      <c r="E1271">
        <v>50</v>
      </c>
      <c r="F1271">
        <v>49.974185943999998</v>
      </c>
      <c r="G1271">
        <v>1327.7218018000001</v>
      </c>
      <c r="H1271">
        <v>1326.0959473</v>
      </c>
      <c r="I1271">
        <v>1338.262207</v>
      </c>
      <c r="J1271">
        <v>1335.8223877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601.91640400000006</v>
      </c>
      <c r="B1272" s="1">
        <f>DATE(2011,12,23) + TIME(21,59,37)</f>
        <v>40900.916400462964</v>
      </c>
      <c r="C1272">
        <v>80</v>
      </c>
      <c r="D1272">
        <v>75.609565735000004</v>
      </c>
      <c r="E1272">
        <v>50</v>
      </c>
      <c r="F1272">
        <v>49.974193573000001</v>
      </c>
      <c r="G1272">
        <v>1327.6774902</v>
      </c>
      <c r="H1272">
        <v>1326.0363769999999</v>
      </c>
      <c r="I1272">
        <v>1338.2572021000001</v>
      </c>
      <c r="J1272">
        <v>1335.8200684000001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603.58801300000005</v>
      </c>
      <c r="B1273" s="1">
        <f>DATE(2011,12,25) + TIME(14,6,44)</f>
        <v>40902.588009259256</v>
      </c>
      <c r="C1273">
        <v>80</v>
      </c>
      <c r="D1273">
        <v>75.492965698000006</v>
      </c>
      <c r="E1273">
        <v>50</v>
      </c>
      <c r="F1273">
        <v>49.974205017000003</v>
      </c>
      <c r="G1273">
        <v>1327.6328125</v>
      </c>
      <c r="H1273">
        <v>1325.9760742000001</v>
      </c>
      <c r="I1273">
        <v>1338.2520752</v>
      </c>
      <c r="J1273">
        <v>1335.8176269999999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605.31115899999998</v>
      </c>
      <c r="B1274" s="1">
        <f>DATE(2011,12,27) + TIME(7,28,4)</f>
        <v>40904.311157407406</v>
      </c>
      <c r="C1274">
        <v>80</v>
      </c>
      <c r="D1274">
        <v>75.372604370000005</v>
      </c>
      <c r="E1274">
        <v>50</v>
      </c>
      <c r="F1274">
        <v>49.974212645999998</v>
      </c>
      <c r="G1274">
        <v>1327.5875243999999</v>
      </c>
      <c r="H1274">
        <v>1325.9151611</v>
      </c>
      <c r="I1274">
        <v>1338.2470702999999</v>
      </c>
      <c r="J1274">
        <v>1335.8153076000001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607.10058800000002</v>
      </c>
      <c r="B1275" s="1">
        <f>DATE(2011,12,29) + TIME(2,24,50)</f>
        <v>40906.100578703707</v>
      </c>
      <c r="C1275">
        <v>80</v>
      </c>
      <c r="D1275">
        <v>75.247612000000004</v>
      </c>
      <c r="E1275">
        <v>50</v>
      </c>
      <c r="F1275">
        <v>49.974224091000004</v>
      </c>
      <c r="G1275">
        <v>1327.5417480000001</v>
      </c>
      <c r="H1275">
        <v>1325.8535156</v>
      </c>
      <c r="I1275">
        <v>1338.2419434000001</v>
      </c>
      <c r="J1275">
        <v>1335.8131103999999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608.91060400000003</v>
      </c>
      <c r="B1276" s="1">
        <f>DATE(2011,12,30) + TIME(21,51,16)</f>
        <v>40907.910601851851</v>
      </c>
      <c r="C1276">
        <v>80</v>
      </c>
      <c r="D1276">
        <v>75.117988585999996</v>
      </c>
      <c r="E1276">
        <v>50</v>
      </c>
      <c r="F1276">
        <v>49.974235534999998</v>
      </c>
      <c r="G1276">
        <v>1327.4951172000001</v>
      </c>
      <c r="H1276">
        <v>1325.7908935999999</v>
      </c>
      <c r="I1276">
        <v>1338.2368164</v>
      </c>
      <c r="J1276">
        <v>1335.8107910000001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610</v>
      </c>
      <c r="B1277" s="1">
        <f>DATE(2012,1,1) + TIME(0,0,0)</f>
        <v>40909</v>
      </c>
      <c r="C1277">
        <v>80</v>
      </c>
      <c r="D1277">
        <v>75.004592896000005</v>
      </c>
      <c r="E1277">
        <v>50</v>
      </c>
      <c r="F1277">
        <v>49.974235534999998</v>
      </c>
      <c r="G1277">
        <v>1327.4490966999999</v>
      </c>
      <c r="H1277">
        <v>1325.7297363</v>
      </c>
      <c r="I1277">
        <v>1338.2316894999999</v>
      </c>
      <c r="J1277">
        <v>1335.8084716999999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611.83538199999998</v>
      </c>
      <c r="B1278" s="1">
        <f>DATE(2012,1,2) + TIME(20,2,57)</f>
        <v>40910.835381944446</v>
      </c>
      <c r="C1278">
        <v>80</v>
      </c>
      <c r="D1278">
        <v>74.895896911999998</v>
      </c>
      <c r="E1278">
        <v>50</v>
      </c>
      <c r="F1278">
        <v>49.974250793000003</v>
      </c>
      <c r="G1278">
        <v>1327.4150391000001</v>
      </c>
      <c r="H1278">
        <v>1325.6815185999999</v>
      </c>
      <c r="I1278">
        <v>1338.2288818</v>
      </c>
      <c r="J1278">
        <v>1335.807251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613.74019999999996</v>
      </c>
      <c r="B1279" s="1">
        <f>DATE(2012,1,4) + TIME(17,45,53)</f>
        <v>40912.74019675926</v>
      </c>
      <c r="C1279">
        <v>80</v>
      </c>
      <c r="D1279">
        <v>74.764579772999994</v>
      </c>
      <c r="E1279">
        <v>50</v>
      </c>
      <c r="F1279">
        <v>49.974266051999997</v>
      </c>
      <c r="G1279">
        <v>1327.3724365</v>
      </c>
      <c r="H1279">
        <v>1325.6254882999999</v>
      </c>
      <c r="I1279">
        <v>1338.2238769999999</v>
      </c>
      <c r="J1279">
        <v>1335.8051757999999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615.70012199999996</v>
      </c>
      <c r="B1280" s="1">
        <f>DATE(2012,1,6) + TIME(16,48,10)</f>
        <v>40914.700115740743</v>
      </c>
      <c r="C1280">
        <v>80</v>
      </c>
      <c r="D1280">
        <v>74.622764587000006</v>
      </c>
      <c r="E1280">
        <v>50</v>
      </c>
      <c r="F1280">
        <v>49.974277495999999</v>
      </c>
      <c r="G1280">
        <v>1327.3264160000001</v>
      </c>
      <c r="H1280">
        <v>1325.5639647999999</v>
      </c>
      <c r="I1280">
        <v>1338.2189940999999</v>
      </c>
      <c r="J1280">
        <v>1335.8031006000001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617.70497399999999</v>
      </c>
      <c r="B1281" s="1">
        <f>DATE(2012,1,8) + TIME(16,55,9)</f>
        <v>40916.704965277779</v>
      </c>
      <c r="C1281">
        <v>80</v>
      </c>
      <c r="D1281">
        <v>74.474311829000001</v>
      </c>
      <c r="E1281">
        <v>50</v>
      </c>
      <c r="F1281">
        <v>49.974292755</v>
      </c>
      <c r="G1281">
        <v>1327.2791748</v>
      </c>
      <c r="H1281">
        <v>1325.5006103999999</v>
      </c>
      <c r="I1281">
        <v>1338.2139893000001</v>
      </c>
      <c r="J1281">
        <v>1335.8010254000001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619.75797999999998</v>
      </c>
      <c r="B1282" s="1">
        <f>DATE(2012,1,10) + TIME(18,11,29)</f>
        <v>40918.757974537039</v>
      </c>
      <c r="C1282">
        <v>80</v>
      </c>
      <c r="D1282">
        <v>74.320411682</v>
      </c>
      <c r="E1282">
        <v>50</v>
      </c>
      <c r="F1282">
        <v>49.974308014000002</v>
      </c>
      <c r="G1282">
        <v>1327.2312012</v>
      </c>
      <c r="H1282">
        <v>1325.4362793</v>
      </c>
      <c r="I1282">
        <v>1338.2089844</v>
      </c>
      <c r="J1282">
        <v>1335.7989502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621.87590399999999</v>
      </c>
      <c r="B1283" s="1">
        <f>DATE(2012,1,12) + TIME(21,1,18)</f>
        <v>40920.875902777778</v>
      </c>
      <c r="C1283">
        <v>80</v>
      </c>
      <c r="D1283">
        <v>74.160835266000007</v>
      </c>
      <c r="E1283">
        <v>50</v>
      </c>
      <c r="F1283">
        <v>49.974319457999997</v>
      </c>
      <c r="G1283">
        <v>1327.1829834</v>
      </c>
      <c r="H1283">
        <v>1325.3714600000001</v>
      </c>
      <c r="I1283">
        <v>1338.2039795000001</v>
      </c>
      <c r="J1283">
        <v>1335.7969971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624.05923800000005</v>
      </c>
      <c r="B1284" s="1">
        <f>DATE(2012,1,15) + TIME(1,25,18)</f>
        <v>40923.059236111112</v>
      </c>
      <c r="C1284">
        <v>80</v>
      </c>
      <c r="D1284">
        <v>73.994674683</v>
      </c>
      <c r="E1284">
        <v>50</v>
      </c>
      <c r="F1284">
        <v>49.974338531000001</v>
      </c>
      <c r="G1284">
        <v>1327.1341553</v>
      </c>
      <c r="H1284">
        <v>1325.3060303</v>
      </c>
      <c r="I1284">
        <v>1338.1989745999999</v>
      </c>
      <c r="J1284">
        <v>1335.7949219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626.27298099999996</v>
      </c>
      <c r="B1285" s="1">
        <f>DATE(2012,1,17) + TIME(6,33,5)</f>
        <v>40925.272974537038</v>
      </c>
      <c r="C1285">
        <v>80</v>
      </c>
      <c r="D1285">
        <v>73.822135924999998</v>
      </c>
      <c r="E1285">
        <v>50</v>
      </c>
      <c r="F1285">
        <v>49.974353790000002</v>
      </c>
      <c r="G1285">
        <v>1327.0847168</v>
      </c>
      <c r="H1285">
        <v>1325.2397461</v>
      </c>
      <c r="I1285">
        <v>1338.1939697</v>
      </c>
      <c r="J1285">
        <v>1335.7929687999999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628.52804900000001</v>
      </c>
      <c r="B1286" s="1">
        <f>DATE(2012,1,19) + TIME(12,40,23)</f>
        <v>40927.528043981481</v>
      </c>
      <c r="C1286">
        <v>80</v>
      </c>
      <c r="D1286">
        <v>73.644615173000005</v>
      </c>
      <c r="E1286">
        <v>50</v>
      </c>
      <c r="F1286">
        <v>49.974369049000003</v>
      </c>
      <c r="G1286">
        <v>1327.0352783000001</v>
      </c>
      <c r="H1286">
        <v>1325.1733397999999</v>
      </c>
      <c r="I1286">
        <v>1338.1889647999999</v>
      </c>
      <c r="J1286">
        <v>1335.7910156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630.81289100000004</v>
      </c>
      <c r="B1287" s="1">
        <f>DATE(2012,1,21) + TIME(19,30,33)</f>
        <v>40929.812881944446</v>
      </c>
      <c r="C1287">
        <v>80</v>
      </c>
      <c r="D1287">
        <v>73.462036132999998</v>
      </c>
      <c r="E1287">
        <v>50</v>
      </c>
      <c r="F1287">
        <v>49.974384307999998</v>
      </c>
      <c r="G1287">
        <v>1326.9858397999999</v>
      </c>
      <c r="H1287">
        <v>1325.1070557</v>
      </c>
      <c r="I1287">
        <v>1338.1839600000001</v>
      </c>
      <c r="J1287">
        <v>1335.7890625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633.14568199999997</v>
      </c>
      <c r="B1288" s="1">
        <f>DATE(2012,1,24) + TIME(3,29,46)</f>
        <v>40932.145671296297</v>
      </c>
      <c r="C1288">
        <v>80</v>
      </c>
      <c r="D1288">
        <v>73.274597168</v>
      </c>
      <c r="E1288">
        <v>50</v>
      </c>
      <c r="F1288">
        <v>49.974403381000002</v>
      </c>
      <c r="G1288">
        <v>1326.9365233999999</v>
      </c>
      <c r="H1288">
        <v>1325.0408935999999</v>
      </c>
      <c r="I1288">
        <v>1338.1789550999999</v>
      </c>
      <c r="J1288">
        <v>1335.7871094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635.54549299999996</v>
      </c>
      <c r="B1289" s="1">
        <f>DATE(2012,1,26) + TIME(13,5,30)</f>
        <v>40934.545486111114</v>
      </c>
      <c r="C1289">
        <v>80</v>
      </c>
      <c r="D1289">
        <v>73.081092834000003</v>
      </c>
      <c r="E1289">
        <v>50</v>
      </c>
      <c r="F1289">
        <v>49.974422455000003</v>
      </c>
      <c r="G1289">
        <v>1326.8873291</v>
      </c>
      <c r="H1289">
        <v>1324.9747314000001</v>
      </c>
      <c r="I1289">
        <v>1338.1740723</v>
      </c>
      <c r="J1289">
        <v>1335.7852783000001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638.03309899999999</v>
      </c>
      <c r="B1290" s="1">
        <f>DATE(2012,1,29) + TIME(0,47,39)</f>
        <v>40937.033090277779</v>
      </c>
      <c r="C1290">
        <v>80</v>
      </c>
      <c r="D1290">
        <v>72.879920959000003</v>
      </c>
      <c r="E1290">
        <v>50</v>
      </c>
      <c r="F1290">
        <v>49.974441528</v>
      </c>
      <c r="G1290">
        <v>1326.8377685999999</v>
      </c>
      <c r="H1290">
        <v>1324.9083252</v>
      </c>
      <c r="I1290">
        <v>1338.1690673999999</v>
      </c>
      <c r="J1290">
        <v>1335.7833252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640.60299899999995</v>
      </c>
      <c r="B1291" s="1">
        <f>DATE(2012,1,31) + TIME(14,28,19)</f>
        <v>40939.602997685186</v>
      </c>
      <c r="C1291">
        <v>80</v>
      </c>
      <c r="D1291">
        <v>72.669631957999997</v>
      </c>
      <c r="E1291">
        <v>50</v>
      </c>
      <c r="F1291">
        <v>49.974464417</v>
      </c>
      <c r="G1291">
        <v>1326.7875977000001</v>
      </c>
      <c r="H1291">
        <v>1324.8410644999999</v>
      </c>
      <c r="I1291">
        <v>1338.1639404</v>
      </c>
      <c r="J1291">
        <v>1335.7814940999999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641</v>
      </c>
      <c r="B1292" s="1">
        <f>DATE(2012,2,1) + TIME(0,0,0)</f>
        <v>40940</v>
      </c>
      <c r="C1292">
        <v>80</v>
      </c>
      <c r="D1292">
        <v>72.558921814000001</v>
      </c>
      <c r="E1292">
        <v>50</v>
      </c>
      <c r="F1292">
        <v>49.974452972000002</v>
      </c>
      <c r="G1292">
        <v>1326.7393798999999</v>
      </c>
      <c r="H1292">
        <v>1324.7796631000001</v>
      </c>
      <c r="I1292">
        <v>1338.1590576000001</v>
      </c>
      <c r="J1292">
        <v>1335.7795410000001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643.58749699999998</v>
      </c>
      <c r="B1293" s="1">
        <f>DATE(2012,2,3) + TIME(14,5,59)</f>
        <v>40942.587488425925</v>
      </c>
      <c r="C1293">
        <v>80</v>
      </c>
      <c r="D1293">
        <v>72.403144835999996</v>
      </c>
      <c r="E1293">
        <v>50</v>
      </c>
      <c r="F1293">
        <v>49.974483489999997</v>
      </c>
      <c r="G1293">
        <v>1326.7218018000001</v>
      </c>
      <c r="H1293">
        <v>1324.7503661999999</v>
      </c>
      <c r="I1293">
        <v>1338.1579589999999</v>
      </c>
      <c r="J1293">
        <v>1335.7791748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646.21070399999996</v>
      </c>
      <c r="B1294" s="1">
        <f>DATE(2012,2,6) + TIME(5,3,24)</f>
        <v>40945.210694444446</v>
      </c>
      <c r="C1294">
        <v>80</v>
      </c>
      <c r="D1294">
        <v>72.190498352000006</v>
      </c>
      <c r="E1294">
        <v>50</v>
      </c>
      <c r="F1294">
        <v>49.974506378000001</v>
      </c>
      <c r="G1294">
        <v>1326.6770019999999</v>
      </c>
      <c r="H1294">
        <v>1324.6921387</v>
      </c>
      <c r="I1294">
        <v>1338.1529541</v>
      </c>
      <c r="J1294">
        <v>1335.7773437999999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648.886214</v>
      </c>
      <c r="B1295" s="1">
        <f>DATE(2012,2,8) + TIME(21,16,8)</f>
        <v>40947.886203703703</v>
      </c>
      <c r="C1295">
        <v>80</v>
      </c>
      <c r="D1295">
        <v>71.963020325000002</v>
      </c>
      <c r="E1295">
        <v>50</v>
      </c>
      <c r="F1295">
        <v>49.974529265999998</v>
      </c>
      <c r="G1295">
        <v>1326.6279297000001</v>
      </c>
      <c r="H1295">
        <v>1324.6267089999999</v>
      </c>
      <c r="I1295">
        <v>1338.1479492000001</v>
      </c>
      <c r="J1295">
        <v>1335.7755127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651.63690399999996</v>
      </c>
      <c r="B1296" s="1">
        <f>DATE(2012,2,11) + TIME(15,17,8)</f>
        <v>40950.63689814815</v>
      </c>
      <c r="C1296">
        <v>80</v>
      </c>
      <c r="D1296">
        <v>71.727058411000002</v>
      </c>
      <c r="E1296">
        <v>50</v>
      </c>
      <c r="F1296">
        <v>49.974552154999998</v>
      </c>
      <c r="G1296">
        <v>1326.5782471</v>
      </c>
      <c r="H1296">
        <v>1324.5600586</v>
      </c>
      <c r="I1296">
        <v>1338.1428223</v>
      </c>
      <c r="J1296">
        <v>1335.7736815999999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654.47590600000001</v>
      </c>
      <c r="B1297" s="1">
        <f>DATE(2012,2,14) + TIME(11,25,18)</f>
        <v>40953.475902777776</v>
      </c>
      <c r="C1297">
        <v>80</v>
      </c>
      <c r="D1297">
        <v>71.482040405000006</v>
      </c>
      <c r="E1297">
        <v>50</v>
      </c>
      <c r="F1297">
        <v>49.974575043000002</v>
      </c>
      <c r="G1297">
        <v>1326.5281981999999</v>
      </c>
      <c r="H1297">
        <v>1324.4929199000001</v>
      </c>
      <c r="I1297">
        <v>1338.1378173999999</v>
      </c>
      <c r="J1297">
        <v>1335.7717285000001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657.39896299999998</v>
      </c>
      <c r="B1298" s="1">
        <f>DATE(2012,2,17) + TIME(9,34,30)</f>
        <v>40956.398958333331</v>
      </c>
      <c r="C1298">
        <v>80</v>
      </c>
      <c r="D1298">
        <v>71.227081299000005</v>
      </c>
      <c r="E1298">
        <v>50</v>
      </c>
      <c r="F1298">
        <v>49.974601745999998</v>
      </c>
      <c r="G1298">
        <v>1326.4777832</v>
      </c>
      <c r="H1298">
        <v>1324.4251709</v>
      </c>
      <c r="I1298">
        <v>1338.1325684000001</v>
      </c>
      <c r="J1298">
        <v>1335.7698975000001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660.37249299999996</v>
      </c>
      <c r="B1299" s="1">
        <f>DATE(2012,2,20) + TIME(8,56,23)</f>
        <v>40959.372488425928</v>
      </c>
      <c r="C1299">
        <v>80</v>
      </c>
      <c r="D1299">
        <v>70.962600707999997</v>
      </c>
      <c r="E1299">
        <v>50</v>
      </c>
      <c r="F1299">
        <v>49.974628447999997</v>
      </c>
      <c r="G1299">
        <v>1326.4268798999999</v>
      </c>
      <c r="H1299">
        <v>1324.3569336</v>
      </c>
      <c r="I1299">
        <v>1338.1273193</v>
      </c>
      <c r="J1299">
        <v>1335.7679443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663.37852499999997</v>
      </c>
      <c r="B1300" s="1">
        <f>DATE(2012,2,23) + TIME(9,5,4)</f>
        <v>40962.378518518519</v>
      </c>
      <c r="C1300">
        <v>80</v>
      </c>
      <c r="D1300">
        <v>70.691017150999997</v>
      </c>
      <c r="E1300">
        <v>50</v>
      </c>
      <c r="F1300">
        <v>49.974651336999997</v>
      </c>
      <c r="G1300">
        <v>1326.3760986</v>
      </c>
      <c r="H1300">
        <v>1324.2886963000001</v>
      </c>
      <c r="I1300">
        <v>1338.1220702999999</v>
      </c>
      <c r="J1300">
        <v>1335.7659911999999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666.44282799999996</v>
      </c>
      <c r="B1301" s="1">
        <f>DATE(2012,2,26) + TIME(10,37,40)</f>
        <v>40965.442824074074</v>
      </c>
      <c r="C1301">
        <v>80</v>
      </c>
      <c r="D1301">
        <v>70.413589478000006</v>
      </c>
      <c r="E1301">
        <v>50</v>
      </c>
      <c r="F1301">
        <v>49.974678040000001</v>
      </c>
      <c r="G1301">
        <v>1326.3258057</v>
      </c>
      <c r="H1301">
        <v>1324.2209473</v>
      </c>
      <c r="I1301">
        <v>1338.1168213000001</v>
      </c>
      <c r="J1301">
        <v>1335.7640381000001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669.57954099999995</v>
      </c>
      <c r="B1302" s="1">
        <f>DATE(2012,2,29) + TIME(13,54,32)</f>
        <v>40968.57953703704</v>
      </c>
      <c r="C1302">
        <v>80</v>
      </c>
      <c r="D1302">
        <v>70.128356933999996</v>
      </c>
      <c r="E1302">
        <v>50</v>
      </c>
      <c r="F1302">
        <v>49.974708557</v>
      </c>
      <c r="G1302">
        <v>1326.2757568</v>
      </c>
      <c r="H1302">
        <v>1324.1536865</v>
      </c>
      <c r="I1302">
        <v>1338.1115723</v>
      </c>
      <c r="J1302">
        <v>1335.7620850000001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670</v>
      </c>
      <c r="B1303" s="1">
        <f>DATE(2012,3,1) + TIME(0,0,0)</f>
        <v>40969</v>
      </c>
      <c r="C1303">
        <v>80</v>
      </c>
      <c r="D1303">
        <v>69.976348877000007</v>
      </c>
      <c r="E1303">
        <v>50</v>
      </c>
      <c r="F1303">
        <v>49.974697112999998</v>
      </c>
      <c r="G1303">
        <v>1326.2276611</v>
      </c>
      <c r="H1303">
        <v>1324.0933838000001</v>
      </c>
      <c r="I1303">
        <v>1338.1066894999999</v>
      </c>
      <c r="J1303">
        <v>1335.7602539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673.21185200000002</v>
      </c>
      <c r="B1304" s="1">
        <f>DATE(2012,3,4) + TIME(5,5,3)</f>
        <v>40972.211840277778</v>
      </c>
      <c r="C1304">
        <v>80</v>
      </c>
      <c r="D1304">
        <v>69.778060913000004</v>
      </c>
      <c r="E1304">
        <v>50</v>
      </c>
      <c r="F1304">
        <v>49.974739075000002</v>
      </c>
      <c r="G1304">
        <v>1326.2120361</v>
      </c>
      <c r="H1304">
        <v>1324.0650635</v>
      </c>
      <c r="I1304">
        <v>1338.1054687999999</v>
      </c>
      <c r="J1304">
        <v>1335.7597656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676.54514300000005</v>
      </c>
      <c r="B1305" s="1">
        <f>DATE(2012,3,7) + TIME(13,5,0)</f>
        <v>40975.545138888891</v>
      </c>
      <c r="C1305">
        <v>80</v>
      </c>
      <c r="D1305">
        <v>69.486427307</v>
      </c>
      <c r="E1305">
        <v>50</v>
      </c>
      <c r="F1305">
        <v>49.974769592000001</v>
      </c>
      <c r="G1305">
        <v>1326.1682129000001</v>
      </c>
      <c r="H1305">
        <v>1324.0084228999999</v>
      </c>
      <c r="I1305">
        <v>1338.1002197</v>
      </c>
      <c r="J1305">
        <v>1335.7578125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679.95758000000001</v>
      </c>
      <c r="B1306" s="1">
        <f>DATE(2012,3,10) + TIME(22,58,54)</f>
        <v>40978.957569444443</v>
      </c>
      <c r="C1306">
        <v>80</v>
      </c>
      <c r="D1306">
        <v>69.170082092000001</v>
      </c>
      <c r="E1306">
        <v>50</v>
      </c>
      <c r="F1306">
        <v>49.974800109999997</v>
      </c>
      <c r="G1306">
        <v>1326.1188964999999</v>
      </c>
      <c r="H1306">
        <v>1323.9425048999999</v>
      </c>
      <c r="I1306">
        <v>1338.0947266000001</v>
      </c>
      <c r="J1306">
        <v>1335.7557373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683.412824</v>
      </c>
      <c r="B1307" s="1">
        <f>DATE(2012,3,14) + TIME(9,54,27)</f>
        <v>40982.412812499999</v>
      </c>
      <c r="C1307">
        <v>80</v>
      </c>
      <c r="D1307">
        <v>68.842124939000001</v>
      </c>
      <c r="E1307">
        <v>50</v>
      </c>
      <c r="F1307">
        <v>49.974834442000002</v>
      </c>
      <c r="G1307">
        <v>1326.0687256000001</v>
      </c>
      <c r="H1307">
        <v>1323.875</v>
      </c>
      <c r="I1307">
        <v>1338.0891113</v>
      </c>
      <c r="J1307">
        <v>1335.7535399999999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686.91884400000004</v>
      </c>
      <c r="B1308" s="1">
        <f>DATE(2012,3,17) + TIME(22,3,8)</f>
        <v>40985.918842592589</v>
      </c>
      <c r="C1308">
        <v>80</v>
      </c>
      <c r="D1308">
        <v>68.506370544000006</v>
      </c>
      <c r="E1308">
        <v>50</v>
      </c>
      <c r="F1308">
        <v>49.974864959999998</v>
      </c>
      <c r="G1308">
        <v>1326.0189209</v>
      </c>
      <c r="H1308">
        <v>1323.8077393000001</v>
      </c>
      <c r="I1308">
        <v>1338.0836182</v>
      </c>
      <c r="J1308">
        <v>1335.7513428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690.49394600000005</v>
      </c>
      <c r="B1309" s="1">
        <f>DATE(2012,3,21) + TIME(11,51,16)</f>
        <v>40989.493935185186</v>
      </c>
      <c r="C1309">
        <v>80</v>
      </c>
      <c r="D1309">
        <v>68.162918090999995</v>
      </c>
      <c r="E1309">
        <v>50</v>
      </c>
      <c r="F1309">
        <v>49.974899292000003</v>
      </c>
      <c r="G1309">
        <v>1325.9697266000001</v>
      </c>
      <c r="H1309">
        <v>1323.7412108999999</v>
      </c>
      <c r="I1309">
        <v>1338.0780029</v>
      </c>
      <c r="J1309">
        <v>1335.7491454999999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694.17032200000006</v>
      </c>
      <c r="B1310" s="1">
        <f>DATE(2012,3,25) + TIME(4,5,15)</f>
        <v>40993.170312499999</v>
      </c>
      <c r="C1310">
        <v>80</v>
      </c>
      <c r="D1310">
        <v>67.809173584000007</v>
      </c>
      <c r="E1310">
        <v>50</v>
      </c>
      <c r="F1310">
        <v>49.974933624000002</v>
      </c>
      <c r="G1310">
        <v>1325.9208983999999</v>
      </c>
      <c r="H1310">
        <v>1323.6751709</v>
      </c>
      <c r="I1310">
        <v>1338.0723877</v>
      </c>
      <c r="J1310">
        <v>1335.7469481999999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697.95434899999998</v>
      </c>
      <c r="B1311" s="1">
        <f>DATE(2012,3,28) + TIME(22,54,15)</f>
        <v>40996.954340277778</v>
      </c>
      <c r="C1311">
        <v>80</v>
      </c>
      <c r="D1311">
        <v>67.443527222</v>
      </c>
      <c r="E1311">
        <v>50</v>
      </c>
      <c r="F1311">
        <v>49.974971771</v>
      </c>
      <c r="G1311">
        <v>1325.8721923999999</v>
      </c>
      <c r="H1311">
        <v>1323.6092529</v>
      </c>
      <c r="I1311">
        <v>1338.0667725000001</v>
      </c>
      <c r="J1311">
        <v>1335.7446289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701</v>
      </c>
      <c r="B1312" s="1">
        <f>DATE(2012,4,1) + TIME(0,0,0)</f>
        <v>41000</v>
      </c>
      <c r="C1312">
        <v>80</v>
      </c>
      <c r="D1312">
        <v>67.075088500999996</v>
      </c>
      <c r="E1312">
        <v>50</v>
      </c>
      <c r="F1312">
        <v>49.974990845000001</v>
      </c>
      <c r="G1312">
        <v>1325.8234863</v>
      </c>
      <c r="H1312">
        <v>1323.5438231999999</v>
      </c>
      <c r="I1312">
        <v>1338.0609131000001</v>
      </c>
      <c r="J1312">
        <v>1335.7423096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704.88869099999999</v>
      </c>
      <c r="B1313" s="1">
        <f>DATE(2012,4,4) + TIME(21,19,42)</f>
        <v>41003.888680555552</v>
      </c>
      <c r="C1313">
        <v>80</v>
      </c>
      <c r="D1313">
        <v>66.748313904</v>
      </c>
      <c r="E1313">
        <v>50</v>
      </c>
      <c r="F1313">
        <v>49.975036621000001</v>
      </c>
      <c r="G1313">
        <v>1325.7818603999999</v>
      </c>
      <c r="H1313">
        <v>1323.4854736</v>
      </c>
      <c r="I1313">
        <v>1338.0562743999999</v>
      </c>
      <c r="J1313">
        <v>1335.7403564000001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708.86861299999998</v>
      </c>
      <c r="B1314" s="1">
        <f>DATE(2012,4,8) + TIME(20,50,48)</f>
        <v>41007.868611111109</v>
      </c>
      <c r="C1314">
        <v>80</v>
      </c>
      <c r="D1314">
        <v>66.357460021999998</v>
      </c>
      <c r="E1314">
        <v>50</v>
      </c>
      <c r="F1314">
        <v>49.975074767999999</v>
      </c>
      <c r="G1314">
        <v>1325.7370605000001</v>
      </c>
      <c r="H1314">
        <v>1323.4256591999999</v>
      </c>
      <c r="I1314">
        <v>1338.0504149999999</v>
      </c>
      <c r="J1314">
        <v>1335.7379149999999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712.93463399999996</v>
      </c>
      <c r="B1315" s="1">
        <f>DATE(2012,4,12) + TIME(22,25,52)</f>
        <v>41011.934629629628</v>
      </c>
      <c r="C1315">
        <v>80</v>
      </c>
      <c r="D1315">
        <v>65.952415466000005</v>
      </c>
      <c r="E1315">
        <v>50</v>
      </c>
      <c r="F1315">
        <v>49.975116730000003</v>
      </c>
      <c r="G1315">
        <v>1325.6903076000001</v>
      </c>
      <c r="H1315">
        <v>1323.3623047000001</v>
      </c>
      <c r="I1315">
        <v>1338.0445557</v>
      </c>
      <c r="J1315">
        <v>1335.7353516000001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717.12600299999997</v>
      </c>
      <c r="B1316" s="1">
        <f>DATE(2012,4,17) + TIME(3,1,26)</f>
        <v>41016.12599537037</v>
      </c>
      <c r="C1316">
        <v>80</v>
      </c>
      <c r="D1316">
        <v>65.527961731000005</v>
      </c>
      <c r="E1316">
        <v>50</v>
      </c>
      <c r="F1316">
        <v>49.975154877000001</v>
      </c>
      <c r="G1316">
        <v>1325.6437988</v>
      </c>
      <c r="H1316">
        <v>1323.2988281</v>
      </c>
      <c r="I1316">
        <v>1338.0385742000001</v>
      </c>
      <c r="J1316">
        <v>1335.7327881000001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721.42544199999998</v>
      </c>
      <c r="B1317" s="1">
        <f>DATE(2012,4,21) + TIME(10,12,38)</f>
        <v>41020.425439814811</v>
      </c>
      <c r="C1317">
        <v>80</v>
      </c>
      <c r="D1317">
        <v>65.100418090999995</v>
      </c>
      <c r="E1317">
        <v>50</v>
      </c>
      <c r="F1317">
        <v>49.975200653000002</v>
      </c>
      <c r="G1317">
        <v>1325.5976562000001</v>
      </c>
      <c r="H1317">
        <v>1323.2359618999999</v>
      </c>
      <c r="I1317">
        <v>1338.0323486</v>
      </c>
      <c r="J1317">
        <v>1335.7299805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725.763824</v>
      </c>
      <c r="B1318" s="1">
        <f>DATE(2012,4,25) + TIME(18,19,54)</f>
        <v>41024.763819444444</v>
      </c>
      <c r="C1318">
        <v>80</v>
      </c>
      <c r="D1318">
        <v>64.635673522999994</v>
      </c>
      <c r="E1318">
        <v>50</v>
      </c>
      <c r="F1318">
        <v>49.975242614999999</v>
      </c>
      <c r="G1318">
        <v>1325.5520019999999</v>
      </c>
      <c r="H1318">
        <v>1323.1733397999999</v>
      </c>
      <c r="I1318">
        <v>1338.0261230000001</v>
      </c>
      <c r="J1318">
        <v>1335.7271728999999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730.18062399999997</v>
      </c>
      <c r="B1319" s="1">
        <f>DATE(2012,4,30) + TIME(4,20,5)</f>
        <v>41029.180613425924</v>
      </c>
      <c r="C1319">
        <v>80</v>
      </c>
      <c r="D1319">
        <v>64.211090088000006</v>
      </c>
      <c r="E1319">
        <v>50</v>
      </c>
      <c r="F1319">
        <v>49.975284576</v>
      </c>
      <c r="G1319">
        <v>1325.5074463000001</v>
      </c>
      <c r="H1319">
        <v>1323.1124268000001</v>
      </c>
      <c r="I1319">
        <v>1338.0198975000001</v>
      </c>
      <c r="J1319">
        <v>1335.7243652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731</v>
      </c>
      <c r="B1320" s="1">
        <f>DATE(2012,5,1) + TIME(0,0,0)</f>
        <v>41030</v>
      </c>
      <c r="C1320">
        <v>80</v>
      </c>
      <c r="D1320">
        <v>63.845123291</v>
      </c>
      <c r="E1320">
        <v>50</v>
      </c>
      <c r="F1320">
        <v>49.975276946999998</v>
      </c>
      <c r="G1320">
        <v>1325.4633789</v>
      </c>
      <c r="H1320">
        <v>1323.0566406</v>
      </c>
      <c r="I1320">
        <v>1338.0141602000001</v>
      </c>
      <c r="J1320">
        <v>1335.7219238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731.000001</v>
      </c>
      <c r="B1321" s="1">
        <f>DATE(2012,5,1) + TIME(0,0,0)</f>
        <v>41030</v>
      </c>
      <c r="C1321">
        <v>80</v>
      </c>
      <c r="D1321">
        <v>63.845191956000001</v>
      </c>
      <c r="E1321">
        <v>50</v>
      </c>
      <c r="F1321">
        <v>49.975261688000003</v>
      </c>
      <c r="G1321">
        <v>1328.1289062000001</v>
      </c>
      <c r="H1321">
        <v>1325.4793701000001</v>
      </c>
      <c r="I1321">
        <v>1335.7120361</v>
      </c>
      <c r="J1321">
        <v>1334.1693115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731.00000399999999</v>
      </c>
      <c r="B1322" s="1">
        <f>DATE(2012,5,1) + TIME(0,0,0)</f>
        <v>41030</v>
      </c>
      <c r="C1322">
        <v>80</v>
      </c>
      <c r="D1322">
        <v>63.845405579000001</v>
      </c>
      <c r="E1322">
        <v>50</v>
      </c>
      <c r="F1322">
        <v>49.975215912000003</v>
      </c>
      <c r="G1322">
        <v>1328.1616211</v>
      </c>
      <c r="H1322">
        <v>1325.5264893000001</v>
      </c>
      <c r="I1322">
        <v>1335.6831055</v>
      </c>
      <c r="J1322">
        <v>1334.1403809000001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731.00001299999997</v>
      </c>
      <c r="B1323" s="1">
        <f>DATE(2012,5,1) + TIME(0,0,1)</f>
        <v>41030.000011574077</v>
      </c>
      <c r="C1323">
        <v>80</v>
      </c>
      <c r="D1323">
        <v>63.84601593</v>
      </c>
      <c r="E1323">
        <v>50</v>
      </c>
      <c r="F1323">
        <v>49.975082397000001</v>
      </c>
      <c r="G1323">
        <v>1328.2561035000001</v>
      </c>
      <c r="H1323">
        <v>1325.6599120999999</v>
      </c>
      <c r="I1323">
        <v>1335.5997314000001</v>
      </c>
      <c r="J1323">
        <v>1334.0570068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731.00004000000001</v>
      </c>
      <c r="B1324" s="1">
        <f>DATE(2012,5,1) + TIME(0,0,3)</f>
        <v>41030.000034722223</v>
      </c>
      <c r="C1324">
        <v>80</v>
      </c>
      <c r="D1324">
        <v>63.847686768000003</v>
      </c>
      <c r="E1324">
        <v>50</v>
      </c>
      <c r="F1324">
        <v>49.974727631</v>
      </c>
      <c r="G1324">
        <v>1328.5097656</v>
      </c>
      <c r="H1324">
        <v>1326.0020752</v>
      </c>
      <c r="I1324">
        <v>1335.3764647999999</v>
      </c>
      <c r="J1324">
        <v>1333.8337402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731.00012100000004</v>
      </c>
      <c r="B1325" s="1">
        <f>DATE(2012,5,1) + TIME(0,0,10)</f>
        <v>41030.000115740739</v>
      </c>
      <c r="C1325">
        <v>80</v>
      </c>
      <c r="D1325">
        <v>63.851852417000003</v>
      </c>
      <c r="E1325">
        <v>50</v>
      </c>
      <c r="F1325">
        <v>49.973918914999999</v>
      </c>
      <c r="G1325">
        <v>1329.0915527</v>
      </c>
      <c r="H1325">
        <v>1326.7159423999999</v>
      </c>
      <c r="I1325">
        <v>1334.8714600000001</v>
      </c>
      <c r="J1325">
        <v>1333.3287353999999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731.00036399999999</v>
      </c>
      <c r="B1326" s="1">
        <f>DATE(2012,5,1) + TIME(0,0,31)</f>
        <v>41030.000358796293</v>
      </c>
      <c r="C1326">
        <v>80</v>
      </c>
      <c r="D1326">
        <v>63.861740112</v>
      </c>
      <c r="E1326">
        <v>50</v>
      </c>
      <c r="F1326">
        <v>49.972549438000001</v>
      </c>
      <c r="G1326">
        <v>1330.1196289</v>
      </c>
      <c r="H1326">
        <v>1327.8209228999999</v>
      </c>
      <c r="I1326">
        <v>1334.0168457</v>
      </c>
      <c r="J1326">
        <v>1332.473999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731.00109299999997</v>
      </c>
      <c r="B1327" s="1">
        <f>DATE(2012,5,1) + TIME(0,1,34)</f>
        <v>41030.001087962963</v>
      </c>
      <c r="C1327">
        <v>80</v>
      </c>
      <c r="D1327">
        <v>63.887054442999997</v>
      </c>
      <c r="E1327">
        <v>50</v>
      </c>
      <c r="F1327">
        <v>49.970809936999999</v>
      </c>
      <c r="G1327">
        <v>1331.4719238</v>
      </c>
      <c r="H1327">
        <v>1329.1446533000001</v>
      </c>
      <c r="I1327">
        <v>1332.9603271000001</v>
      </c>
      <c r="J1327">
        <v>1331.4179687999999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731.00328000000002</v>
      </c>
      <c r="B1328" s="1">
        <f>DATE(2012,5,1) + TIME(0,4,43)</f>
        <v>41030.003275462965</v>
      </c>
      <c r="C1328">
        <v>80</v>
      </c>
      <c r="D1328">
        <v>63.958370209000002</v>
      </c>
      <c r="E1328">
        <v>50</v>
      </c>
      <c r="F1328">
        <v>49.968856811999999</v>
      </c>
      <c r="G1328">
        <v>1332.9205322</v>
      </c>
      <c r="H1328">
        <v>1330.5388184000001</v>
      </c>
      <c r="I1328">
        <v>1331.8648682</v>
      </c>
      <c r="J1328">
        <v>1330.3226318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731.00984100000005</v>
      </c>
      <c r="B1329" s="1">
        <f>DATE(2012,5,1) + TIME(0,14,10)</f>
        <v>41030.009837962964</v>
      </c>
      <c r="C1329">
        <v>80</v>
      </c>
      <c r="D1329">
        <v>64.167320251000007</v>
      </c>
      <c r="E1329">
        <v>50</v>
      </c>
      <c r="F1329">
        <v>49.966430664000001</v>
      </c>
      <c r="G1329">
        <v>1334.3670654</v>
      </c>
      <c r="H1329">
        <v>1331.9437256000001</v>
      </c>
      <c r="I1329">
        <v>1330.7630615</v>
      </c>
      <c r="J1329">
        <v>1329.2170410000001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731.02844300000004</v>
      </c>
      <c r="B1330" s="1">
        <f>DATE(2012,5,1) + TIME(0,40,57)</f>
        <v>41030.028437499997</v>
      </c>
      <c r="C1330">
        <v>80</v>
      </c>
      <c r="D1330">
        <v>64.742790221999996</v>
      </c>
      <c r="E1330">
        <v>50</v>
      </c>
      <c r="F1330">
        <v>49.962764739999997</v>
      </c>
      <c r="G1330">
        <v>1335.7393798999999</v>
      </c>
      <c r="H1330">
        <v>1333.2905272999999</v>
      </c>
      <c r="I1330">
        <v>1329.6699219</v>
      </c>
      <c r="J1330">
        <v>1328.1020507999999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731.04762200000005</v>
      </c>
      <c r="B1331" s="1">
        <f>DATE(2012,5,1) + TIME(1,8,34)</f>
        <v>41030.047615740739</v>
      </c>
      <c r="C1331">
        <v>80</v>
      </c>
      <c r="D1331">
        <v>65.321548461999996</v>
      </c>
      <c r="E1331">
        <v>50</v>
      </c>
      <c r="F1331">
        <v>49.959793091000002</v>
      </c>
      <c r="G1331">
        <v>1336.4833983999999</v>
      </c>
      <c r="H1331">
        <v>1334.0141602000001</v>
      </c>
      <c r="I1331">
        <v>1329.0684814000001</v>
      </c>
      <c r="J1331">
        <v>1327.4780272999999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731.06729299999995</v>
      </c>
      <c r="B1332" s="1">
        <f>DATE(2012,5,1) + TIME(1,36,54)</f>
        <v>41030.067291666666</v>
      </c>
      <c r="C1332">
        <v>80</v>
      </c>
      <c r="D1332">
        <v>65.898529053000004</v>
      </c>
      <c r="E1332">
        <v>50</v>
      </c>
      <c r="F1332">
        <v>49.957077026</v>
      </c>
      <c r="G1332">
        <v>1336.9598389</v>
      </c>
      <c r="H1332">
        <v>1334.4793701000001</v>
      </c>
      <c r="I1332">
        <v>1328.6685791</v>
      </c>
      <c r="J1332">
        <v>1327.0588379000001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731.08742199999995</v>
      </c>
      <c r="B1333" s="1">
        <f>DATE(2012,5,1) + TIME(2,5,53)</f>
        <v>41030.087418981479</v>
      </c>
      <c r="C1333">
        <v>80</v>
      </c>
      <c r="D1333">
        <v>66.470771790000001</v>
      </c>
      <c r="E1333">
        <v>50</v>
      </c>
      <c r="F1333">
        <v>49.954479218000003</v>
      </c>
      <c r="G1333">
        <v>1337.2976074000001</v>
      </c>
      <c r="H1333">
        <v>1334.8101807</v>
      </c>
      <c r="I1333">
        <v>1328.3760986</v>
      </c>
      <c r="J1333">
        <v>1326.7510986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731.10800099999994</v>
      </c>
      <c r="B1334" s="1">
        <f>DATE(2012,5,1) + TIME(2,35,31)</f>
        <v>41030.107997685183</v>
      </c>
      <c r="C1334">
        <v>80</v>
      </c>
      <c r="D1334">
        <v>67.036537170000003</v>
      </c>
      <c r="E1334">
        <v>50</v>
      </c>
      <c r="F1334">
        <v>49.951942443999997</v>
      </c>
      <c r="G1334">
        <v>1337.5522461</v>
      </c>
      <c r="H1334">
        <v>1335.0607910000001</v>
      </c>
      <c r="I1334">
        <v>1328.1503906</v>
      </c>
      <c r="J1334">
        <v>1326.5133057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731.12903300000005</v>
      </c>
      <c r="B1335" s="1">
        <f>DATE(2012,5,1) + TIME(3,5,48)</f>
        <v>41030.129027777781</v>
      </c>
      <c r="C1335">
        <v>80</v>
      </c>
      <c r="D1335">
        <v>67.594635010000005</v>
      </c>
      <c r="E1335">
        <v>50</v>
      </c>
      <c r="F1335">
        <v>49.949432373</v>
      </c>
      <c r="G1335">
        <v>1337.7531738</v>
      </c>
      <c r="H1335">
        <v>1335.2590332</v>
      </c>
      <c r="I1335">
        <v>1327.9696045000001</v>
      </c>
      <c r="J1335">
        <v>1326.3232422000001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731.15052900000001</v>
      </c>
      <c r="B1336" s="1">
        <f>DATE(2012,5,1) + TIME(3,36,45)</f>
        <v>41030.150520833333</v>
      </c>
      <c r="C1336">
        <v>80</v>
      </c>
      <c r="D1336">
        <v>68.144210814999994</v>
      </c>
      <c r="E1336">
        <v>50</v>
      </c>
      <c r="F1336">
        <v>49.946929932000003</v>
      </c>
      <c r="G1336">
        <v>1337.9171143000001</v>
      </c>
      <c r="H1336">
        <v>1335.4212646000001</v>
      </c>
      <c r="I1336">
        <v>1327.8212891000001</v>
      </c>
      <c r="J1336">
        <v>1326.1677245999999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731.172505</v>
      </c>
      <c r="B1337" s="1">
        <f>DATE(2012,5,1) + TIME(4,8,24)</f>
        <v>41030.172500000001</v>
      </c>
      <c r="C1337">
        <v>80</v>
      </c>
      <c r="D1337">
        <v>68.684631347999996</v>
      </c>
      <c r="E1337">
        <v>50</v>
      </c>
      <c r="F1337">
        <v>49.944427490000002</v>
      </c>
      <c r="G1337">
        <v>1338.0548096</v>
      </c>
      <c r="H1337">
        <v>1335.5576172000001</v>
      </c>
      <c r="I1337">
        <v>1327.6971435999999</v>
      </c>
      <c r="J1337">
        <v>1326.0378418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731.19497899999999</v>
      </c>
      <c r="B1338" s="1">
        <f>DATE(2012,5,1) + TIME(4,40,46)</f>
        <v>41030.194976851853</v>
      </c>
      <c r="C1338">
        <v>80</v>
      </c>
      <c r="D1338">
        <v>69.215370178000001</v>
      </c>
      <c r="E1338">
        <v>50</v>
      </c>
      <c r="F1338">
        <v>49.941913605000003</v>
      </c>
      <c r="G1338">
        <v>1338.1732178</v>
      </c>
      <c r="H1338">
        <v>1335.6750488</v>
      </c>
      <c r="I1338">
        <v>1327.5917969</v>
      </c>
      <c r="J1338">
        <v>1325.9279785000001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731.21797300000003</v>
      </c>
      <c r="B1339" s="1">
        <f>DATE(2012,5,1) + TIME(5,13,52)</f>
        <v>41030.217962962961</v>
      </c>
      <c r="C1339">
        <v>80</v>
      </c>
      <c r="D1339">
        <v>69.736000060999999</v>
      </c>
      <c r="E1339">
        <v>50</v>
      </c>
      <c r="F1339">
        <v>49.939380645999996</v>
      </c>
      <c r="G1339">
        <v>1338.2770995999999</v>
      </c>
      <c r="H1339">
        <v>1335.777832</v>
      </c>
      <c r="I1339">
        <v>1327.5012207</v>
      </c>
      <c r="J1339">
        <v>1325.8338623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731.24150999999995</v>
      </c>
      <c r="B1340" s="1">
        <f>DATE(2012,5,1) + TIME(5,47,46)</f>
        <v>41030.24150462963</v>
      </c>
      <c r="C1340">
        <v>80</v>
      </c>
      <c r="D1340">
        <v>70.245971679999997</v>
      </c>
      <c r="E1340">
        <v>50</v>
      </c>
      <c r="F1340">
        <v>49.936824799</v>
      </c>
      <c r="G1340">
        <v>1338.3699951000001</v>
      </c>
      <c r="H1340">
        <v>1335.8695068</v>
      </c>
      <c r="I1340">
        <v>1327.4228516000001</v>
      </c>
      <c r="J1340">
        <v>1325.7525635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731.26561000000004</v>
      </c>
      <c r="B1341" s="1">
        <f>DATE(2012,5,1) + TIME(6,22,28)</f>
        <v>41030.265601851854</v>
      </c>
      <c r="C1341">
        <v>80</v>
      </c>
      <c r="D1341">
        <v>70.744834900000001</v>
      </c>
      <c r="E1341">
        <v>50</v>
      </c>
      <c r="F1341">
        <v>49.934242249</v>
      </c>
      <c r="G1341">
        <v>1338.4543457</v>
      </c>
      <c r="H1341">
        <v>1335.9522704999999</v>
      </c>
      <c r="I1341">
        <v>1327.3546143000001</v>
      </c>
      <c r="J1341">
        <v>1325.6817627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731.29030699999998</v>
      </c>
      <c r="B1342" s="1">
        <f>DATE(2012,5,1) + TIME(6,58,2)</f>
        <v>41030.290300925924</v>
      </c>
      <c r="C1342">
        <v>80</v>
      </c>
      <c r="D1342">
        <v>71.232543945000003</v>
      </c>
      <c r="E1342">
        <v>50</v>
      </c>
      <c r="F1342">
        <v>49.931625365999999</v>
      </c>
      <c r="G1342">
        <v>1338.5319824000001</v>
      </c>
      <c r="H1342">
        <v>1336.0279541</v>
      </c>
      <c r="I1342">
        <v>1327.2946777</v>
      </c>
      <c r="J1342">
        <v>1325.6198730000001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731.31563100000005</v>
      </c>
      <c r="B1343" s="1">
        <f>DATE(2012,5,1) + TIME(7,34,30)</f>
        <v>41030.315625000003</v>
      </c>
      <c r="C1343">
        <v>80</v>
      </c>
      <c r="D1343">
        <v>71.708808899000005</v>
      </c>
      <c r="E1343">
        <v>50</v>
      </c>
      <c r="F1343">
        <v>49.928974152000002</v>
      </c>
      <c r="G1343">
        <v>1338.6042480000001</v>
      </c>
      <c r="H1343">
        <v>1336.0980225000001</v>
      </c>
      <c r="I1343">
        <v>1327.2420654</v>
      </c>
      <c r="J1343">
        <v>1325.5654297000001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731.34161400000005</v>
      </c>
      <c r="B1344" s="1">
        <f>DATE(2012,5,1) + TIME(8,11,55)</f>
        <v>41030.341608796298</v>
      </c>
      <c r="C1344">
        <v>80</v>
      </c>
      <c r="D1344">
        <v>72.173324585000003</v>
      </c>
      <c r="E1344">
        <v>50</v>
      </c>
      <c r="F1344">
        <v>49.926280974999997</v>
      </c>
      <c r="G1344">
        <v>1338.6723632999999</v>
      </c>
      <c r="H1344">
        <v>1336.1633300999999</v>
      </c>
      <c r="I1344">
        <v>1327.1956786999999</v>
      </c>
      <c r="J1344">
        <v>1325.5174560999999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731.368292</v>
      </c>
      <c r="B1345" s="1">
        <f>DATE(2012,5,1) + TIME(8,50,20)</f>
        <v>41030.368287037039</v>
      </c>
      <c r="C1345">
        <v>80</v>
      </c>
      <c r="D1345">
        <v>72.625823975000003</v>
      </c>
      <c r="E1345">
        <v>50</v>
      </c>
      <c r="F1345">
        <v>49.923545836999999</v>
      </c>
      <c r="G1345">
        <v>1338.7368164</v>
      </c>
      <c r="H1345">
        <v>1336.2248535000001</v>
      </c>
      <c r="I1345">
        <v>1327.1547852000001</v>
      </c>
      <c r="J1345">
        <v>1325.4750977000001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731.39570200000003</v>
      </c>
      <c r="B1346" s="1">
        <f>DATE(2012,5,1) + TIME(9,29,48)</f>
        <v>41030.395694444444</v>
      </c>
      <c r="C1346">
        <v>80</v>
      </c>
      <c r="D1346">
        <v>73.066024780000006</v>
      </c>
      <c r="E1346">
        <v>50</v>
      </c>
      <c r="F1346">
        <v>49.920764923</v>
      </c>
      <c r="G1346">
        <v>1338.7985839999999</v>
      </c>
      <c r="H1346">
        <v>1336.2829589999999</v>
      </c>
      <c r="I1346">
        <v>1327.1186522999999</v>
      </c>
      <c r="J1346">
        <v>1325.4378661999999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731.42388600000004</v>
      </c>
      <c r="B1347" s="1">
        <f>DATE(2012,5,1) + TIME(10,10,23)</f>
        <v>41030.423877314817</v>
      </c>
      <c r="C1347">
        <v>80</v>
      </c>
      <c r="D1347">
        <v>73.493667603000006</v>
      </c>
      <c r="E1347">
        <v>50</v>
      </c>
      <c r="F1347">
        <v>49.917930603000002</v>
      </c>
      <c r="G1347">
        <v>1338.8579102000001</v>
      </c>
      <c r="H1347">
        <v>1336.3383789</v>
      </c>
      <c r="I1347">
        <v>1327.0869141000001</v>
      </c>
      <c r="J1347">
        <v>1325.4049072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731.45289000000002</v>
      </c>
      <c r="B1348" s="1">
        <f>DATE(2012,5,1) + TIME(10,52,9)</f>
        <v>41030.452881944446</v>
      </c>
      <c r="C1348">
        <v>80</v>
      </c>
      <c r="D1348">
        <v>73.908493042000003</v>
      </c>
      <c r="E1348">
        <v>50</v>
      </c>
      <c r="F1348">
        <v>49.915042876999998</v>
      </c>
      <c r="G1348">
        <v>1338.9154053</v>
      </c>
      <c r="H1348">
        <v>1336.3914795000001</v>
      </c>
      <c r="I1348">
        <v>1327.0589600000001</v>
      </c>
      <c r="J1348">
        <v>1325.3759766000001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731.48275999999998</v>
      </c>
      <c r="B1349" s="1">
        <f>DATE(2012,5,1) + TIME(11,35,10)</f>
        <v>41030.482754629629</v>
      </c>
      <c r="C1349">
        <v>80</v>
      </c>
      <c r="D1349">
        <v>74.310249329000001</v>
      </c>
      <c r="E1349">
        <v>50</v>
      </c>
      <c r="F1349">
        <v>49.912097930999998</v>
      </c>
      <c r="G1349">
        <v>1338.9711914</v>
      </c>
      <c r="H1349">
        <v>1336.4423827999999</v>
      </c>
      <c r="I1349">
        <v>1327.0344238</v>
      </c>
      <c r="J1349">
        <v>1325.3505858999999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731.51355100000001</v>
      </c>
      <c r="B1350" s="1">
        <f>DATE(2012,5,1) + TIME(12,19,30)</f>
        <v>41030.513541666667</v>
      </c>
      <c r="C1350">
        <v>80</v>
      </c>
      <c r="D1350">
        <v>74.698692321999999</v>
      </c>
      <c r="E1350">
        <v>50</v>
      </c>
      <c r="F1350">
        <v>49.909088134999998</v>
      </c>
      <c r="G1350">
        <v>1339.0256348</v>
      </c>
      <c r="H1350">
        <v>1336.4915771000001</v>
      </c>
      <c r="I1350">
        <v>1327.0130615</v>
      </c>
      <c r="J1350">
        <v>1325.3283690999999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731.54533200000003</v>
      </c>
      <c r="B1351" s="1">
        <f>DATE(2012,5,1) + TIME(13,5,16)</f>
        <v>41030.545324074075</v>
      </c>
      <c r="C1351">
        <v>80</v>
      </c>
      <c r="D1351">
        <v>75.073684692</v>
      </c>
      <c r="E1351">
        <v>50</v>
      </c>
      <c r="F1351">
        <v>49.906009674000003</v>
      </c>
      <c r="G1351">
        <v>1339.0788574000001</v>
      </c>
      <c r="H1351">
        <v>1336.5391846</v>
      </c>
      <c r="I1351">
        <v>1326.9945068</v>
      </c>
      <c r="J1351">
        <v>1325.309082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731.57816000000003</v>
      </c>
      <c r="B1352" s="1">
        <f>DATE(2012,5,1) + TIME(13,52,32)</f>
        <v>41030.578148148146</v>
      </c>
      <c r="C1352">
        <v>80</v>
      </c>
      <c r="D1352">
        <v>75.434738159000005</v>
      </c>
      <c r="E1352">
        <v>50</v>
      </c>
      <c r="F1352">
        <v>49.902862548999998</v>
      </c>
      <c r="G1352">
        <v>1339.1311035000001</v>
      </c>
      <c r="H1352">
        <v>1336.5853271000001</v>
      </c>
      <c r="I1352">
        <v>1326.9785156</v>
      </c>
      <c r="J1352">
        <v>1325.2923584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731.61204399999997</v>
      </c>
      <c r="B1353" s="1">
        <f>DATE(2012,5,1) + TIME(14,41,20)</f>
        <v>41030.612037037034</v>
      </c>
      <c r="C1353">
        <v>80</v>
      </c>
      <c r="D1353">
        <v>75.781295775999993</v>
      </c>
      <c r="E1353">
        <v>50</v>
      </c>
      <c r="F1353">
        <v>49.899639129999997</v>
      </c>
      <c r="G1353">
        <v>1339.1823730000001</v>
      </c>
      <c r="H1353">
        <v>1336.630249</v>
      </c>
      <c r="I1353">
        <v>1326.9649658000001</v>
      </c>
      <c r="J1353">
        <v>1325.2780762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731.64700500000004</v>
      </c>
      <c r="B1354" s="1">
        <f>DATE(2012,5,1) + TIME(15,31,41)</f>
        <v>41030.647002314814</v>
      </c>
      <c r="C1354">
        <v>80</v>
      </c>
      <c r="D1354">
        <v>76.112785338999998</v>
      </c>
      <c r="E1354">
        <v>50</v>
      </c>
      <c r="F1354">
        <v>49.896343231000003</v>
      </c>
      <c r="G1354">
        <v>1339.2327881000001</v>
      </c>
      <c r="H1354">
        <v>1336.6738281</v>
      </c>
      <c r="I1354">
        <v>1326.9533690999999</v>
      </c>
      <c r="J1354">
        <v>1325.2658690999999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731.68310699999995</v>
      </c>
      <c r="B1355" s="1">
        <f>DATE(2012,5,1) + TIME(16,23,40)</f>
        <v>41030.68310185185</v>
      </c>
      <c r="C1355">
        <v>80</v>
      </c>
      <c r="D1355">
        <v>76.429107665999993</v>
      </c>
      <c r="E1355">
        <v>50</v>
      </c>
      <c r="F1355">
        <v>49.892971039000003</v>
      </c>
      <c r="G1355">
        <v>1339.2822266000001</v>
      </c>
      <c r="H1355">
        <v>1336.7161865</v>
      </c>
      <c r="I1355">
        <v>1326.9438477000001</v>
      </c>
      <c r="J1355">
        <v>1325.2557373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731.72041999999999</v>
      </c>
      <c r="B1356" s="1">
        <f>DATE(2012,5,1) + TIME(17,17,24)</f>
        <v>41030.720416666663</v>
      </c>
      <c r="C1356">
        <v>80</v>
      </c>
      <c r="D1356">
        <v>76.730194092000005</v>
      </c>
      <c r="E1356">
        <v>50</v>
      </c>
      <c r="F1356">
        <v>49.889514923</v>
      </c>
      <c r="G1356">
        <v>1339.3309326000001</v>
      </c>
      <c r="H1356">
        <v>1336.7574463000001</v>
      </c>
      <c r="I1356">
        <v>1326.9359131000001</v>
      </c>
      <c r="J1356">
        <v>1325.2473144999999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731.75901899999997</v>
      </c>
      <c r="B1357" s="1">
        <f>DATE(2012,5,1) + TIME(18,12,59)</f>
        <v>41030.759016203701</v>
      </c>
      <c r="C1357">
        <v>80</v>
      </c>
      <c r="D1357">
        <v>77.015998839999995</v>
      </c>
      <c r="E1357">
        <v>50</v>
      </c>
      <c r="F1357">
        <v>49.885974883999999</v>
      </c>
      <c r="G1357">
        <v>1339.3786620999999</v>
      </c>
      <c r="H1357">
        <v>1336.7976074000001</v>
      </c>
      <c r="I1357">
        <v>1326.9296875</v>
      </c>
      <c r="J1357">
        <v>1325.2404785000001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731.798992</v>
      </c>
      <c r="B1358" s="1">
        <f>DATE(2012,5,1) + TIME(19,10,32)</f>
        <v>41030.798981481479</v>
      </c>
      <c r="C1358">
        <v>80</v>
      </c>
      <c r="D1358">
        <v>77.286560058999996</v>
      </c>
      <c r="E1358">
        <v>50</v>
      </c>
      <c r="F1358">
        <v>49.882335662999999</v>
      </c>
      <c r="G1358">
        <v>1339.4256591999999</v>
      </c>
      <c r="H1358">
        <v>1336.8366699000001</v>
      </c>
      <c r="I1358">
        <v>1326.9246826000001</v>
      </c>
      <c r="J1358">
        <v>1325.2349853999999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731.84043799999995</v>
      </c>
      <c r="B1359" s="1">
        <f>DATE(2012,5,1) + TIME(20,10,13)</f>
        <v>41030.840428240743</v>
      </c>
      <c r="C1359">
        <v>80</v>
      </c>
      <c r="D1359">
        <v>77.541946410999998</v>
      </c>
      <c r="E1359">
        <v>50</v>
      </c>
      <c r="F1359">
        <v>49.878601074000002</v>
      </c>
      <c r="G1359">
        <v>1339.4719238</v>
      </c>
      <c r="H1359">
        <v>1336.8747559000001</v>
      </c>
      <c r="I1359">
        <v>1326.9210204999999</v>
      </c>
      <c r="J1359">
        <v>1325.2307129000001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731.88344199999995</v>
      </c>
      <c r="B1360" s="1">
        <f>DATE(2012,5,1) + TIME(21,12,9)</f>
        <v>41030.883437500001</v>
      </c>
      <c r="C1360">
        <v>80</v>
      </c>
      <c r="D1360">
        <v>77.782150268999999</v>
      </c>
      <c r="E1360">
        <v>50</v>
      </c>
      <c r="F1360">
        <v>49.874755858999997</v>
      </c>
      <c r="G1360">
        <v>1339.5173339999999</v>
      </c>
      <c r="H1360">
        <v>1336.9118652</v>
      </c>
      <c r="I1360">
        <v>1326.9183350000001</v>
      </c>
      <c r="J1360">
        <v>1325.2276611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731.92811400000005</v>
      </c>
      <c r="B1361" s="1">
        <f>DATE(2012,5,1) + TIME(22,16,29)</f>
        <v>41030.928113425929</v>
      </c>
      <c r="C1361">
        <v>80</v>
      </c>
      <c r="D1361">
        <v>78.007301330999994</v>
      </c>
      <c r="E1361">
        <v>50</v>
      </c>
      <c r="F1361">
        <v>49.870796204000001</v>
      </c>
      <c r="G1361">
        <v>1339.5620117000001</v>
      </c>
      <c r="H1361">
        <v>1336.947876</v>
      </c>
      <c r="I1361">
        <v>1326.916626</v>
      </c>
      <c r="J1361">
        <v>1325.2254639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731.97457199999997</v>
      </c>
      <c r="B1362" s="1">
        <f>DATE(2012,5,1) + TIME(23,23,23)</f>
        <v>41030.97457175926</v>
      </c>
      <c r="C1362">
        <v>80</v>
      </c>
      <c r="D1362">
        <v>78.217559813999998</v>
      </c>
      <c r="E1362">
        <v>50</v>
      </c>
      <c r="F1362">
        <v>49.866718292000002</v>
      </c>
      <c r="G1362">
        <v>1339.6057129000001</v>
      </c>
      <c r="H1362">
        <v>1336.9830322</v>
      </c>
      <c r="I1362">
        <v>1326.9157714999999</v>
      </c>
      <c r="J1362">
        <v>1325.2241211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732.02295000000004</v>
      </c>
      <c r="B1363" s="1">
        <f>DATE(2012,5,2) + TIME(0,33,2)</f>
        <v>41031.022939814815</v>
      </c>
      <c r="C1363">
        <v>80</v>
      </c>
      <c r="D1363">
        <v>78.413146972999996</v>
      </c>
      <c r="E1363">
        <v>50</v>
      </c>
      <c r="F1363">
        <v>49.862506865999997</v>
      </c>
      <c r="G1363">
        <v>1339.6486815999999</v>
      </c>
      <c r="H1363">
        <v>1337.0172118999999</v>
      </c>
      <c r="I1363">
        <v>1326.9155272999999</v>
      </c>
      <c r="J1363">
        <v>1325.2235106999999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732.07339300000001</v>
      </c>
      <c r="B1364" s="1">
        <f>DATE(2012,5,2) + TIME(1,45,41)</f>
        <v>41031.073391203703</v>
      </c>
      <c r="C1364">
        <v>80</v>
      </c>
      <c r="D1364">
        <v>78.594314574999999</v>
      </c>
      <c r="E1364">
        <v>50</v>
      </c>
      <c r="F1364">
        <v>49.858158111999998</v>
      </c>
      <c r="G1364">
        <v>1339.6907959</v>
      </c>
      <c r="H1364">
        <v>1337.0505370999999</v>
      </c>
      <c r="I1364">
        <v>1326.9158935999999</v>
      </c>
      <c r="J1364">
        <v>1325.2235106999999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732.12606600000004</v>
      </c>
      <c r="B1365" s="1">
        <f>DATE(2012,5,2) + TIME(3,1,32)</f>
        <v>41031.126064814816</v>
      </c>
      <c r="C1365">
        <v>80</v>
      </c>
      <c r="D1365">
        <v>78.761375427000004</v>
      </c>
      <c r="E1365">
        <v>50</v>
      </c>
      <c r="F1365">
        <v>49.853652953999998</v>
      </c>
      <c r="G1365">
        <v>1339.7319336</v>
      </c>
      <c r="H1365">
        <v>1337.0827637</v>
      </c>
      <c r="I1365">
        <v>1326.9168701000001</v>
      </c>
      <c r="J1365">
        <v>1325.223999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732.181152</v>
      </c>
      <c r="B1366" s="1">
        <f>DATE(2012,5,2) + TIME(4,20,51)</f>
        <v>41031.181145833332</v>
      </c>
      <c r="C1366">
        <v>80</v>
      </c>
      <c r="D1366">
        <v>78.91468811</v>
      </c>
      <c r="E1366">
        <v>50</v>
      </c>
      <c r="F1366">
        <v>49.848987579000003</v>
      </c>
      <c r="G1366">
        <v>1339.7722168</v>
      </c>
      <c r="H1366">
        <v>1337.1140137</v>
      </c>
      <c r="I1366">
        <v>1326.9180908000001</v>
      </c>
      <c r="J1366">
        <v>1325.2249756000001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732.23885700000005</v>
      </c>
      <c r="B1367" s="1">
        <f>DATE(2012,5,2) + TIME(5,43,57)</f>
        <v>41031.238854166666</v>
      </c>
      <c r="C1367">
        <v>80</v>
      </c>
      <c r="D1367">
        <v>79.054672241000006</v>
      </c>
      <c r="E1367">
        <v>50</v>
      </c>
      <c r="F1367">
        <v>49.844146729000002</v>
      </c>
      <c r="G1367">
        <v>1339.8114014</v>
      </c>
      <c r="H1367">
        <v>1337.1444091999999</v>
      </c>
      <c r="I1367">
        <v>1326.9196777</v>
      </c>
      <c r="J1367">
        <v>1325.2261963000001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732.29941599999995</v>
      </c>
      <c r="B1368" s="1">
        <f>DATE(2012,5,2) + TIME(7,11,9)</f>
        <v>41031.299409722225</v>
      </c>
      <c r="C1368">
        <v>80</v>
      </c>
      <c r="D1368">
        <v>79.181770325000002</v>
      </c>
      <c r="E1368">
        <v>50</v>
      </c>
      <c r="F1368">
        <v>49.839115143000001</v>
      </c>
      <c r="G1368">
        <v>1339.8497314000001</v>
      </c>
      <c r="H1368">
        <v>1337.1737060999999</v>
      </c>
      <c r="I1368">
        <v>1326.9215088000001</v>
      </c>
      <c r="J1368">
        <v>1325.2276611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732.36313800000005</v>
      </c>
      <c r="B1369" s="1">
        <f>DATE(2012,5,2) + TIME(8,42,55)</f>
        <v>41031.363136574073</v>
      </c>
      <c r="C1369">
        <v>80</v>
      </c>
      <c r="D1369">
        <v>79.296554564999994</v>
      </c>
      <c r="E1369">
        <v>50</v>
      </c>
      <c r="F1369">
        <v>49.833869933999999</v>
      </c>
      <c r="G1369">
        <v>1339.8868408000001</v>
      </c>
      <c r="H1369">
        <v>1337.2020264</v>
      </c>
      <c r="I1369">
        <v>1326.9235839999999</v>
      </c>
      <c r="J1369">
        <v>1325.2292480000001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732.430296</v>
      </c>
      <c r="B1370" s="1">
        <f>DATE(2012,5,2) + TIME(10,19,37)</f>
        <v>41031.430289351854</v>
      </c>
      <c r="C1370">
        <v>80</v>
      </c>
      <c r="D1370">
        <v>79.399497986</v>
      </c>
      <c r="E1370">
        <v>50</v>
      </c>
      <c r="F1370">
        <v>49.828392029</v>
      </c>
      <c r="G1370">
        <v>1339.9229736</v>
      </c>
      <c r="H1370">
        <v>1337.2294922000001</v>
      </c>
      <c r="I1370">
        <v>1326.9256591999999</v>
      </c>
      <c r="J1370">
        <v>1325.230957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732.50124100000005</v>
      </c>
      <c r="B1371" s="1">
        <f>DATE(2012,5,2) + TIME(12,1,47)</f>
        <v>41031.501238425924</v>
      </c>
      <c r="C1371">
        <v>80</v>
      </c>
      <c r="D1371">
        <v>79.491172790999997</v>
      </c>
      <c r="E1371">
        <v>50</v>
      </c>
      <c r="F1371">
        <v>49.822666167999998</v>
      </c>
      <c r="G1371">
        <v>1339.9580077999999</v>
      </c>
      <c r="H1371">
        <v>1337.2557373</v>
      </c>
      <c r="I1371">
        <v>1326.9278564000001</v>
      </c>
      <c r="J1371">
        <v>1325.2327881000001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732.57638299999996</v>
      </c>
      <c r="B1372" s="1">
        <f>DATE(2012,5,2) + TIME(13,49,59)</f>
        <v>41031.576377314814</v>
      </c>
      <c r="C1372">
        <v>80</v>
      </c>
      <c r="D1372">
        <v>79.572196959999999</v>
      </c>
      <c r="E1372">
        <v>50</v>
      </c>
      <c r="F1372">
        <v>49.816661834999998</v>
      </c>
      <c r="G1372">
        <v>1339.9919434000001</v>
      </c>
      <c r="H1372">
        <v>1337.2811279</v>
      </c>
      <c r="I1372">
        <v>1326.9299315999999</v>
      </c>
      <c r="J1372">
        <v>1325.2344971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732.65438200000006</v>
      </c>
      <c r="B1373" s="1">
        <f>DATE(2012,5,2) + TIME(15,42,18)</f>
        <v>41031.654374999998</v>
      </c>
      <c r="C1373">
        <v>80</v>
      </c>
      <c r="D1373">
        <v>79.641883849999999</v>
      </c>
      <c r="E1373">
        <v>50</v>
      </c>
      <c r="F1373">
        <v>49.810482024999999</v>
      </c>
      <c r="G1373">
        <v>1340.0247803</v>
      </c>
      <c r="H1373">
        <v>1337.3054199000001</v>
      </c>
      <c r="I1373">
        <v>1326.9320068</v>
      </c>
      <c r="J1373">
        <v>1325.2362060999999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732.73350600000003</v>
      </c>
      <c r="B1374" s="1">
        <f>DATE(2012,5,2) + TIME(17,36,14)</f>
        <v>41031.733495370368</v>
      </c>
      <c r="C1374">
        <v>80</v>
      </c>
      <c r="D1374">
        <v>79.700271606000001</v>
      </c>
      <c r="E1374">
        <v>50</v>
      </c>
      <c r="F1374">
        <v>49.804256439</v>
      </c>
      <c r="G1374">
        <v>1340.0557861</v>
      </c>
      <c r="H1374">
        <v>1337.3283690999999</v>
      </c>
      <c r="I1374">
        <v>1326.9339600000001</v>
      </c>
      <c r="J1374">
        <v>1325.237793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732.81412999999998</v>
      </c>
      <c r="B1375" s="1">
        <f>DATE(2012,5,2) + TIME(19,32,20)</f>
        <v>41031.814120370371</v>
      </c>
      <c r="C1375">
        <v>80</v>
      </c>
      <c r="D1375">
        <v>79.749206543</v>
      </c>
      <c r="E1375">
        <v>50</v>
      </c>
      <c r="F1375">
        <v>49.797954558999997</v>
      </c>
      <c r="G1375">
        <v>1340.0843506000001</v>
      </c>
      <c r="H1375">
        <v>1337.3493652</v>
      </c>
      <c r="I1375">
        <v>1326.9356689000001</v>
      </c>
      <c r="J1375">
        <v>1325.2391356999999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732.89651800000001</v>
      </c>
      <c r="B1376" s="1">
        <f>DATE(2012,5,2) + TIME(21,30,59)</f>
        <v>41031.896516203706</v>
      </c>
      <c r="C1376">
        <v>80</v>
      </c>
      <c r="D1376">
        <v>79.790153502999999</v>
      </c>
      <c r="E1376">
        <v>50</v>
      </c>
      <c r="F1376">
        <v>49.791557312000002</v>
      </c>
      <c r="G1376">
        <v>1340.1105957</v>
      </c>
      <c r="H1376">
        <v>1337.3685303</v>
      </c>
      <c r="I1376">
        <v>1326.9371338000001</v>
      </c>
      <c r="J1376">
        <v>1325.2403564000001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732.97968300000002</v>
      </c>
      <c r="B1377" s="1">
        <f>DATE(2012,5,2) + TIME(23,30,44)</f>
        <v>41031.979675925926</v>
      </c>
      <c r="C1377">
        <v>80</v>
      </c>
      <c r="D1377">
        <v>79.823913574000002</v>
      </c>
      <c r="E1377">
        <v>50</v>
      </c>
      <c r="F1377">
        <v>49.785137177000003</v>
      </c>
      <c r="G1377">
        <v>1340.1348877</v>
      </c>
      <c r="H1377">
        <v>1337.3862305</v>
      </c>
      <c r="I1377">
        <v>1326.9384766000001</v>
      </c>
      <c r="J1377">
        <v>1325.2413329999999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733.06355299999996</v>
      </c>
      <c r="B1378" s="1">
        <f>DATE(2012,5,3) + TIME(1,31,30)</f>
        <v>41032.06354166667</v>
      </c>
      <c r="C1378">
        <v>80</v>
      </c>
      <c r="D1378">
        <v>79.851684570000003</v>
      </c>
      <c r="E1378">
        <v>50</v>
      </c>
      <c r="F1378">
        <v>49.778697968000003</v>
      </c>
      <c r="G1378">
        <v>1340.1568603999999</v>
      </c>
      <c r="H1378">
        <v>1337.4023437999999</v>
      </c>
      <c r="I1378">
        <v>1326.9396973</v>
      </c>
      <c r="J1378">
        <v>1325.2421875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733.14830700000005</v>
      </c>
      <c r="B1379" s="1">
        <f>DATE(2012,5,3) + TIME(3,33,33)</f>
        <v>41032.148298611108</v>
      </c>
      <c r="C1379">
        <v>80</v>
      </c>
      <c r="D1379">
        <v>79.874504088999998</v>
      </c>
      <c r="E1379">
        <v>50</v>
      </c>
      <c r="F1379">
        <v>49.772224426000001</v>
      </c>
      <c r="G1379">
        <v>1340.1768798999999</v>
      </c>
      <c r="H1379">
        <v>1337.4168701000001</v>
      </c>
      <c r="I1379">
        <v>1326.9406738</v>
      </c>
      <c r="J1379">
        <v>1325.2427978999999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733.23411999999996</v>
      </c>
      <c r="B1380" s="1">
        <f>DATE(2012,5,3) + TIME(5,37,7)</f>
        <v>41032.2341087963</v>
      </c>
      <c r="C1380">
        <v>80</v>
      </c>
      <c r="D1380">
        <v>79.893257141000007</v>
      </c>
      <c r="E1380">
        <v>50</v>
      </c>
      <c r="F1380">
        <v>49.765705109000002</v>
      </c>
      <c r="G1380">
        <v>1340.1949463000001</v>
      </c>
      <c r="H1380">
        <v>1337.4300536999999</v>
      </c>
      <c r="I1380">
        <v>1326.9415283000001</v>
      </c>
      <c r="J1380">
        <v>1325.2434082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733.32119499999999</v>
      </c>
      <c r="B1381" s="1">
        <f>DATE(2012,5,3) + TIME(7,42,31)</f>
        <v>41032.321192129632</v>
      </c>
      <c r="C1381">
        <v>80</v>
      </c>
      <c r="D1381">
        <v>79.908653259000005</v>
      </c>
      <c r="E1381">
        <v>50</v>
      </c>
      <c r="F1381">
        <v>49.759128570999998</v>
      </c>
      <c r="G1381">
        <v>1340.2113036999999</v>
      </c>
      <c r="H1381">
        <v>1337.4420166</v>
      </c>
      <c r="I1381">
        <v>1326.9421387</v>
      </c>
      <c r="J1381">
        <v>1325.2437743999999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733.40970300000004</v>
      </c>
      <c r="B1382" s="1">
        <f>DATE(2012,5,3) + TIME(9,49,58)</f>
        <v>41032.409699074073</v>
      </c>
      <c r="C1382">
        <v>80</v>
      </c>
      <c r="D1382">
        <v>79.921272278000004</v>
      </c>
      <c r="E1382">
        <v>50</v>
      </c>
      <c r="F1382">
        <v>49.752479553000001</v>
      </c>
      <c r="G1382">
        <v>1340.2260742000001</v>
      </c>
      <c r="H1382">
        <v>1337.4528809000001</v>
      </c>
      <c r="I1382">
        <v>1326.942749</v>
      </c>
      <c r="J1382">
        <v>1325.2440185999999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733.49982699999998</v>
      </c>
      <c r="B1383" s="1">
        <f>DATE(2012,5,3) + TIME(11,59,45)</f>
        <v>41032.499826388892</v>
      </c>
      <c r="C1383">
        <v>80</v>
      </c>
      <c r="D1383">
        <v>79.931602478000002</v>
      </c>
      <c r="E1383">
        <v>50</v>
      </c>
      <c r="F1383">
        <v>49.745746613000001</v>
      </c>
      <c r="G1383">
        <v>1340.2395019999999</v>
      </c>
      <c r="H1383">
        <v>1337.4626464999999</v>
      </c>
      <c r="I1383">
        <v>1326.9431152</v>
      </c>
      <c r="J1383">
        <v>1325.2441406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733.59177299999999</v>
      </c>
      <c r="B1384" s="1">
        <f>DATE(2012,5,3) + TIME(14,12,9)</f>
        <v>41032.591770833336</v>
      </c>
      <c r="C1384">
        <v>80</v>
      </c>
      <c r="D1384">
        <v>79.940040588000002</v>
      </c>
      <c r="E1384">
        <v>50</v>
      </c>
      <c r="F1384">
        <v>49.738918304000002</v>
      </c>
      <c r="G1384">
        <v>1340.2514647999999</v>
      </c>
      <c r="H1384">
        <v>1337.4715576000001</v>
      </c>
      <c r="I1384">
        <v>1326.9434814000001</v>
      </c>
      <c r="J1384">
        <v>1325.2442627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733.68576199999995</v>
      </c>
      <c r="B1385" s="1">
        <f>DATE(2012,5,3) + TIME(16,27,29)</f>
        <v>41032.685752314814</v>
      </c>
      <c r="C1385">
        <v>80</v>
      </c>
      <c r="D1385">
        <v>79.946929932000003</v>
      </c>
      <c r="E1385">
        <v>50</v>
      </c>
      <c r="F1385">
        <v>49.731975554999998</v>
      </c>
      <c r="G1385">
        <v>1340.262207</v>
      </c>
      <c r="H1385">
        <v>1337.4794922000001</v>
      </c>
      <c r="I1385">
        <v>1326.9437256000001</v>
      </c>
      <c r="J1385">
        <v>1325.2441406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733.78202799999997</v>
      </c>
      <c r="B1386" s="1">
        <f>DATE(2012,5,3) + TIME(18,46,7)</f>
        <v>41032.782025462962</v>
      </c>
      <c r="C1386">
        <v>80</v>
      </c>
      <c r="D1386">
        <v>79.952529906999999</v>
      </c>
      <c r="E1386">
        <v>50</v>
      </c>
      <c r="F1386">
        <v>49.724906920999999</v>
      </c>
      <c r="G1386">
        <v>1340.2719727000001</v>
      </c>
      <c r="H1386">
        <v>1337.4868164</v>
      </c>
      <c r="I1386">
        <v>1326.9438477000001</v>
      </c>
      <c r="J1386">
        <v>1325.2440185999999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733.88082999999995</v>
      </c>
      <c r="B1387" s="1">
        <f>DATE(2012,5,3) + TIME(21,8,23)</f>
        <v>41032.88082175926</v>
      </c>
      <c r="C1387">
        <v>80</v>
      </c>
      <c r="D1387">
        <v>79.957077025999993</v>
      </c>
      <c r="E1387">
        <v>50</v>
      </c>
      <c r="F1387">
        <v>49.717693328999999</v>
      </c>
      <c r="G1387">
        <v>1340.2806396000001</v>
      </c>
      <c r="H1387">
        <v>1337.4932861</v>
      </c>
      <c r="I1387">
        <v>1326.9438477000001</v>
      </c>
      <c r="J1387">
        <v>1325.2437743999999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733.98244699999998</v>
      </c>
      <c r="B1388" s="1">
        <f>DATE(2012,5,3) + TIME(23,34,43)</f>
        <v>41032.982442129629</v>
      </c>
      <c r="C1388">
        <v>80</v>
      </c>
      <c r="D1388">
        <v>79.960754394999995</v>
      </c>
      <c r="E1388">
        <v>50</v>
      </c>
      <c r="F1388">
        <v>49.710319519000002</v>
      </c>
      <c r="G1388">
        <v>1340.2883300999999</v>
      </c>
      <c r="H1388">
        <v>1337.4991454999999</v>
      </c>
      <c r="I1388">
        <v>1326.9438477000001</v>
      </c>
      <c r="J1388">
        <v>1325.2435303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734.08719099999996</v>
      </c>
      <c r="B1389" s="1">
        <f>DATE(2012,5,4) + TIME(2,5,33)</f>
        <v>41033.087187500001</v>
      </c>
      <c r="C1389">
        <v>80</v>
      </c>
      <c r="D1389">
        <v>79.963722228999998</v>
      </c>
      <c r="E1389">
        <v>50</v>
      </c>
      <c r="F1389">
        <v>49.702762604</v>
      </c>
      <c r="G1389">
        <v>1340.2950439000001</v>
      </c>
      <c r="H1389">
        <v>1337.5043945</v>
      </c>
      <c r="I1389">
        <v>1326.9437256000001</v>
      </c>
      <c r="J1389">
        <v>1325.2431641000001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734.19544599999995</v>
      </c>
      <c r="B1390" s="1">
        <f>DATE(2012,5,4) + TIME(4,41,26)</f>
        <v>41033.195439814815</v>
      </c>
      <c r="C1390">
        <v>80</v>
      </c>
      <c r="D1390">
        <v>79.966117858999993</v>
      </c>
      <c r="E1390">
        <v>50</v>
      </c>
      <c r="F1390">
        <v>49.695003509999999</v>
      </c>
      <c r="G1390">
        <v>1340.3007812000001</v>
      </c>
      <c r="H1390">
        <v>1337.5089111</v>
      </c>
      <c r="I1390">
        <v>1326.9436035000001</v>
      </c>
      <c r="J1390">
        <v>1325.2426757999999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734.307725</v>
      </c>
      <c r="B1391" s="1">
        <f>DATE(2012,5,4) + TIME(7,23,7)</f>
        <v>41033.307719907411</v>
      </c>
      <c r="C1391">
        <v>80</v>
      </c>
      <c r="D1391">
        <v>79.968032836999996</v>
      </c>
      <c r="E1391">
        <v>50</v>
      </c>
      <c r="F1391">
        <v>49.687004088999998</v>
      </c>
      <c r="G1391">
        <v>1340.3051757999999</v>
      </c>
      <c r="H1391">
        <v>1337.5125731999999</v>
      </c>
      <c r="I1391">
        <v>1326.9433594</v>
      </c>
      <c r="J1391">
        <v>1325.2421875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734.42294500000003</v>
      </c>
      <c r="B1392" s="1">
        <f>DATE(2012,5,4) + TIME(10,9,2)</f>
        <v>41033.422939814816</v>
      </c>
      <c r="C1392">
        <v>80</v>
      </c>
      <c r="D1392">
        <v>79.969543457</v>
      </c>
      <c r="E1392">
        <v>50</v>
      </c>
      <c r="F1392">
        <v>49.678840637</v>
      </c>
      <c r="G1392">
        <v>1340.3073730000001</v>
      </c>
      <c r="H1392">
        <v>1337.5146483999999</v>
      </c>
      <c r="I1392">
        <v>1326.9429932</v>
      </c>
      <c r="J1392">
        <v>1325.2416992000001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734.54047600000001</v>
      </c>
      <c r="B1393" s="1">
        <f>DATE(2012,5,4) + TIME(12,58,17)</f>
        <v>41033.54047453704</v>
      </c>
      <c r="C1393">
        <v>80</v>
      </c>
      <c r="D1393">
        <v>79.970733643000003</v>
      </c>
      <c r="E1393">
        <v>50</v>
      </c>
      <c r="F1393">
        <v>49.6705513</v>
      </c>
      <c r="G1393">
        <v>1340.3088379000001</v>
      </c>
      <c r="H1393">
        <v>1337.5163574000001</v>
      </c>
      <c r="I1393">
        <v>1326.942749</v>
      </c>
      <c r="J1393">
        <v>1325.2410889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734.66056300000002</v>
      </c>
      <c r="B1394" s="1">
        <f>DATE(2012,5,4) + TIME(15,51,12)</f>
        <v>41033.660555555558</v>
      </c>
      <c r="C1394">
        <v>80</v>
      </c>
      <c r="D1394">
        <v>79.971664429</v>
      </c>
      <c r="E1394">
        <v>50</v>
      </c>
      <c r="F1394">
        <v>49.662120819000002</v>
      </c>
      <c r="G1394">
        <v>1340.3098144999999</v>
      </c>
      <c r="H1394">
        <v>1337.5177002</v>
      </c>
      <c r="I1394">
        <v>1326.9422606999999</v>
      </c>
      <c r="J1394">
        <v>1325.2403564000001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734.783413</v>
      </c>
      <c r="B1395" s="1">
        <f>DATE(2012,5,4) + TIME(18,48,6)</f>
        <v>41033.783402777779</v>
      </c>
      <c r="C1395">
        <v>80</v>
      </c>
      <c r="D1395">
        <v>79.972396850999999</v>
      </c>
      <c r="E1395">
        <v>50</v>
      </c>
      <c r="F1395">
        <v>49.653537749999998</v>
      </c>
      <c r="G1395">
        <v>1340.3101807</v>
      </c>
      <c r="H1395">
        <v>1337.5185547000001</v>
      </c>
      <c r="I1395">
        <v>1326.9418945</v>
      </c>
      <c r="J1395">
        <v>1325.2397461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734.90927999999997</v>
      </c>
      <c r="B1396" s="1">
        <f>DATE(2012,5,4) + TIME(21,49,21)</f>
        <v>41033.909270833334</v>
      </c>
      <c r="C1396">
        <v>80</v>
      </c>
      <c r="D1396">
        <v>79.972969054999993</v>
      </c>
      <c r="E1396">
        <v>50</v>
      </c>
      <c r="F1396">
        <v>49.644783019999998</v>
      </c>
      <c r="G1396">
        <v>1340.3099365</v>
      </c>
      <c r="H1396">
        <v>1337.5191649999999</v>
      </c>
      <c r="I1396">
        <v>1326.9414062000001</v>
      </c>
      <c r="J1396">
        <v>1325.2390137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735.03843900000004</v>
      </c>
      <c r="B1397" s="1">
        <f>DATE(2012,5,5) + TIME(0,55,21)</f>
        <v>41034.038437499999</v>
      </c>
      <c r="C1397">
        <v>80</v>
      </c>
      <c r="D1397">
        <v>79.973419188999998</v>
      </c>
      <c r="E1397">
        <v>50</v>
      </c>
      <c r="F1397">
        <v>49.635848998999997</v>
      </c>
      <c r="G1397">
        <v>1340.3092041</v>
      </c>
      <c r="H1397">
        <v>1337.5194091999999</v>
      </c>
      <c r="I1397">
        <v>1326.940918</v>
      </c>
      <c r="J1397">
        <v>1325.2382812000001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735.17119500000001</v>
      </c>
      <c r="B1398" s="1">
        <f>DATE(2012,5,5) + TIME(4,6,31)</f>
        <v>41034.17119212963</v>
      </c>
      <c r="C1398">
        <v>80</v>
      </c>
      <c r="D1398">
        <v>79.973777771000002</v>
      </c>
      <c r="E1398">
        <v>50</v>
      </c>
      <c r="F1398">
        <v>49.626712799000003</v>
      </c>
      <c r="G1398">
        <v>1340.3079834</v>
      </c>
      <c r="H1398">
        <v>1337.5192870999999</v>
      </c>
      <c r="I1398">
        <v>1326.9403076000001</v>
      </c>
      <c r="J1398">
        <v>1325.2374268000001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735.30788800000005</v>
      </c>
      <c r="B1399" s="1">
        <f>DATE(2012,5,5) + TIME(7,23,21)</f>
        <v>41034.307881944442</v>
      </c>
      <c r="C1399">
        <v>80</v>
      </c>
      <c r="D1399">
        <v>79.974052428999997</v>
      </c>
      <c r="E1399">
        <v>50</v>
      </c>
      <c r="F1399">
        <v>49.617355347</v>
      </c>
      <c r="G1399">
        <v>1340.3062743999999</v>
      </c>
      <c r="H1399">
        <v>1337.5189209</v>
      </c>
      <c r="I1399">
        <v>1326.9396973</v>
      </c>
      <c r="J1399">
        <v>1325.2366943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735.448893</v>
      </c>
      <c r="B1400" s="1">
        <f>DATE(2012,5,5) + TIME(10,46,24)</f>
        <v>41034.448888888888</v>
      </c>
      <c r="C1400">
        <v>80</v>
      </c>
      <c r="D1400">
        <v>79.974266052000004</v>
      </c>
      <c r="E1400">
        <v>50</v>
      </c>
      <c r="F1400">
        <v>49.607753754000001</v>
      </c>
      <c r="G1400">
        <v>1340.3040771000001</v>
      </c>
      <c r="H1400">
        <v>1337.5181885</v>
      </c>
      <c r="I1400">
        <v>1326.9392089999999</v>
      </c>
      <c r="J1400">
        <v>1325.2358397999999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735.59462699999995</v>
      </c>
      <c r="B1401" s="1">
        <f>DATE(2012,5,5) + TIME(14,16,15)</f>
        <v>41034.594618055555</v>
      </c>
      <c r="C1401">
        <v>80</v>
      </c>
      <c r="D1401">
        <v>79.974441528</v>
      </c>
      <c r="E1401">
        <v>50</v>
      </c>
      <c r="F1401">
        <v>49.597892760999997</v>
      </c>
      <c r="G1401">
        <v>1340.3013916</v>
      </c>
      <c r="H1401">
        <v>1337.5173339999999</v>
      </c>
      <c r="I1401">
        <v>1326.9384766000001</v>
      </c>
      <c r="J1401">
        <v>1325.2348632999999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735.74555999999995</v>
      </c>
      <c r="B1402" s="1">
        <f>DATE(2012,5,5) + TIME(17,53,36)</f>
        <v>41034.745555555557</v>
      </c>
      <c r="C1402">
        <v>80</v>
      </c>
      <c r="D1402">
        <v>79.974571228000002</v>
      </c>
      <c r="E1402">
        <v>50</v>
      </c>
      <c r="F1402">
        <v>49.587738037000001</v>
      </c>
      <c r="G1402">
        <v>1340.2984618999999</v>
      </c>
      <c r="H1402">
        <v>1337.5161132999999</v>
      </c>
      <c r="I1402">
        <v>1326.9378661999999</v>
      </c>
      <c r="J1402">
        <v>1325.2340088000001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735.902244</v>
      </c>
      <c r="B1403" s="1">
        <f>DATE(2012,5,5) + TIME(21,39,13)</f>
        <v>41034.902233796296</v>
      </c>
      <c r="C1403">
        <v>80</v>
      </c>
      <c r="D1403">
        <v>79.974678040000001</v>
      </c>
      <c r="E1403">
        <v>50</v>
      </c>
      <c r="F1403">
        <v>49.577259064000003</v>
      </c>
      <c r="G1403">
        <v>1340.2949219</v>
      </c>
      <c r="H1403">
        <v>1337.5147704999999</v>
      </c>
      <c r="I1403">
        <v>1326.9371338000001</v>
      </c>
      <c r="J1403">
        <v>1325.2330322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736.061508</v>
      </c>
      <c r="B1404" s="1">
        <f>DATE(2012,5,6) + TIME(1,28,34)</f>
        <v>41035.06150462963</v>
      </c>
      <c r="C1404">
        <v>80</v>
      </c>
      <c r="D1404">
        <v>79.974754333000007</v>
      </c>
      <c r="E1404">
        <v>50</v>
      </c>
      <c r="F1404">
        <v>49.566642760999997</v>
      </c>
      <c r="G1404">
        <v>1340.2911377</v>
      </c>
      <c r="H1404">
        <v>1337.5131836</v>
      </c>
      <c r="I1404">
        <v>1326.9364014</v>
      </c>
      <c r="J1404">
        <v>1325.2319336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736.22224900000003</v>
      </c>
      <c r="B1405" s="1">
        <f>DATE(2012,5,6) + TIME(5,20,2)</f>
        <v>41035.222245370373</v>
      </c>
      <c r="C1405">
        <v>80</v>
      </c>
      <c r="D1405">
        <v>79.974807738999999</v>
      </c>
      <c r="E1405">
        <v>50</v>
      </c>
      <c r="F1405">
        <v>49.555950164999999</v>
      </c>
      <c r="G1405">
        <v>1340.2871094</v>
      </c>
      <c r="H1405">
        <v>1337.5113524999999</v>
      </c>
      <c r="I1405">
        <v>1326.9356689000001</v>
      </c>
      <c r="J1405">
        <v>1325.230957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736.38483099999996</v>
      </c>
      <c r="B1406" s="1">
        <f>DATE(2012,5,6) + TIME(9,14,9)</f>
        <v>41035.384826388887</v>
      </c>
      <c r="C1406">
        <v>80</v>
      </c>
      <c r="D1406">
        <v>79.974853515999996</v>
      </c>
      <c r="E1406">
        <v>50</v>
      </c>
      <c r="F1406">
        <v>49.545162200999997</v>
      </c>
      <c r="G1406">
        <v>1340.2827147999999</v>
      </c>
      <c r="H1406">
        <v>1337.5093993999999</v>
      </c>
      <c r="I1406">
        <v>1326.9349365</v>
      </c>
      <c r="J1406">
        <v>1325.2298584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736.54965500000003</v>
      </c>
      <c r="B1407" s="1">
        <f>DATE(2012,5,6) + TIME(13,11,30)</f>
        <v>41035.54965277778</v>
      </c>
      <c r="C1407">
        <v>80</v>
      </c>
      <c r="D1407">
        <v>79.974884032999995</v>
      </c>
      <c r="E1407">
        <v>50</v>
      </c>
      <c r="F1407">
        <v>49.534263611</v>
      </c>
      <c r="G1407">
        <v>1340.2781981999999</v>
      </c>
      <c r="H1407">
        <v>1337.5074463000001</v>
      </c>
      <c r="I1407">
        <v>1326.934082</v>
      </c>
      <c r="J1407">
        <v>1325.2287598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736.717128</v>
      </c>
      <c r="B1408" s="1">
        <f>DATE(2012,5,6) + TIME(17,12,39)</f>
        <v>41035.717118055552</v>
      </c>
      <c r="C1408">
        <v>80</v>
      </c>
      <c r="D1408">
        <v>79.974906920999999</v>
      </c>
      <c r="E1408">
        <v>50</v>
      </c>
      <c r="F1408">
        <v>49.523235321000001</v>
      </c>
      <c r="G1408">
        <v>1340.2734375</v>
      </c>
      <c r="H1408">
        <v>1337.505249</v>
      </c>
      <c r="I1408">
        <v>1326.9333495999999</v>
      </c>
      <c r="J1408">
        <v>1325.2277832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736.88767700000005</v>
      </c>
      <c r="B1409" s="1">
        <f>DATE(2012,5,6) + TIME(21,18,15)</f>
        <v>41035.887673611112</v>
      </c>
      <c r="C1409">
        <v>80</v>
      </c>
      <c r="D1409">
        <v>79.974914550999998</v>
      </c>
      <c r="E1409">
        <v>50</v>
      </c>
      <c r="F1409">
        <v>49.512050629000001</v>
      </c>
      <c r="G1409">
        <v>1340.2684326000001</v>
      </c>
      <c r="H1409">
        <v>1337.5029297000001</v>
      </c>
      <c r="I1409">
        <v>1326.9324951000001</v>
      </c>
      <c r="J1409">
        <v>1325.2265625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737.06174899999996</v>
      </c>
      <c r="B1410" s="1">
        <f>DATE(2012,5,7) + TIME(1,28,55)</f>
        <v>41036.061747685184</v>
      </c>
      <c r="C1410">
        <v>80</v>
      </c>
      <c r="D1410">
        <v>79.974922179999993</v>
      </c>
      <c r="E1410">
        <v>50</v>
      </c>
      <c r="F1410">
        <v>49.500686645999998</v>
      </c>
      <c r="G1410">
        <v>1340.2633057</v>
      </c>
      <c r="H1410">
        <v>1337.5004882999999</v>
      </c>
      <c r="I1410">
        <v>1326.9316406</v>
      </c>
      <c r="J1410">
        <v>1325.2254639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737.23982599999999</v>
      </c>
      <c r="B1411" s="1">
        <f>DATE(2012,5,7) + TIME(5,45,20)</f>
        <v>41036.239814814813</v>
      </c>
      <c r="C1411">
        <v>80</v>
      </c>
      <c r="D1411">
        <v>79.974922179999993</v>
      </c>
      <c r="E1411">
        <v>50</v>
      </c>
      <c r="F1411">
        <v>49.489124298</v>
      </c>
      <c r="G1411">
        <v>1340.2569579999999</v>
      </c>
      <c r="H1411">
        <v>1337.4973144999999</v>
      </c>
      <c r="I1411">
        <v>1326.9307861</v>
      </c>
      <c r="J1411">
        <v>1325.2242432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737.42246399999999</v>
      </c>
      <c r="B1412" s="1">
        <f>DATE(2012,5,7) + TIME(10,8,20)</f>
        <v>41036.422453703701</v>
      </c>
      <c r="C1412">
        <v>80</v>
      </c>
      <c r="D1412">
        <v>79.974914550999998</v>
      </c>
      <c r="E1412">
        <v>50</v>
      </c>
      <c r="F1412">
        <v>49.477329253999997</v>
      </c>
      <c r="G1412">
        <v>1340.2503661999999</v>
      </c>
      <c r="H1412">
        <v>1337.4940185999999</v>
      </c>
      <c r="I1412">
        <v>1326.9299315999999</v>
      </c>
      <c r="J1412">
        <v>1325.2231445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737.60948399999995</v>
      </c>
      <c r="B1413" s="1">
        <f>DATE(2012,5,7) + TIME(14,37,39)</f>
        <v>41036.609479166669</v>
      </c>
      <c r="C1413">
        <v>80</v>
      </c>
      <c r="D1413">
        <v>79.974906920999999</v>
      </c>
      <c r="E1413">
        <v>50</v>
      </c>
      <c r="F1413">
        <v>49.465312957999998</v>
      </c>
      <c r="G1413">
        <v>1340.2437743999999</v>
      </c>
      <c r="H1413">
        <v>1337.4906006000001</v>
      </c>
      <c r="I1413">
        <v>1326.9289550999999</v>
      </c>
      <c r="J1413">
        <v>1325.2218018000001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737.80015400000002</v>
      </c>
      <c r="B1414" s="1">
        <f>DATE(2012,5,7) + TIME(19,12,13)</f>
        <v>41036.800150462965</v>
      </c>
      <c r="C1414">
        <v>80</v>
      </c>
      <c r="D1414">
        <v>79.974899292000003</v>
      </c>
      <c r="E1414">
        <v>50</v>
      </c>
      <c r="F1414">
        <v>49.453117370999998</v>
      </c>
      <c r="G1414">
        <v>1340.2369385</v>
      </c>
      <c r="H1414">
        <v>1337.4873047000001</v>
      </c>
      <c r="I1414">
        <v>1326.9279785000001</v>
      </c>
      <c r="J1414">
        <v>1325.2205810999999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737.99496199999999</v>
      </c>
      <c r="B1415" s="1">
        <f>DATE(2012,5,7) + TIME(23,52,44)</f>
        <v>41036.994953703703</v>
      </c>
      <c r="C1415">
        <v>80</v>
      </c>
      <c r="D1415">
        <v>79.974876404</v>
      </c>
      <c r="E1415">
        <v>50</v>
      </c>
      <c r="F1415">
        <v>49.440711974999999</v>
      </c>
      <c r="G1415">
        <v>1340.2302245999999</v>
      </c>
      <c r="H1415">
        <v>1337.4838867000001</v>
      </c>
      <c r="I1415">
        <v>1326.9270019999999</v>
      </c>
      <c r="J1415">
        <v>1325.2192382999999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738.19439799999998</v>
      </c>
      <c r="B1416" s="1">
        <f>DATE(2012,5,8) + TIME(4,39,55)</f>
        <v>41037.194386574076</v>
      </c>
      <c r="C1416">
        <v>80</v>
      </c>
      <c r="D1416">
        <v>79.974861145000006</v>
      </c>
      <c r="E1416">
        <v>50</v>
      </c>
      <c r="F1416">
        <v>49.428081511999999</v>
      </c>
      <c r="G1416">
        <v>1340.2232666</v>
      </c>
      <c r="H1416">
        <v>1337.4804687999999</v>
      </c>
      <c r="I1416">
        <v>1326.9260254000001</v>
      </c>
      <c r="J1416">
        <v>1325.2178954999999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738.39765699999998</v>
      </c>
      <c r="B1417" s="1">
        <f>DATE(2012,5,8) + TIME(9,32,37)</f>
        <v>41037.397650462961</v>
      </c>
      <c r="C1417">
        <v>80</v>
      </c>
      <c r="D1417">
        <v>79.974845885999997</v>
      </c>
      <c r="E1417">
        <v>50</v>
      </c>
      <c r="F1417">
        <v>49.415264129999997</v>
      </c>
      <c r="G1417">
        <v>1340.2164307</v>
      </c>
      <c r="H1417">
        <v>1337.4770507999999</v>
      </c>
      <c r="I1417">
        <v>1326.9249268000001</v>
      </c>
      <c r="J1417">
        <v>1325.2165527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738.60316499999999</v>
      </c>
      <c r="B1418" s="1">
        <f>DATE(2012,5,8) + TIME(14,28,33)</f>
        <v>41037.603159722225</v>
      </c>
      <c r="C1418">
        <v>80</v>
      </c>
      <c r="D1418">
        <v>79.974822997999993</v>
      </c>
      <c r="E1418">
        <v>50</v>
      </c>
      <c r="F1418">
        <v>49.40234375</v>
      </c>
      <c r="G1418">
        <v>1340.2093506000001</v>
      </c>
      <c r="H1418">
        <v>1337.4736327999999</v>
      </c>
      <c r="I1418">
        <v>1326.9239502</v>
      </c>
      <c r="J1418">
        <v>1325.2150879000001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738.81137699999999</v>
      </c>
      <c r="B1419" s="1">
        <f>DATE(2012,5,8) + TIME(19,28,23)</f>
        <v>41037.811377314814</v>
      </c>
      <c r="C1419">
        <v>80</v>
      </c>
      <c r="D1419">
        <v>79.974800110000004</v>
      </c>
      <c r="E1419">
        <v>50</v>
      </c>
      <c r="F1419">
        <v>49.3893013</v>
      </c>
      <c r="G1419">
        <v>1340.2025146000001</v>
      </c>
      <c r="H1419">
        <v>1337.4702147999999</v>
      </c>
      <c r="I1419">
        <v>1326.9228516000001</v>
      </c>
      <c r="J1419">
        <v>1325.2136230000001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739.02269999999999</v>
      </c>
      <c r="B1420" s="1">
        <f>DATE(2012,5,9) + TIME(0,32,41)</f>
        <v>41038.022696759261</v>
      </c>
      <c r="C1420">
        <v>80</v>
      </c>
      <c r="D1420">
        <v>79.974777222</v>
      </c>
      <c r="E1420">
        <v>50</v>
      </c>
      <c r="F1420">
        <v>49.376117706000002</v>
      </c>
      <c r="G1420">
        <v>1340.1955565999999</v>
      </c>
      <c r="H1420">
        <v>1337.4667969</v>
      </c>
      <c r="I1420">
        <v>1326.9217529</v>
      </c>
      <c r="J1420">
        <v>1325.2121582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739.23750399999994</v>
      </c>
      <c r="B1421" s="1">
        <f>DATE(2012,5,9) + TIME(5,42,0)</f>
        <v>41038.237500000003</v>
      </c>
      <c r="C1421">
        <v>80</v>
      </c>
      <c r="D1421">
        <v>79.974746703999998</v>
      </c>
      <c r="E1421">
        <v>50</v>
      </c>
      <c r="F1421">
        <v>49.362781525000003</v>
      </c>
      <c r="G1421">
        <v>1340.1885986</v>
      </c>
      <c r="H1421">
        <v>1337.4633789</v>
      </c>
      <c r="I1421">
        <v>1326.9205322</v>
      </c>
      <c r="J1421">
        <v>1325.2105713000001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739.45623999999998</v>
      </c>
      <c r="B1422" s="1">
        <f>DATE(2012,5,9) + TIME(10,56,59)</f>
        <v>41038.456238425926</v>
      </c>
      <c r="C1422">
        <v>80</v>
      </c>
      <c r="D1422">
        <v>79.974723815999994</v>
      </c>
      <c r="E1422">
        <v>50</v>
      </c>
      <c r="F1422">
        <v>49.349266051999997</v>
      </c>
      <c r="G1422">
        <v>1340.1817627</v>
      </c>
      <c r="H1422">
        <v>1337.4600829999999</v>
      </c>
      <c r="I1422">
        <v>1326.9194336</v>
      </c>
      <c r="J1422">
        <v>1325.2089844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739.67938000000004</v>
      </c>
      <c r="B1423" s="1">
        <f>DATE(2012,5,9) + TIME(16,18,18)</f>
        <v>41038.679375</v>
      </c>
      <c r="C1423">
        <v>80</v>
      </c>
      <c r="D1423">
        <v>79.974700928000004</v>
      </c>
      <c r="E1423">
        <v>50</v>
      </c>
      <c r="F1423">
        <v>49.335552216000004</v>
      </c>
      <c r="G1423">
        <v>1340.1748047000001</v>
      </c>
      <c r="H1423">
        <v>1337.4566649999999</v>
      </c>
      <c r="I1423">
        <v>1326.9182129000001</v>
      </c>
      <c r="J1423">
        <v>1325.2073975000001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739.90743699999996</v>
      </c>
      <c r="B1424" s="1">
        <f>DATE(2012,5,9) + TIME(21,46,42)</f>
        <v>41038.907430555555</v>
      </c>
      <c r="C1424">
        <v>80</v>
      </c>
      <c r="D1424">
        <v>79.974670410000002</v>
      </c>
      <c r="E1424">
        <v>50</v>
      </c>
      <c r="F1424">
        <v>49.321617126</v>
      </c>
      <c r="G1424">
        <v>1340.1678466999999</v>
      </c>
      <c r="H1424">
        <v>1337.4533690999999</v>
      </c>
      <c r="I1424">
        <v>1326.9169922000001</v>
      </c>
      <c r="J1424">
        <v>1325.2056885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740.14097000000004</v>
      </c>
      <c r="B1425" s="1">
        <f>DATE(2012,5,10) + TIME(3,22,59)</f>
        <v>41039.140960648147</v>
      </c>
      <c r="C1425">
        <v>80</v>
      </c>
      <c r="D1425">
        <v>79.974639893000003</v>
      </c>
      <c r="E1425">
        <v>50</v>
      </c>
      <c r="F1425">
        <v>49.307434082</v>
      </c>
      <c r="G1425">
        <v>1340.1607666</v>
      </c>
      <c r="H1425">
        <v>1337.4500731999999</v>
      </c>
      <c r="I1425">
        <v>1326.9157714999999</v>
      </c>
      <c r="J1425">
        <v>1325.2039795000001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740.38059199999998</v>
      </c>
      <c r="B1426" s="1">
        <f>DATE(2012,5,10) + TIME(9,8,3)</f>
        <v>41039.380590277775</v>
      </c>
      <c r="C1426">
        <v>80</v>
      </c>
      <c r="D1426">
        <v>79.974617003999995</v>
      </c>
      <c r="E1426">
        <v>50</v>
      </c>
      <c r="F1426">
        <v>49.29296875</v>
      </c>
      <c r="G1426">
        <v>1340.1538086</v>
      </c>
      <c r="H1426">
        <v>1337.4466553</v>
      </c>
      <c r="I1426">
        <v>1326.9144286999999</v>
      </c>
      <c r="J1426">
        <v>1325.2022704999999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740.626982</v>
      </c>
      <c r="B1427" s="1">
        <f>DATE(2012,5,10) + TIME(15,2,51)</f>
        <v>41039.626979166664</v>
      </c>
      <c r="C1427">
        <v>80</v>
      </c>
      <c r="D1427">
        <v>79.974586486999996</v>
      </c>
      <c r="E1427">
        <v>50</v>
      </c>
      <c r="F1427">
        <v>49.278190613</v>
      </c>
      <c r="G1427">
        <v>1340.1467285000001</v>
      </c>
      <c r="H1427">
        <v>1337.4433594</v>
      </c>
      <c r="I1427">
        <v>1326.9130858999999</v>
      </c>
      <c r="J1427">
        <v>1325.2004394999999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740.88089200000002</v>
      </c>
      <c r="B1428" s="1">
        <f>DATE(2012,5,10) + TIME(21,8,29)</f>
        <v>41039.880891203706</v>
      </c>
      <c r="C1428">
        <v>80</v>
      </c>
      <c r="D1428">
        <v>79.974555968999994</v>
      </c>
      <c r="E1428">
        <v>50</v>
      </c>
      <c r="F1428">
        <v>49.263065337999997</v>
      </c>
      <c r="G1428">
        <v>1340.1395264</v>
      </c>
      <c r="H1428">
        <v>1337.4400635</v>
      </c>
      <c r="I1428">
        <v>1326.9116211</v>
      </c>
      <c r="J1428">
        <v>1325.1984863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741.14152100000001</v>
      </c>
      <c r="B1429" s="1">
        <f>DATE(2012,5,11) + TIME(3,23,47)</f>
        <v>41040.141516203701</v>
      </c>
      <c r="C1429">
        <v>80</v>
      </c>
      <c r="D1429">
        <v>79.974525451999995</v>
      </c>
      <c r="E1429">
        <v>50</v>
      </c>
      <c r="F1429">
        <v>49.247631073000001</v>
      </c>
      <c r="G1429">
        <v>1340.1323242000001</v>
      </c>
      <c r="H1429">
        <v>1337.4366454999999</v>
      </c>
      <c r="I1429">
        <v>1326.9101562000001</v>
      </c>
      <c r="J1429">
        <v>1325.1965332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741.40636400000005</v>
      </c>
      <c r="B1430" s="1">
        <f>DATE(2012,5,11) + TIME(9,45,9)</f>
        <v>41040.406354166669</v>
      </c>
      <c r="C1430">
        <v>80</v>
      </c>
      <c r="D1430">
        <v>79.974494934000006</v>
      </c>
      <c r="E1430">
        <v>50</v>
      </c>
      <c r="F1430">
        <v>49.231994628999999</v>
      </c>
      <c r="G1430">
        <v>1340.125</v>
      </c>
      <c r="H1430">
        <v>1337.4333495999999</v>
      </c>
      <c r="I1430">
        <v>1326.9086914</v>
      </c>
      <c r="J1430">
        <v>1325.1944579999999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741.67617499999994</v>
      </c>
      <c r="B1431" s="1">
        <f>DATE(2012,5,11) + TIME(16,13,41)</f>
        <v>41040.676168981481</v>
      </c>
      <c r="C1431">
        <v>80</v>
      </c>
      <c r="D1431">
        <v>79.974464416999993</v>
      </c>
      <c r="E1431">
        <v>50</v>
      </c>
      <c r="F1431">
        <v>49.216136931999998</v>
      </c>
      <c r="G1431">
        <v>1340.1177978999999</v>
      </c>
      <c r="H1431">
        <v>1337.4299315999999</v>
      </c>
      <c r="I1431">
        <v>1326.9071045000001</v>
      </c>
      <c r="J1431">
        <v>1325.1923827999999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741.95172700000001</v>
      </c>
      <c r="B1432" s="1">
        <f>DATE(2012,5,11) + TIME(22,50,29)</f>
        <v>41040.951724537037</v>
      </c>
      <c r="C1432">
        <v>80</v>
      </c>
      <c r="D1432">
        <v>79.974433899000005</v>
      </c>
      <c r="E1432">
        <v>50</v>
      </c>
      <c r="F1432">
        <v>49.200027466000002</v>
      </c>
      <c r="G1432">
        <v>1340.1104736</v>
      </c>
      <c r="H1432">
        <v>1337.4266356999999</v>
      </c>
      <c r="I1432">
        <v>1326.9055175999999</v>
      </c>
      <c r="J1432">
        <v>1325.1901855000001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742.23467000000005</v>
      </c>
      <c r="B1433" s="1">
        <f>DATE(2012,5,12) + TIME(5,37,55)</f>
        <v>41041.234664351854</v>
      </c>
      <c r="C1433">
        <v>80</v>
      </c>
      <c r="D1433">
        <v>79.974403381000002</v>
      </c>
      <c r="E1433">
        <v>50</v>
      </c>
      <c r="F1433">
        <v>49.183589935000001</v>
      </c>
      <c r="G1433">
        <v>1340.1032714999999</v>
      </c>
      <c r="H1433">
        <v>1337.4233397999999</v>
      </c>
      <c r="I1433">
        <v>1326.9038086</v>
      </c>
      <c r="J1433">
        <v>1325.1879882999999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742.52536199999997</v>
      </c>
      <c r="B1434" s="1">
        <f>DATE(2012,5,12) + TIME(12,36,31)</f>
        <v>41041.525358796294</v>
      </c>
      <c r="C1434">
        <v>80</v>
      </c>
      <c r="D1434">
        <v>79.974365234000004</v>
      </c>
      <c r="E1434">
        <v>50</v>
      </c>
      <c r="F1434">
        <v>49.166816711000003</v>
      </c>
      <c r="G1434">
        <v>1340.0959473</v>
      </c>
      <c r="H1434">
        <v>1337.4200439000001</v>
      </c>
      <c r="I1434">
        <v>1326.9020995999999</v>
      </c>
      <c r="J1434">
        <v>1325.1855469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742.81959099999995</v>
      </c>
      <c r="B1435" s="1">
        <f>DATE(2012,5,12) + TIME(19,40,12)</f>
        <v>41041.81958333333</v>
      </c>
      <c r="C1435">
        <v>80</v>
      </c>
      <c r="D1435">
        <v>79.974334717000005</v>
      </c>
      <c r="E1435">
        <v>50</v>
      </c>
      <c r="F1435">
        <v>49.149883269999997</v>
      </c>
      <c r="G1435">
        <v>1340.0886230000001</v>
      </c>
      <c r="H1435">
        <v>1337.4167480000001</v>
      </c>
      <c r="I1435">
        <v>1326.9003906</v>
      </c>
      <c r="J1435">
        <v>1325.1832274999999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743.11810000000003</v>
      </c>
      <c r="B1436" s="1">
        <f>DATE(2012,5,13) + TIME(2,50,3)</f>
        <v>41042.118090277778</v>
      </c>
      <c r="C1436">
        <v>80</v>
      </c>
      <c r="D1436">
        <v>79.974304199000002</v>
      </c>
      <c r="E1436">
        <v>50</v>
      </c>
      <c r="F1436">
        <v>49.132770538000003</v>
      </c>
      <c r="G1436">
        <v>1340.0812988</v>
      </c>
      <c r="H1436">
        <v>1337.4134521000001</v>
      </c>
      <c r="I1436">
        <v>1326.8985596</v>
      </c>
      <c r="J1436">
        <v>1325.1806641000001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743.42160799999999</v>
      </c>
      <c r="B1437" s="1">
        <f>DATE(2012,5,13) + TIME(10,7,6)</f>
        <v>41042.421597222223</v>
      </c>
      <c r="C1437">
        <v>80</v>
      </c>
      <c r="D1437">
        <v>79.974273682000003</v>
      </c>
      <c r="E1437">
        <v>50</v>
      </c>
      <c r="F1437">
        <v>49.115455627000003</v>
      </c>
      <c r="G1437">
        <v>1340.0740966999999</v>
      </c>
      <c r="H1437">
        <v>1337.4102783000001</v>
      </c>
      <c r="I1437">
        <v>1326.8966064000001</v>
      </c>
      <c r="J1437">
        <v>1325.1781006000001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743.72895500000004</v>
      </c>
      <c r="B1438" s="1">
        <f>DATE(2012,5,13) + TIME(17,29,41)</f>
        <v>41042.728946759256</v>
      </c>
      <c r="C1438">
        <v>80</v>
      </c>
      <c r="D1438">
        <v>79.974235535000005</v>
      </c>
      <c r="E1438">
        <v>50</v>
      </c>
      <c r="F1438">
        <v>49.097991942999997</v>
      </c>
      <c r="G1438">
        <v>1340.0668945</v>
      </c>
      <c r="H1438">
        <v>1337.4069824000001</v>
      </c>
      <c r="I1438">
        <v>1326.8947754000001</v>
      </c>
      <c r="J1438">
        <v>1325.1755370999999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744.03835600000002</v>
      </c>
      <c r="B1439" s="1">
        <f>DATE(2012,5,14) + TIME(0,55,13)</f>
        <v>41043.038344907407</v>
      </c>
      <c r="C1439">
        <v>80</v>
      </c>
      <c r="D1439">
        <v>79.974205017000003</v>
      </c>
      <c r="E1439">
        <v>50</v>
      </c>
      <c r="F1439">
        <v>49.080467224000003</v>
      </c>
      <c r="G1439">
        <v>1340.0598144999999</v>
      </c>
      <c r="H1439">
        <v>1337.4039307</v>
      </c>
      <c r="I1439">
        <v>1326.8927002</v>
      </c>
      <c r="J1439">
        <v>1325.1727295000001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744.350504</v>
      </c>
      <c r="B1440" s="1">
        <f>DATE(2012,5,14) + TIME(8,24,43)</f>
        <v>41043.350497685184</v>
      </c>
      <c r="C1440">
        <v>80</v>
      </c>
      <c r="D1440">
        <v>79.974174500000004</v>
      </c>
      <c r="E1440">
        <v>50</v>
      </c>
      <c r="F1440">
        <v>49.062858581999997</v>
      </c>
      <c r="G1440">
        <v>1340.0527344</v>
      </c>
      <c r="H1440">
        <v>1337.4007568</v>
      </c>
      <c r="I1440">
        <v>1326.8907471</v>
      </c>
      <c r="J1440">
        <v>1325.1700439000001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744.66622800000005</v>
      </c>
      <c r="B1441" s="1">
        <f>DATE(2012,5,14) + TIME(15,59,22)</f>
        <v>41043.666226851848</v>
      </c>
      <c r="C1441">
        <v>80</v>
      </c>
      <c r="D1441">
        <v>79.974143982000001</v>
      </c>
      <c r="E1441">
        <v>50</v>
      </c>
      <c r="F1441">
        <v>49.045143127000003</v>
      </c>
      <c r="G1441">
        <v>1340.0456543</v>
      </c>
      <c r="H1441">
        <v>1337.3977050999999</v>
      </c>
      <c r="I1441">
        <v>1326.8886719</v>
      </c>
      <c r="J1441">
        <v>1325.1672363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744.98609199999999</v>
      </c>
      <c r="B1442" s="1">
        <f>DATE(2012,5,14) + TIME(23,39,58)</f>
        <v>41043.986087962963</v>
      </c>
      <c r="C1442">
        <v>80</v>
      </c>
      <c r="D1442">
        <v>79.974113463999998</v>
      </c>
      <c r="E1442">
        <v>50</v>
      </c>
      <c r="F1442">
        <v>49.027294159</v>
      </c>
      <c r="G1442">
        <v>1340.0388184000001</v>
      </c>
      <c r="H1442">
        <v>1337.3947754000001</v>
      </c>
      <c r="I1442">
        <v>1326.8865966999999</v>
      </c>
      <c r="J1442">
        <v>1325.1643065999999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745.31082300000003</v>
      </c>
      <c r="B1443" s="1">
        <f>DATE(2012,5,15) + TIME(7,27,35)</f>
        <v>41044.31082175926</v>
      </c>
      <c r="C1443">
        <v>80</v>
      </c>
      <c r="D1443">
        <v>79.974075317</v>
      </c>
      <c r="E1443">
        <v>50</v>
      </c>
      <c r="F1443">
        <v>49.009288787999999</v>
      </c>
      <c r="G1443">
        <v>1340.0318603999999</v>
      </c>
      <c r="H1443">
        <v>1337.3917236</v>
      </c>
      <c r="I1443">
        <v>1326.8843993999999</v>
      </c>
      <c r="J1443">
        <v>1325.1613769999999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745.64118499999995</v>
      </c>
      <c r="B1444" s="1">
        <f>DATE(2012,5,15) + TIME(15,23,18)</f>
        <v>41044.641180555554</v>
      </c>
      <c r="C1444">
        <v>80</v>
      </c>
      <c r="D1444">
        <v>79.974044800000001</v>
      </c>
      <c r="E1444">
        <v>50</v>
      </c>
      <c r="F1444">
        <v>48.991096497000001</v>
      </c>
      <c r="G1444">
        <v>1340.0250243999999</v>
      </c>
      <c r="H1444">
        <v>1337.3887939000001</v>
      </c>
      <c r="I1444">
        <v>1326.8822021000001</v>
      </c>
      <c r="J1444">
        <v>1325.1583252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745.97800099999995</v>
      </c>
      <c r="B1445" s="1">
        <f>DATE(2012,5,15) + TIME(23,28,19)</f>
        <v>41044.977997685186</v>
      </c>
      <c r="C1445">
        <v>80</v>
      </c>
      <c r="D1445">
        <v>79.974014281999999</v>
      </c>
      <c r="E1445">
        <v>50</v>
      </c>
      <c r="F1445">
        <v>48.972679137999997</v>
      </c>
      <c r="G1445">
        <v>1340.0181885</v>
      </c>
      <c r="H1445">
        <v>1337.3858643000001</v>
      </c>
      <c r="I1445">
        <v>1326.8800048999999</v>
      </c>
      <c r="J1445">
        <v>1325.1551514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746.32214699999997</v>
      </c>
      <c r="B1446" s="1">
        <f>DATE(2012,5,16) + TIME(7,43,53)</f>
        <v>41045.322141203702</v>
      </c>
      <c r="C1446">
        <v>80</v>
      </c>
      <c r="D1446">
        <v>79.973983765</v>
      </c>
      <c r="E1446">
        <v>50</v>
      </c>
      <c r="F1446">
        <v>48.953998566000003</v>
      </c>
      <c r="G1446">
        <v>1340.0113524999999</v>
      </c>
      <c r="H1446">
        <v>1337.3830565999999</v>
      </c>
      <c r="I1446">
        <v>1326.8776855000001</v>
      </c>
      <c r="J1446">
        <v>1325.1519774999999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746.67333699999995</v>
      </c>
      <c r="B1447" s="1">
        <f>DATE(2012,5,16) + TIME(16,9,36)</f>
        <v>41045.673333333332</v>
      </c>
      <c r="C1447">
        <v>80</v>
      </c>
      <c r="D1447">
        <v>79.973953246999997</v>
      </c>
      <c r="E1447">
        <v>50</v>
      </c>
      <c r="F1447">
        <v>48.935062408</v>
      </c>
      <c r="G1447">
        <v>1340.0045166</v>
      </c>
      <c r="H1447">
        <v>1337.3801269999999</v>
      </c>
      <c r="I1447">
        <v>1326.8752440999999</v>
      </c>
      <c r="J1447">
        <v>1325.1485596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747.032195</v>
      </c>
      <c r="B1448" s="1">
        <f>DATE(2012,5,17) + TIME(0,46,21)</f>
        <v>41046.032187500001</v>
      </c>
      <c r="C1448">
        <v>80</v>
      </c>
      <c r="D1448">
        <v>79.973922728999995</v>
      </c>
      <c r="E1448">
        <v>50</v>
      </c>
      <c r="F1448">
        <v>48.915843963999997</v>
      </c>
      <c r="G1448">
        <v>1339.9976807</v>
      </c>
      <c r="H1448">
        <v>1337.3771973</v>
      </c>
      <c r="I1448">
        <v>1326.8726807</v>
      </c>
      <c r="J1448">
        <v>1325.1451416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747.39975300000003</v>
      </c>
      <c r="B1449" s="1">
        <f>DATE(2012,5,17) + TIME(9,35,38)</f>
        <v>41046.399745370371</v>
      </c>
      <c r="C1449">
        <v>80</v>
      </c>
      <c r="D1449">
        <v>79.973884583</v>
      </c>
      <c r="E1449">
        <v>50</v>
      </c>
      <c r="F1449">
        <v>48.896308898999997</v>
      </c>
      <c r="G1449">
        <v>1339.9908447</v>
      </c>
      <c r="H1449">
        <v>1337.3743896000001</v>
      </c>
      <c r="I1449">
        <v>1326.8701172000001</v>
      </c>
      <c r="J1449">
        <v>1325.1416016000001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747.77707699999996</v>
      </c>
      <c r="B1450" s="1">
        <f>DATE(2012,5,17) + TIME(18,38,59)</f>
        <v>41046.777071759258</v>
      </c>
      <c r="C1450">
        <v>80</v>
      </c>
      <c r="D1450">
        <v>79.973854064999998</v>
      </c>
      <c r="E1450">
        <v>50</v>
      </c>
      <c r="F1450">
        <v>48.876407622999999</v>
      </c>
      <c r="G1450">
        <v>1339.9838867000001</v>
      </c>
      <c r="H1450">
        <v>1337.3714600000001</v>
      </c>
      <c r="I1450">
        <v>1326.8674315999999</v>
      </c>
      <c r="J1450">
        <v>1325.1378173999999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748.16532600000005</v>
      </c>
      <c r="B1451" s="1">
        <f>DATE(2012,5,18) + TIME(3,58,4)</f>
        <v>41047.165324074071</v>
      </c>
      <c r="C1451">
        <v>80</v>
      </c>
      <c r="D1451">
        <v>79.973823546999995</v>
      </c>
      <c r="E1451">
        <v>50</v>
      </c>
      <c r="F1451">
        <v>48.85609436</v>
      </c>
      <c r="G1451">
        <v>1339.9769286999999</v>
      </c>
      <c r="H1451">
        <v>1337.3686522999999</v>
      </c>
      <c r="I1451">
        <v>1326.8647461</v>
      </c>
      <c r="J1451">
        <v>1325.1340332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748.56719499999997</v>
      </c>
      <c r="B1452" s="1">
        <f>DATE(2012,5,18) + TIME(13,36,45)</f>
        <v>41047.567187499997</v>
      </c>
      <c r="C1452">
        <v>80</v>
      </c>
      <c r="D1452">
        <v>79.973793029999996</v>
      </c>
      <c r="E1452">
        <v>50</v>
      </c>
      <c r="F1452">
        <v>48.835266113000003</v>
      </c>
      <c r="G1452">
        <v>1339.9699707</v>
      </c>
      <c r="H1452">
        <v>1337.3657227000001</v>
      </c>
      <c r="I1452">
        <v>1326.8618164</v>
      </c>
      <c r="J1452">
        <v>1325.1300048999999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748.97739799999999</v>
      </c>
      <c r="B1453" s="1">
        <f>DATE(2012,5,18) + TIME(23,27,27)</f>
        <v>41047.977395833332</v>
      </c>
      <c r="C1453">
        <v>80</v>
      </c>
      <c r="D1453">
        <v>79.973754882999998</v>
      </c>
      <c r="E1453">
        <v>50</v>
      </c>
      <c r="F1453">
        <v>48.814102173000002</v>
      </c>
      <c r="G1453">
        <v>1339.9628906</v>
      </c>
      <c r="H1453">
        <v>1337.362793</v>
      </c>
      <c r="I1453">
        <v>1326.8587646000001</v>
      </c>
      <c r="J1453">
        <v>1325.1258545000001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749.39164200000005</v>
      </c>
      <c r="B1454" s="1">
        <f>DATE(2012,5,19) + TIME(9,23,57)</f>
        <v>41048.391631944447</v>
      </c>
      <c r="C1454">
        <v>80</v>
      </c>
      <c r="D1454">
        <v>79.973724364999995</v>
      </c>
      <c r="E1454">
        <v>50</v>
      </c>
      <c r="F1454">
        <v>48.792762756000002</v>
      </c>
      <c r="G1454">
        <v>1339.9558105000001</v>
      </c>
      <c r="H1454">
        <v>1337.3598632999999</v>
      </c>
      <c r="I1454">
        <v>1326.8557129000001</v>
      </c>
      <c r="J1454">
        <v>1325.1214600000001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749.81115799999998</v>
      </c>
      <c r="B1455" s="1">
        <f>DATE(2012,5,19) + TIME(19,28,4)</f>
        <v>41048.811157407406</v>
      </c>
      <c r="C1455">
        <v>80</v>
      </c>
      <c r="D1455">
        <v>79.973693847999996</v>
      </c>
      <c r="E1455">
        <v>50</v>
      </c>
      <c r="F1455">
        <v>48.771240233999997</v>
      </c>
      <c r="G1455">
        <v>1339.9487305</v>
      </c>
      <c r="H1455">
        <v>1337.3570557</v>
      </c>
      <c r="I1455">
        <v>1326.8525391000001</v>
      </c>
      <c r="J1455">
        <v>1325.1170654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750.23710500000004</v>
      </c>
      <c r="B1456" s="1">
        <f>DATE(2012,5,20) + TIME(5,41,25)</f>
        <v>41049.23709490741</v>
      </c>
      <c r="C1456">
        <v>80</v>
      </c>
      <c r="D1456">
        <v>79.973655700999998</v>
      </c>
      <c r="E1456">
        <v>50</v>
      </c>
      <c r="F1456">
        <v>48.749511718999997</v>
      </c>
      <c r="G1456">
        <v>1339.9417725000001</v>
      </c>
      <c r="H1456">
        <v>1337.3542480000001</v>
      </c>
      <c r="I1456">
        <v>1326.8492432</v>
      </c>
      <c r="J1456">
        <v>1325.1124268000001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750.66360699999996</v>
      </c>
      <c r="B1457" s="1">
        <f>DATE(2012,5,20) + TIME(15,55,35)</f>
        <v>41049.663599537038</v>
      </c>
      <c r="C1457">
        <v>80</v>
      </c>
      <c r="D1457">
        <v>79.973625182999996</v>
      </c>
      <c r="E1457">
        <v>50</v>
      </c>
      <c r="F1457">
        <v>48.727787018000001</v>
      </c>
      <c r="G1457">
        <v>1339.9349365</v>
      </c>
      <c r="H1457">
        <v>1337.3514404</v>
      </c>
      <c r="I1457">
        <v>1326.8459473</v>
      </c>
      <c r="J1457">
        <v>1325.1077881000001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751.09126300000003</v>
      </c>
      <c r="B1458" s="1">
        <f>DATE(2012,5,21) + TIME(2,11,25)</f>
        <v>41050.091261574074</v>
      </c>
      <c r="C1458">
        <v>80</v>
      </c>
      <c r="D1458">
        <v>79.973594665999997</v>
      </c>
      <c r="E1458">
        <v>50</v>
      </c>
      <c r="F1458">
        <v>48.706085205000001</v>
      </c>
      <c r="G1458">
        <v>1339.9281006000001</v>
      </c>
      <c r="H1458">
        <v>1337.3487548999999</v>
      </c>
      <c r="I1458">
        <v>1326.8425293</v>
      </c>
      <c r="J1458">
        <v>1325.1030272999999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751.52110900000002</v>
      </c>
      <c r="B1459" s="1">
        <f>DATE(2012,5,21) + TIME(12,30,23)</f>
        <v>41050.521099537036</v>
      </c>
      <c r="C1459">
        <v>80</v>
      </c>
      <c r="D1459">
        <v>79.973564147999994</v>
      </c>
      <c r="E1459">
        <v>50</v>
      </c>
      <c r="F1459">
        <v>48.684383392000001</v>
      </c>
      <c r="G1459">
        <v>1339.9213867000001</v>
      </c>
      <c r="H1459">
        <v>1337.3460693</v>
      </c>
      <c r="I1459">
        <v>1326.8391113</v>
      </c>
      <c r="J1459">
        <v>1325.0981445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751.95417599999996</v>
      </c>
      <c r="B1460" s="1">
        <f>DATE(2012,5,21) + TIME(22,54,0)</f>
        <v>41050.95416666667</v>
      </c>
      <c r="C1460">
        <v>80</v>
      </c>
      <c r="D1460">
        <v>79.973526000999996</v>
      </c>
      <c r="E1460">
        <v>50</v>
      </c>
      <c r="F1460">
        <v>48.662662505999997</v>
      </c>
      <c r="G1460">
        <v>1339.9147949000001</v>
      </c>
      <c r="H1460">
        <v>1337.3435059000001</v>
      </c>
      <c r="I1460">
        <v>1326.8355713000001</v>
      </c>
      <c r="J1460">
        <v>1325.0932617000001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752.39161200000001</v>
      </c>
      <c r="B1461" s="1">
        <f>DATE(2012,5,22) + TIME(9,23,55)</f>
        <v>41051.391608796293</v>
      </c>
      <c r="C1461">
        <v>80</v>
      </c>
      <c r="D1461">
        <v>79.973495482999994</v>
      </c>
      <c r="E1461">
        <v>50</v>
      </c>
      <c r="F1461">
        <v>48.640880584999998</v>
      </c>
      <c r="G1461">
        <v>1339.9083252</v>
      </c>
      <c r="H1461">
        <v>1337.3408202999999</v>
      </c>
      <c r="I1461">
        <v>1326.8320312000001</v>
      </c>
      <c r="J1461">
        <v>1325.0882568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752.83443799999998</v>
      </c>
      <c r="B1462" s="1">
        <f>DATE(2012,5,22) + TIME(20,1,35)</f>
        <v>41051.834432870368</v>
      </c>
      <c r="C1462">
        <v>80</v>
      </c>
      <c r="D1462">
        <v>79.973464965999995</v>
      </c>
      <c r="E1462">
        <v>50</v>
      </c>
      <c r="F1462">
        <v>48.619003296000002</v>
      </c>
      <c r="G1462">
        <v>1339.9018555</v>
      </c>
      <c r="H1462">
        <v>1337.3383789</v>
      </c>
      <c r="I1462">
        <v>1326.8283690999999</v>
      </c>
      <c r="J1462">
        <v>1325.0831298999999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753.28371500000003</v>
      </c>
      <c r="B1463" s="1">
        <f>DATE(2012,5,23) + TIME(6,48,32)</f>
        <v>41052.283703703702</v>
      </c>
      <c r="C1463">
        <v>80</v>
      </c>
      <c r="D1463">
        <v>79.973434448000006</v>
      </c>
      <c r="E1463">
        <v>50</v>
      </c>
      <c r="F1463">
        <v>48.596984863000003</v>
      </c>
      <c r="G1463">
        <v>1339.8955077999999</v>
      </c>
      <c r="H1463">
        <v>1337.3358154</v>
      </c>
      <c r="I1463">
        <v>1326.824707</v>
      </c>
      <c r="J1463">
        <v>1325.0778809000001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753.74068399999999</v>
      </c>
      <c r="B1464" s="1">
        <f>DATE(2012,5,23) + TIME(17,46,35)</f>
        <v>41052.740682870368</v>
      </c>
      <c r="C1464">
        <v>80</v>
      </c>
      <c r="D1464">
        <v>79.973403931000007</v>
      </c>
      <c r="E1464">
        <v>50</v>
      </c>
      <c r="F1464">
        <v>48.574783324999999</v>
      </c>
      <c r="G1464">
        <v>1339.8891602000001</v>
      </c>
      <c r="H1464">
        <v>1337.333374</v>
      </c>
      <c r="I1464">
        <v>1326.8208007999999</v>
      </c>
      <c r="J1464">
        <v>1325.0725098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754.206593</v>
      </c>
      <c r="B1465" s="1">
        <f>DATE(2012,5,24) + TIME(4,57,29)</f>
        <v>41053.206585648149</v>
      </c>
      <c r="C1465">
        <v>80</v>
      </c>
      <c r="D1465">
        <v>79.973373413000004</v>
      </c>
      <c r="E1465">
        <v>50</v>
      </c>
      <c r="F1465">
        <v>48.552345275999997</v>
      </c>
      <c r="G1465">
        <v>1339.8828125</v>
      </c>
      <c r="H1465">
        <v>1337.3308105000001</v>
      </c>
      <c r="I1465">
        <v>1326.8168945</v>
      </c>
      <c r="J1465">
        <v>1325.0668945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754.68291599999998</v>
      </c>
      <c r="B1466" s="1">
        <f>DATE(2012,5,24) + TIME(16,23,23)</f>
        <v>41053.682905092595</v>
      </c>
      <c r="C1466">
        <v>80</v>
      </c>
      <c r="D1466">
        <v>79.973350525000001</v>
      </c>
      <c r="E1466">
        <v>50</v>
      </c>
      <c r="F1466">
        <v>48.52960968</v>
      </c>
      <c r="G1466">
        <v>1339.8764647999999</v>
      </c>
      <c r="H1466">
        <v>1337.3283690999999</v>
      </c>
      <c r="I1466">
        <v>1326.8128661999999</v>
      </c>
      <c r="J1466">
        <v>1325.0612793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755.17113099999995</v>
      </c>
      <c r="B1467" s="1">
        <f>DATE(2012,5,25) + TIME(4,6,25)</f>
        <v>41054.171122685184</v>
      </c>
      <c r="C1467">
        <v>80</v>
      </c>
      <c r="D1467">
        <v>79.973320006999998</v>
      </c>
      <c r="E1467">
        <v>50</v>
      </c>
      <c r="F1467">
        <v>48.506526946999998</v>
      </c>
      <c r="G1467">
        <v>1339.8701172000001</v>
      </c>
      <c r="H1467">
        <v>1337.3259277</v>
      </c>
      <c r="I1467">
        <v>1326.8087158000001</v>
      </c>
      <c r="J1467">
        <v>1325.0552978999999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755.67357800000002</v>
      </c>
      <c r="B1468" s="1">
        <f>DATE(2012,5,25) + TIME(16,9,57)</f>
        <v>41054.673576388886</v>
      </c>
      <c r="C1468">
        <v>80</v>
      </c>
      <c r="D1468">
        <v>79.973289489999999</v>
      </c>
      <c r="E1468">
        <v>50</v>
      </c>
      <c r="F1468">
        <v>48.483005523999999</v>
      </c>
      <c r="G1468">
        <v>1339.8636475000001</v>
      </c>
      <c r="H1468">
        <v>1337.3233643000001</v>
      </c>
      <c r="I1468">
        <v>1326.8044434000001</v>
      </c>
      <c r="J1468">
        <v>1325.0491943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756.19485899999995</v>
      </c>
      <c r="B1469" s="1">
        <f>DATE(2012,5,26) + TIME(4,40,35)</f>
        <v>41055.194849537038</v>
      </c>
      <c r="C1469">
        <v>80</v>
      </c>
      <c r="D1469">
        <v>79.973258971999996</v>
      </c>
      <c r="E1469">
        <v>50</v>
      </c>
      <c r="F1469">
        <v>48.458892822000003</v>
      </c>
      <c r="G1469">
        <v>1339.8571777</v>
      </c>
      <c r="H1469">
        <v>1337.3209228999999</v>
      </c>
      <c r="I1469">
        <v>1326.7999268000001</v>
      </c>
      <c r="J1469">
        <v>1325.0428466999999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756.73762799999997</v>
      </c>
      <c r="B1470" s="1">
        <f>DATE(2012,5,26) + TIME(17,42,11)</f>
        <v>41055.737627314818</v>
      </c>
      <c r="C1470">
        <v>80</v>
      </c>
      <c r="D1470">
        <v>79.973228454999997</v>
      </c>
      <c r="E1470">
        <v>50</v>
      </c>
      <c r="F1470">
        <v>48.434085846000002</v>
      </c>
      <c r="G1470">
        <v>1339.8505858999999</v>
      </c>
      <c r="H1470">
        <v>1337.3183594</v>
      </c>
      <c r="I1470">
        <v>1326.7952881000001</v>
      </c>
      <c r="J1470">
        <v>1325.0361327999999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757.30067799999995</v>
      </c>
      <c r="B1471" s="1">
        <f>DATE(2012,5,27) + TIME(7,12,58)</f>
        <v>41056.300671296296</v>
      </c>
      <c r="C1471">
        <v>80</v>
      </c>
      <c r="D1471">
        <v>79.973190308</v>
      </c>
      <c r="E1471">
        <v>50</v>
      </c>
      <c r="F1471">
        <v>48.408580780000001</v>
      </c>
      <c r="G1471">
        <v>1339.8438721</v>
      </c>
      <c r="H1471">
        <v>1337.3157959</v>
      </c>
      <c r="I1471">
        <v>1326.7904053</v>
      </c>
      <c r="J1471">
        <v>1325.0291748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757.58354599999996</v>
      </c>
      <c r="B1472" s="1">
        <f>DATE(2012,5,27) + TIME(14,0,18)</f>
        <v>41056.583541666667</v>
      </c>
      <c r="C1472">
        <v>80</v>
      </c>
      <c r="D1472">
        <v>79.973167419000006</v>
      </c>
      <c r="E1472">
        <v>50</v>
      </c>
      <c r="F1472">
        <v>48.392616271999998</v>
      </c>
      <c r="G1472">
        <v>1339.8374022999999</v>
      </c>
      <c r="H1472">
        <v>1337.3134766000001</v>
      </c>
      <c r="I1472">
        <v>1326.7856445</v>
      </c>
      <c r="J1472">
        <v>1325.0225829999999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757.86641399999996</v>
      </c>
      <c r="B1473" s="1">
        <f>DATE(2012,5,27) + TIME(20,47,38)</f>
        <v>41056.866412037038</v>
      </c>
      <c r="C1473">
        <v>80</v>
      </c>
      <c r="D1473">
        <v>79.973144531000003</v>
      </c>
      <c r="E1473">
        <v>50</v>
      </c>
      <c r="F1473">
        <v>48.377388000000003</v>
      </c>
      <c r="G1473">
        <v>1339.8338623</v>
      </c>
      <c r="H1473">
        <v>1337.3120117000001</v>
      </c>
      <c r="I1473">
        <v>1326.7827147999999</v>
      </c>
      <c r="J1473">
        <v>1325.0184326000001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758.14928199999997</v>
      </c>
      <c r="B1474" s="1">
        <f>DATE(2012,5,28) + TIME(3,34,57)</f>
        <v>41057.149270833332</v>
      </c>
      <c r="C1474">
        <v>80</v>
      </c>
      <c r="D1474">
        <v>79.973129271999994</v>
      </c>
      <c r="E1474">
        <v>50</v>
      </c>
      <c r="F1474">
        <v>48.362728119000003</v>
      </c>
      <c r="G1474">
        <v>1339.8303223</v>
      </c>
      <c r="H1474">
        <v>1337.3106689000001</v>
      </c>
      <c r="I1474">
        <v>1326.7799072</v>
      </c>
      <c r="J1474">
        <v>1325.0144043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758.43214999999998</v>
      </c>
      <c r="B1475" s="1">
        <f>DATE(2012,5,28) + TIME(10,22,17)</f>
        <v>41057.432141203702</v>
      </c>
      <c r="C1475">
        <v>80</v>
      </c>
      <c r="D1475">
        <v>79.973106384000005</v>
      </c>
      <c r="E1475">
        <v>50</v>
      </c>
      <c r="F1475">
        <v>48.348510742000002</v>
      </c>
      <c r="G1475">
        <v>1339.8270264</v>
      </c>
      <c r="H1475">
        <v>1337.3093262</v>
      </c>
      <c r="I1475">
        <v>1326.7770995999999</v>
      </c>
      <c r="J1475">
        <v>1325.010376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758.71501799999999</v>
      </c>
      <c r="B1476" s="1">
        <f>DATE(2012,5,28) + TIME(17,9,37)</f>
        <v>41057.715011574073</v>
      </c>
      <c r="C1476">
        <v>80</v>
      </c>
      <c r="D1476">
        <v>79.973091124999996</v>
      </c>
      <c r="E1476">
        <v>50</v>
      </c>
      <c r="F1476">
        <v>48.334640503000003</v>
      </c>
      <c r="G1476">
        <v>1339.8237305</v>
      </c>
      <c r="H1476">
        <v>1337.3081055</v>
      </c>
      <c r="I1476">
        <v>1326.7744141000001</v>
      </c>
      <c r="J1476">
        <v>1325.0064697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758.99788599999999</v>
      </c>
      <c r="B1477" s="1">
        <f>DATE(2012,5,28) + TIME(23,56,57)</f>
        <v>41057.997881944444</v>
      </c>
      <c r="C1477">
        <v>80</v>
      </c>
      <c r="D1477">
        <v>79.973075867000006</v>
      </c>
      <c r="E1477">
        <v>50</v>
      </c>
      <c r="F1477">
        <v>48.321044921999999</v>
      </c>
      <c r="G1477">
        <v>1339.8204346</v>
      </c>
      <c r="H1477">
        <v>1337.3068848</v>
      </c>
      <c r="I1477">
        <v>1326.7716064000001</v>
      </c>
      <c r="J1477">
        <v>1325.0024414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759.280754</v>
      </c>
      <c r="B1478" s="1">
        <f>DATE(2012,5,29) + TIME(6,44,17)</f>
        <v>41058.280752314815</v>
      </c>
      <c r="C1478">
        <v>80</v>
      </c>
      <c r="D1478">
        <v>79.973060607999997</v>
      </c>
      <c r="E1478">
        <v>50</v>
      </c>
      <c r="F1478">
        <v>48.307666779000002</v>
      </c>
      <c r="G1478">
        <v>1339.8171387</v>
      </c>
      <c r="H1478">
        <v>1337.3055420000001</v>
      </c>
      <c r="I1478">
        <v>1326.7689209</v>
      </c>
      <c r="J1478">
        <v>1324.9985352000001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759.84649000000002</v>
      </c>
      <c r="B1479" s="1">
        <f>DATE(2012,5,29) + TIME(20,18,56)</f>
        <v>41058.84648148148</v>
      </c>
      <c r="C1479">
        <v>80</v>
      </c>
      <c r="D1479">
        <v>79.973045349000003</v>
      </c>
      <c r="E1479">
        <v>50</v>
      </c>
      <c r="F1479">
        <v>48.286403655999997</v>
      </c>
      <c r="G1479">
        <v>1339.8137207</v>
      </c>
      <c r="H1479">
        <v>1337.3040771000001</v>
      </c>
      <c r="I1479">
        <v>1326.7657471</v>
      </c>
      <c r="J1479">
        <v>1324.9938964999999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760.41371500000002</v>
      </c>
      <c r="B1480" s="1">
        <f>DATE(2012,5,30) + TIME(9,55,44)</f>
        <v>41059.413703703707</v>
      </c>
      <c r="C1480">
        <v>80</v>
      </c>
      <c r="D1480">
        <v>79.973022460999999</v>
      </c>
      <c r="E1480">
        <v>50</v>
      </c>
      <c r="F1480">
        <v>48.263591765999998</v>
      </c>
      <c r="G1480">
        <v>1339.8076172000001</v>
      </c>
      <c r="H1480">
        <v>1337.3018798999999</v>
      </c>
      <c r="I1480">
        <v>1326.7607422000001</v>
      </c>
      <c r="J1480">
        <v>1324.9866943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760.98626100000001</v>
      </c>
      <c r="B1481" s="1">
        <f>DATE(2012,5,30) + TIME(23,40,12)</f>
        <v>41059.986250000002</v>
      </c>
      <c r="C1481">
        <v>80</v>
      </c>
      <c r="D1481">
        <v>79.972991942999997</v>
      </c>
      <c r="E1481">
        <v>50</v>
      </c>
      <c r="F1481">
        <v>48.239780426000003</v>
      </c>
      <c r="G1481">
        <v>1339.8013916</v>
      </c>
      <c r="H1481">
        <v>1337.2995605000001</v>
      </c>
      <c r="I1481">
        <v>1326.7553711</v>
      </c>
      <c r="J1481">
        <v>1324.979126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761.56597799999997</v>
      </c>
      <c r="B1482" s="1">
        <f>DATE(2012,5,31) + TIME(13,35,0)</f>
        <v>41060.565972222219</v>
      </c>
      <c r="C1482">
        <v>80</v>
      </c>
      <c r="D1482">
        <v>79.972969054999993</v>
      </c>
      <c r="E1482">
        <v>50</v>
      </c>
      <c r="F1482">
        <v>48.215286255000002</v>
      </c>
      <c r="G1482">
        <v>1339.7952881000001</v>
      </c>
      <c r="H1482">
        <v>1337.2972411999999</v>
      </c>
      <c r="I1482">
        <v>1326.7498779</v>
      </c>
      <c r="J1482">
        <v>1324.9713135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762</v>
      </c>
      <c r="B1483" s="1">
        <f>DATE(2012,6,1) + TIME(0,0,0)</f>
        <v>41061</v>
      </c>
      <c r="C1483">
        <v>80</v>
      </c>
      <c r="D1483">
        <v>79.972938537999994</v>
      </c>
      <c r="E1483">
        <v>50</v>
      </c>
      <c r="F1483">
        <v>48.194694519000002</v>
      </c>
      <c r="G1483">
        <v>1339.7893065999999</v>
      </c>
      <c r="H1483">
        <v>1337.2950439000001</v>
      </c>
      <c r="I1483">
        <v>1326.7443848</v>
      </c>
      <c r="J1483">
        <v>1324.963501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762.588482</v>
      </c>
      <c r="B1484" s="1">
        <f>DATE(2012,6,1) + TIME(14,7,24)</f>
        <v>41061.588472222225</v>
      </c>
      <c r="C1484">
        <v>80</v>
      </c>
      <c r="D1484">
        <v>79.972915649000001</v>
      </c>
      <c r="E1484">
        <v>50</v>
      </c>
      <c r="F1484">
        <v>48.170433043999999</v>
      </c>
      <c r="G1484">
        <v>1339.7844238</v>
      </c>
      <c r="H1484">
        <v>1337.2930908000001</v>
      </c>
      <c r="I1484">
        <v>1326.7397461</v>
      </c>
      <c r="J1484">
        <v>1324.9566649999999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763.19643099999996</v>
      </c>
      <c r="B1485" s="1">
        <f>DATE(2012,6,2) + TIME(4,42,51)</f>
        <v>41062.196423611109</v>
      </c>
      <c r="C1485">
        <v>80</v>
      </c>
      <c r="D1485">
        <v>79.972892760999997</v>
      </c>
      <c r="E1485">
        <v>50</v>
      </c>
      <c r="F1485">
        <v>48.145290375000002</v>
      </c>
      <c r="G1485">
        <v>1339.7784423999999</v>
      </c>
      <c r="H1485">
        <v>1337.2908935999999</v>
      </c>
      <c r="I1485">
        <v>1326.7340088000001</v>
      </c>
      <c r="J1485">
        <v>1324.9483643000001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763.81794600000001</v>
      </c>
      <c r="B1486" s="1">
        <f>DATE(2012,6,2) + TIME(19,37,50)</f>
        <v>41062.817939814813</v>
      </c>
      <c r="C1486">
        <v>80</v>
      </c>
      <c r="D1486">
        <v>79.972862243999998</v>
      </c>
      <c r="E1486">
        <v>50</v>
      </c>
      <c r="F1486">
        <v>48.119503021</v>
      </c>
      <c r="G1486">
        <v>1339.7723389</v>
      </c>
      <c r="H1486">
        <v>1337.2885742000001</v>
      </c>
      <c r="I1486">
        <v>1326.7279053</v>
      </c>
      <c r="J1486">
        <v>1324.9396973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764.45639800000004</v>
      </c>
      <c r="B1487" s="1">
        <f>DATE(2012,6,3) + TIME(10,57,12)</f>
        <v>41063.456388888888</v>
      </c>
      <c r="C1487">
        <v>80</v>
      </c>
      <c r="D1487">
        <v>79.972839355000005</v>
      </c>
      <c r="E1487">
        <v>50</v>
      </c>
      <c r="F1487">
        <v>48.093097686999997</v>
      </c>
      <c r="G1487">
        <v>1339.7659911999999</v>
      </c>
      <c r="H1487">
        <v>1337.2861327999999</v>
      </c>
      <c r="I1487">
        <v>1326.7215576000001</v>
      </c>
      <c r="J1487">
        <v>1324.9305420000001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765.11285199999998</v>
      </c>
      <c r="B1488" s="1">
        <f>DATE(2012,6,4) + TIME(2,42,30)</f>
        <v>41064.112847222219</v>
      </c>
      <c r="C1488">
        <v>80</v>
      </c>
      <c r="D1488">
        <v>79.972808838000006</v>
      </c>
      <c r="E1488">
        <v>50</v>
      </c>
      <c r="F1488">
        <v>48.066104889000002</v>
      </c>
      <c r="G1488">
        <v>1339.7593993999999</v>
      </c>
      <c r="H1488">
        <v>1337.2835693</v>
      </c>
      <c r="I1488">
        <v>1326.7150879000001</v>
      </c>
      <c r="J1488">
        <v>1324.9212646000001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765.78348600000004</v>
      </c>
      <c r="B1489" s="1">
        <f>DATE(2012,6,4) + TIME(18,48,13)</f>
        <v>41064.783483796295</v>
      </c>
      <c r="C1489">
        <v>80</v>
      </c>
      <c r="D1489">
        <v>79.972778320000003</v>
      </c>
      <c r="E1489">
        <v>50</v>
      </c>
      <c r="F1489">
        <v>48.038627624999997</v>
      </c>
      <c r="G1489">
        <v>1339.7529297000001</v>
      </c>
      <c r="H1489">
        <v>1337.2810059000001</v>
      </c>
      <c r="I1489">
        <v>1326.708374</v>
      </c>
      <c r="J1489">
        <v>1324.911499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766.47061699999995</v>
      </c>
      <c r="B1490" s="1">
        <f>DATE(2012,6,5) + TIME(11,17,41)</f>
        <v>41065.470613425925</v>
      </c>
      <c r="C1490">
        <v>80</v>
      </c>
      <c r="D1490">
        <v>79.972747803000004</v>
      </c>
      <c r="E1490">
        <v>50</v>
      </c>
      <c r="F1490">
        <v>48.010673523000001</v>
      </c>
      <c r="G1490">
        <v>1339.7463379000001</v>
      </c>
      <c r="H1490">
        <v>1337.2783202999999</v>
      </c>
      <c r="I1490">
        <v>1326.7014160000001</v>
      </c>
      <c r="J1490">
        <v>1324.9013672000001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767.17909599999996</v>
      </c>
      <c r="B1491" s="1">
        <f>DATE(2012,6,6) + TIME(4,17,53)</f>
        <v>41066.179085648146</v>
      </c>
      <c r="C1491">
        <v>80</v>
      </c>
      <c r="D1491">
        <v>79.972724915000001</v>
      </c>
      <c r="E1491">
        <v>50</v>
      </c>
      <c r="F1491">
        <v>47.982147216999998</v>
      </c>
      <c r="G1491">
        <v>1339.7397461</v>
      </c>
      <c r="H1491">
        <v>1337.2757568</v>
      </c>
      <c r="I1491">
        <v>1326.6942139</v>
      </c>
      <c r="J1491">
        <v>1324.8909911999999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767.90053</v>
      </c>
      <c r="B1492" s="1">
        <f>DATE(2012,6,6) + TIME(21,36,45)</f>
        <v>41066.900520833333</v>
      </c>
      <c r="C1492">
        <v>80</v>
      </c>
      <c r="D1492">
        <v>79.972694396999998</v>
      </c>
      <c r="E1492">
        <v>50</v>
      </c>
      <c r="F1492">
        <v>47.953212737999998</v>
      </c>
      <c r="G1492">
        <v>1339.7330322</v>
      </c>
      <c r="H1492">
        <v>1337.2731934000001</v>
      </c>
      <c r="I1492">
        <v>1326.6867675999999</v>
      </c>
      <c r="J1492">
        <v>1324.880249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768.62992699999995</v>
      </c>
      <c r="B1493" s="1">
        <f>DATE(2012,6,7) + TIME(15,7,5)</f>
        <v>41067.629918981482</v>
      </c>
      <c r="C1493">
        <v>80</v>
      </c>
      <c r="D1493">
        <v>79.972663878999995</v>
      </c>
      <c r="E1493">
        <v>50</v>
      </c>
      <c r="F1493">
        <v>47.924037933000001</v>
      </c>
      <c r="G1493">
        <v>1339.7264404</v>
      </c>
      <c r="H1493">
        <v>1337.2706298999999</v>
      </c>
      <c r="I1493">
        <v>1326.6790771000001</v>
      </c>
      <c r="J1493">
        <v>1324.8691406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769.37007400000005</v>
      </c>
      <c r="B1494" s="1">
        <f>DATE(2012,6,8) + TIME(8,52,54)</f>
        <v>41068.370069444441</v>
      </c>
      <c r="C1494">
        <v>80</v>
      </c>
      <c r="D1494">
        <v>79.972633361999996</v>
      </c>
      <c r="E1494">
        <v>50</v>
      </c>
      <c r="F1494">
        <v>47.894634246999999</v>
      </c>
      <c r="G1494">
        <v>1339.7198486</v>
      </c>
      <c r="H1494">
        <v>1337.2680664</v>
      </c>
      <c r="I1494">
        <v>1326.6712646000001</v>
      </c>
      <c r="J1494">
        <v>1324.8577881000001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770.11395400000004</v>
      </c>
      <c r="B1495" s="1">
        <f>DATE(2012,6,9) + TIME(2,44,5)</f>
        <v>41069.113946759258</v>
      </c>
      <c r="C1495">
        <v>80</v>
      </c>
      <c r="D1495">
        <v>79.972610474000007</v>
      </c>
      <c r="E1495">
        <v>50</v>
      </c>
      <c r="F1495">
        <v>47.865177154999998</v>
      </c>
      <c r="G1495">
        <v>1339.7132568</v>
      </c>
      <c r="H1495">
        <v>1337.2655029</v>
      </c>
      <c r="I1495">
        <v>1326.6633300999999</v>
      </c>
      <c r="J1495">
        <v>1324.8461914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770.86315300000001</v>
      </c>
      <c r="B1496" s="1">
        <f>DATE(2012,6,9) + TIME(20,42,56)</f>
        <v>41069.86314814815</v>
      </c>
      <c r="C1496">
        <v>80</v>
      </c>
      <c r="D1496">
        <v>79.972579956000004</v>
      </c>
      <c r="E1496">
        <v>50</v>
      </c>
      <c r="F1496">
        <v>47.835704802999999</v>
      </c>
      <c r="G1496">
        <v>1339.7067870999999</v>
      </c>
      <c r="H1496">
        <v>1337.2630615</v>
      </c>
      <c r="I1496">
        <v>1326.6552733999999</v>
      </c>
      <c r="J1496">
        <v>1324.8343506000001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771.620138</v>
      </c>
      <c r="B1497" s="1">
        <f>DATE(2012,6,10) + TIME(14,52,59)</f>
        <v>41070.620127314818</v>
      </c>
      <c r="C1497">
        <v>80</v>
      </c>
      <c r="D1497">
        <v>79.972557068</v>
      </c>
      <c r="E1497">
        <v>50</v>
      </c>
      <c r="F1497">
        <v>47.806186676000003</v>
      </c>
      <c r="G1497">
        <v>1339.7004394999999</v>
      </c>
      <c r="H1497">
        <v>1337.2604980000001</v>
      </c>
      <c r="I1497">
        <v>1326.6470947</v>
      </c>
      <c r="J1497">
        <v>1324.8223877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772.38401799999997</v>
      </c>
      <c r="B1498" s="1">
        <f>DATE(2012,6,11) + TIME(9,12,59)</f>
        <v>41071.384016203701</v>
      </c>
      <c r="C1498">
        <v>80</v>
      </c>
      <c r="D1498">
        <v>79.972526549999998</v>
      </c>
      <c r="E1498">
        <v>50</v>
      </c>
      <c r="F1498">
        <v>47.776641845999997</v>
      </c>
      <c r="G1498">
        <v>1339.6940918</v>
      </c>
      <c r="H1498">
        <v>1337.2580565999999</v>
      </c>
      <c r="I1498">
        <v>1326.6386719</v>
      </c>
      <c r="J1498">
        <v>1324.8101807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773.155438</v>
      </c>
      <c r="B1499" s="1">
        <f>DATE(2012,6,12) + TIME(3,43,49)</f>
        <v>41072.155428240738</v>
      </c>
      <c r="C1499">
        <v>80</v>
      </c>
      <c r="D1499">
        <v>79.972503661999994</v>
      </c>
      <c r="E1499">
        <v>50</v>
      </c>
      <c r="F1499">
        <v>47.747058868000003</v>
      </c>
      <c r="G1499">
        <v>1339.6878661999999</v>
      </c>
      <c r="H1499">
        <v>1337.2556152</v>
      </c>
      <c r="I1499">
        <v>1326.630249</v>
      </c>
      <c r="J1499">
        <v>1324.7978516000001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773.93699700000002</v>
      </c>
      <c r="B1500" s="1">
        <f>DATE(2012,6,12) + TIME(22,29,16)</f>
        <v>41072.936990740738</v>
      </c>
      <c r="C1500">
        <v>80</v>
      </c>
      <c r="D1500">
        <v>79.972480774000005</v>
      </c>
      <c r="E1500">
        <v>50</v>
      </c>
      <c r="F1500">
        <v>47.717380523999999</v>
      </c>
      <c r="G1500">
        <v>1339.6816406</v>
      </c>
      <c r="H1500">
        <v>1337.2531738</v>
      </c>
      <c r="I1500">
        <v>1326.6217041</v>
      </c>
      <c r="J1500">
        <v>1324.7852783000001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774.73137999999994</v>
      </c>
      <c r="B1501" s="1">
        <f>DATE(2012,6,13) + TIME(17,33,11)</f>
        <v>41073.731377314813</v>
      </c>
      <c r="C1501">
        <v>80</v>
      </c>
      <c r="D1501">
        <v>79.972457886000001</v>
      </c>
      <c r="E1501">
        <v>50</v>
      </c>
      <c r="F1501">
        <v>47.687541961999997</v>
      </c>
      <c r="G1501">
        <v>1339.6755370999999</v>
      </c>
      <c r="H1501">
        <v>1337.2508545000001</v>
      </c>
      <c r="I1501">
        <v>1326.6129149999999</v>
      </c>
      <c r="J1501">
        <v>1324.7724608999999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775.54110100000003</v>
      </c>
      <c r="B1502" s="1">
        <f>DATE(2012,6,14) + TIME(12,59,11)</f>
        <v>41074.54109953704</v>
      </c>
      <c r="C1502">
        <v>80</v>
      </c>
      <c r="D1502">
        <v>79.972427367999998</v>
      </c>
      <c r="E1502">
        <v>50</v>
      </c>
      <c r="F1502">
        <v>47.657463073999999</v>
      </c>
      <c r="G1502">
        <v>1339.6694336</v>
      </c>
      <c r="H1502">
        <v>1337.2484131000001</v>
      </c>
      <c r="I1502">
        <v>1326.6038818</v>
      </c>
      <c r="J1502">
        <v>1324.7592772999999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776.369056</v>
      </c>
      <c r="B1503" s="1">
        <f>DATE(2012,6,15) + TIME(8,51,26)</f>
        <v>41075.369050925925</v>
      </c>
      <c r="C1503">
        <v>80</v>
      </c>
      <c r="D1503">
        <v>79.972404479999994</v>
      </c>
      <c r="E1503">
        <v>50</v>
      </c>
      <c r="F1503">
        <v>47.627056121999999</v>
      </c>
      <c r="G1503">
        <v>1339.6632079999999</v>
      </c>
      <c r="H1503">
        <v>1337.2459716999999</v>
      </c>
      <c r="I1503">
        <v>1326.5947266000001</v>
      </c>
      <c r="J1503">
        <v>1324.7458495999999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777.21968500000003</v>
      </c>
      <c r="B1504" s="1">
        <f>DATE(2012,6,16) + TIME(5,16,20)</f>
        <v>41076.219675925924</v>
      </c>
      <c r="C1504">
        <v>80</v>
      </c>
      <c r="D1504">
        <v>79.972381592000005</v>
      </c>
      <c r="E1504">
        <v>50</v>
      </c>
      <c r="F1504">
        <v>47.596199036000002</v>
      </c>
      <c r="G1504">
        <v>1339.6571045000001</v>
      </c>
      <c r="H1504">
        <v>1337.2435303</v>
      </c>
      <c r="I1504">
        <v>1326.5853271000001</v>
      </c>
      <c r="J1504">
        <v>1324.7319336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778.10320000000002</v>
      </c>
      <c r="B1505" s="1">
        <f>DATE(2012,6,17) + TIME(2,28,36)</f>
        <v>41077.103194444448</v>
      </c>
      <c r="C1505">
        <v>80</v>
      </c>
      <c r="D1505">
        <v>79.972358704000001</v>
      </c>
      <c r="E1505">
        <v>50</v>
      </c>
      <c r="F1505">
        <v>47.564666748</v>
      </c>
      <c r="G1505">
        <v>1339.6508789</v>
      </c>
      <c r="H1505">
        <v>1337.2410889</v>
      </c>
      <c r="I1505">
        <v>1326.5755615</v>
      </c>
      <c r="J1505">
        <v>1324.7176514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779.00287400000002</v>
      </c>
      <c r="B1506" s="1">
        <f>DATE(2012,6,18) + TIME(0,4,8)</f>
        <v>41078.002870370372</v>
      </c>
      <c r="C1506">
        <v>80</v>
      </c>
      <c r="D1506">
        <v>79.972335814999994</v>
      </c>
      <c r="E1506">
        <v>50</v>
      </c>
      <c r="F1506">
        <v>47.532642365000001</v>
      </c>
      <c r="G1506">
        <v>1339.6445312000001</v>
      </c>
      <c r="H1506">
        <v>1337.2386475000001</v>
      </c>
      <c r="I1506">
        <v>1326.5655518000001</v>
      </c>
      <c r="J1506">
        <v>1324.7027588000001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779.91351299999997</v>
      </c>
      <c r="B1507" s="1">
        <f>DATE(2012,6,18) + TIME(21,55,27)</f>
        <v>41078.913506944446</v>
      </c>
      <c r="C1507">
        <v>80</v>
      </c>
      <c r="D1507">
        <v>79.972312927000004</v>
      </c>
      <c r="E1507">
        <v>50</v>
      </c>
      <c r="F1507">
        <v>47.500312805</v>
      </c>
      <c r="G1507">
        <v>1339.6381836</v>
      </c>
      <c r="H1507">
        <v>1337.2360839999999</v>
      </c>
      <c r="I1507">
        <v>1326.5551757999999</v>
      </c>
      <c r="J1507">
        <v>1324.6875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780.83904299999995</v>
      </c>
      <c r="B1508" s="1">
        <f>DATE(2012,6,19) + TIME(20,8,13)</f>
        <v>41079.839039351849</v>
      </c>
      <c r="C1508">
        <v>80</v>
      </c>
      <c r="D1508">
        <v>79.972290039000001</v>
      </c>
      <c r="E1508">
        <v>50</v>
      </c>
      <c r="F1508">
        <v>47.467723845999998</v>
      </c>
      <c r="G1508">
        <v>1339.6318358999999</v>
      </c>
      <c r="H1508">
        <v>1337.2336425999999</v>
      </c>
      <c r="I1508">
        <v>1326.5446777</v>
      </c>
      <c r="J1508">
        <v>1324.671875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781.78347099999996</v>
      </c>
      <c r="B1509" s="1">
        <f>DATE(2012,6,20) + TIME(18,48,11)</f>
        <v>41080.783460648148</v>
      </c>
      <c r="C1509">
        <v>80</v>
      </c>
      <c r="D1509">
        <v>79.972267150999997</v>
      </c>
      <c r="E1509">
        <v>50</v>
      </c>
      <c r="F1509">
        <v>47.434825897000003</v>
      </c>
      <c r="G1509">
        <v>1339.6256103999999</v>
      </c>
      <c r="H1509">
        <v>1337.2310791</v>
      </c>
      <c r="I1509">
        <v>1326.5339355000001</v>
      </c>
      <c r="J1509">
        <v>1324.6560059000001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782.73345099999995</v>
      </c>
      <c r="B1510" s="1">
        <f>DATE(2012,6,21) + TIME(17,36,10)</f>
        <v>41081.733449074076</v>
      </c>
      <c r="C1510">
        <v>80</v>
      </c>
      <c r="D1510">
        <v>79.972244262999993</v>
      </c>
      <c r="E1510">
        <v>50</v>
      </c>
      <c r="F1510">
        <v>47.401817321999999</v>
      </c>
      <c r="G1510">
        <v>1339.6192627</v>
      </c>
      <c r="H1510">
        <v>1337.2286377</v>
      </c>
      <c r="I1510">
        <v>1326.5229492000001</v>
      </c>
      <c r="J1510">
        <v>1324.6396483999999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783.68749000000003</v>
      </c>
      <c r="B1511" s="1">
        <f>DATE(2012,6,22) + TIME(16,29,59)</f>
        <v>41082.687488425923</v>
      </c>
      <c r="C1511">
        <v>80</v>
      </c>
      <c r="D1511">
        <v>79.972229003999999</v>
      </c>
      <c r="E1511">
        <v>50</v>
      </c>
      <c r="F1511">
        <v>47.368839264000002</v>
      </c>
      <c r="G1511">
        <v>1339.6130370999999</v>
      </c>
      <c r="H1511">
        <v>1337.2260742000001</v>
      </c>
      <c r="I1511">
        <v>1326.5117187999999</v>
      </c>
      <c r="J1511">
        <v>1324.6230469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784.64908300000002</v>
      </c>
      <c r="B1512" s="1">
        <f>DATE(2012,6,23) + TIME(15,34,40)</f>
        <v>41083.649074074077</v>
      </c>
      <c r="C1512">
        <v>80</v>
      </c>
      <c r="D1512">
        <v>79.972206115999995</v>
      </c>
      <c r="E1512">
        <v>50</v>
      </c>
      <c r="F1512">
        <v>47.335903168000002</v>
      </c>
      <c r="G1512">
        <v>1339.6069336</v>
      </c>
      <c r="H1512">
        <v>1337.2236327999999</v>
      </c>
      <c r="I1512">
        <v>1326.5004882999999</v>
      </c>
      <c r="J1512">
        <v>1324.6063231999999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785.62178800000004</v>
      </c>
      <c r="B1513" s="1">
        <f>DATE(2012,6,24) + TIME(14,55,22)</f>
        <v>41084.621782407405</v>
      </c>
      <c r="C1513">
        <v>80</v>
      </c>
      <c r="D1513">
        <v>79.972183228000006</v>
      </c>
      <c r="E1513">
        <v>50</v>
      </c>
      <c r="F1513">
        <v>47.302967072000001</v>
      </c>
      <c r="G1513">
        <v>1339.6008300999999</v>
      </c>
      <c r="H1513">
        <v>1337.2211914</v>
      </c>
      <c r="I1513">
        <v>1326.4891356999999</v>
      </c>
      <c r="J1513">
        <v>1324.5894774999999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786.60932200000002</v>
      </c>
      <c r="B1514" s="1">
        <f>DATE(2012,6,25) + TIME(14,37,25)</f>
        <v>41085.609317129631</v>
      </c>
      <c r="C1514">
        <v>80</v>
      </c>
      <c r="D1514">
        <v>79.972167968999997</v>
      </c>
      <c r="E1514">
        <v>50</v>
      </c>
      <c r="F1514">
        <v>47.269935607999997</v>
      </c>
      <c r="G1514">
        <v>1339.5948486</v>
      </c>
      <c r="H1514">
        <v>1337.21875</v>
      </c>
      <c r="I1514">
        <v>1326.4776611</v>
      </c>
      <c r="J1514">
        <v>1324.5722656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787.61590699999999</v>
      </c>
      <c r="B1515" s="1">
        <f>DATE(2012,6,26) + TIME(14,46,54)</f>
        <v>41086.615902777776</v>
      </c>
      <c r="C1515">
        <v>80</v>
      </c>
      <c r="D1515">
        <v>79.972145080999994</v>
      </c>
      <c r="E1515">
        <v>50</v>
      </c>
      <c r="F1515">
        <v>47.236705780000001</v>
      </c>
      <c r="G1515">
        <v>1339.5888672000001</v>
      </c>
      <c r="H1515">
        <v>1337.2163086</v>
      </c>
      <c r="I1515">
        <v>1326.4659423999999</v>
      </c>
      <c r="J1515">
        <v>1324.5546875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788.64527199999998</v>
      </c>
      <c r="B1516" s="1">
        <f>DATE(2012,6,27) + TIME(15,29,11)</f>
        <v>41087.645266203705</v>
      </c>
      <c r="C1516">
        <v>80</v>
      </c>
      <c r="D1516">
        <v>79.972129821999999</v>
      </c>
      <c r="E1516">
        <v>50</v>
      </c>
      <c r="F1516">
        <v>47.203174591</v>
      </c>
      <c r="G1516">
        <v>1339.5827637</v>
      </c>
      <c r="H1516">
        <v>1337.2137451000001</v>
      </c>
      <c r="I1516">
        <v>1326.4539795000001</v>
      </c>
      <c r="J1516">
        <v>1324.5368652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789.707673</v>
      </c>
      <c r="B1517" s="1">
        <f>DATE(2012,6,28) + TIME(16,59,2)</f>
        <v>41088.707662037035</v>
      </c>
      <c r="C1517">
        <v>80</v>
      </c>
      <c r="D1517">
        <v>79.972106933999996</v>
      </c>
      <c r="E1517">
        <v>50</v>
      </c>
      <c r="F1517">
        <v>47.169147490999997</v>
      </c>
      <c r="G1517">
        <v>1339.5767822</v>
      </c>
      <c r="H1517">
        <v>1337.2113036999999</v>
      </c>
      <c r="I1517">
        <v>1326.4417725000001</v>
      </c>
      <c r="J1517">
        <v>1324.5184326000001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790.79827799999998</v>
      </c>
      <c r="B1518" s="1">
        <f>DATE(2012,6,29) + TIME(19,9,31)</f>
        <v>41089.798275462963</v>
      </c>
      <c r="C1518">
        <v>80</v>
      </c>
      <c r="D1518">
        <v>79.972091675000001</v>
      </c>
      <c r="E1518">
        <v>50</v>
      </c>
      <c r="F1518">
        <v>47.134582520000002</v>
      </c>
      <c r="G1518">
        <v>1339.5705565999999</v>
      </c>
      <c r="H1518">
        <v>1337.2087402</v>
      </c>
      <c r="I1518">
        <v>1326.4291992000001</v>
      </c>
      <c r="J1518">
        <v>1324.4995117000001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791.90917999999999</v>
      </c>
      <c r="B1519" s="1">
        <f>DATE(2012,6,30) + TIME(21,49,13)</f>
        <v>41090.909178240741</v>
      </c>
      <c r="C1519">
        <v>80</v>
      </c>
      <c r="D1519">
        <v>79.972076415999993</v>
      </c>
      <c r="E1519">
        <v>50</v>
      </c>
      <c r="F1519">
        <v>47.099609375</v>
      </c>
      <c r="G1519">
        <v>1339.5644531</v>
      </c>
      <c r="H1519">
        <v>1337.2061768000001</v>
      </c>
      <c r="I1519">
        <v>1326.4162598</v>
      </c>
      <c r="J1519">
        <v>1324.4799805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792</v>
      </c>
      <c r="B1520" s="1">
        <f>DATE(2012,7,1) + TIME(0,0,0)</f>
        <v>41091</v>
      </c>
      <c r="C1520">
        <v>80</v>
      </c>
      <c r="D1520">
        <v>79.972068786999998</v>
      </c>
      <c r="E1520">
        <v>50</v>
      </c>
      <c r="F1520">
        <v>47.093570708999998</v>
      </c>
      <c r="G1520">
        <v>1339.5606689000001</v>
      </c>
      <c r="H1520">
        <v>1337.2054443</v>
      </c>
      <c r="I1520">
        <v>1326.4060059000001</v>
      </c>
      <c r="J1520">
        <v>1324.4647216999999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793.13695499999994</v>
      </c>
      <c r="B1521" s="1">
        <f>DATE(2012,7,2) + TIME(3,17,12)</f>
        <v>41092.136944444443</v>
      </c>
      <c r="C1521">
        <v>80</v>
      </c>
      <c r="D1521">
        <v>79.972053528000004</v>
      </c>
      <c r="E1521">
        <v>50</v>
      </c>
      <c r="F1521">
        <v>47.060073852999999</v>
      </c>
      <c r="G1521">
        <v>1339.5574951000001</v>
      </c>
      <c r="H1521">
        <v>1337.2032471</v>
      </c>
      <c r="I1521">
        <v>1326.4014893000001</v>
      </c>
      <c r="J1521">
        <v>1324.4576416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794.30433900000003</v>
      </c>
      <c r="B1522" s="1">
        <f>DATE(2012,7,3) + TIME(7,18,14)</f>
        <v>41093.304328703707</v>
      </c>
      <c r="C1522">
        <v>80</v>
      </c>
      <c r="D1522">
        <v>79.972038268999995</v>
      </c>
      <c r="E1522">
        <v>50</v>
      </c>
      <c r="F1522">
        <v>47.025108336999999</v>
      </c>
      <c r="G1522">
        <v>1339.5515137</v>
      </c>
      <c r="H1522">
        <v>1337.2008057</v>
      </c>
      <c r="I1522">
        <v>1326.3883057</v>
      </c>
      <c r="J1522">
        <v>1324.4376221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795.49267999999995</v>
      </c>
      <c r="B1523" s="1">
        <f>DATE(2012,7,4) + TIME(11,49,27)</f>
        <v>41094.492673611108</v>
      </c>
      <c r="C1523">
        <v>80</v>
      </c>
      <c r="D1523">
        <v>79.972023010000001</v>
      </c>
      <c r="E1523">
        <v>50</v>
      </c>
      <c r="F1523">
        <v>46.989379882999998</v>
      </c>
      <c r="G1523">
        <v>1339.5451660000001</v>
      </c>
      <c r="H1523">
        <v>1337.1981201000001</v>
      </c>
      <c r="I1523">
        <v>1326.3745117000001</v>
      </c>
      <c r="J1523">
        <v>1324.4167480000001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796.69850399999996</v>
      </c>
      <c r="B1524" s="1">
        <f>DATE(2012,7,5) + TIME(16,45,50)</f>
        <v>41095.698495370372</v>
      </c>
      <c r="C1524">
        <v>80</v>
      </c>
      <c r="D1524">
        <v>79.972007751000007</v>
      </c>
      <c r="E1524">
        <v>50</v>
      </c>
      <c r="F1524">
        <v>46.953308104999998</v>
      </c>
      <c r="G1524">
        <v>1339.5389404</v>
      </c>
      <c r="H1524">
        <v>1337.1954346</v>
      </c>
      <c r="I1524">
        <v>1326.3604736</v>
      </c>
      <c r="J1524">
        <v>1324.3953856999999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797.91053999999997</v>
      </c>
      <c r="B1525" s="1">
        <f>DATE(2012,7,6) + TIME(21,51,10)</f>
        <v>41096.910532407404</v>
      </c>
      <c r="C1525">
        <v>80</v>
      </c>
      <c r="D1525">
        <v>79.971992493000002</v>
      </c>
      <c r="E1525">
        <v>50</v>
      </c>
      <c r="F1525">
        <v>46.917259215999998</v>
      </c>
      <c r="G1525">
        <v>1339.5327147999999</v>
      </c>
      <c r="H1525">
        <v>1337.1928711</v>
      </c>
      <c r="I1525">
        <v>1326.3461914</v>
      </c>
      <c r="J1525">
        <v>1324.3735352000001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799.13406599999996</v>
      </c>
      <c r="B1526" s="1">
        <f>DATE(2012,7,8) + TIME(3,13,3)</f>
        <v>41098.134062500001</v>
      </c>
      <c r="C1526">
        <v>80</v>
      </c>
      <c r="D1526">
        <v>79.971977233999993</v>
      </c>
      <c r="E1526">
        <v>50</v>
      </c>
      <c r="F1526">
        <v>46.881404877000001</v>
      </c>
      <c r="G1526">
        <v>1339.5264893000001</v>
      </c>
      <c r="H1526">
        <v>1337.1901855000001</v>
      </c>
      <c r="I1526">
        <v>1326.3317870999999</v>
      </c>
      <c r="J1526">
        <v>1324.3514404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800.37442799999997</v>
      </c>
      <c r="B1527" s="1">
        <f>DATE(2012,7,9) + TIME(8,59,10)</f>
        <v>41099.374421296299</v>
      </c>
      <c r="C1527">
        <v>80</v>
      </c>
      <c r="D1527">
        <v>79.971961974999999</v>
      </c>
      <c r="E1527">
        <v>50</v>
      </c>
      <c r="F1527">
        <v>46.845771790000001</v>
      </c>
      <c r="G1527">
        <v>1339.5203856999999</v>
      </c>
      <c r="H1527">
        <v>1337.1875</v>
      </c>
      <c r="I1527">
        <v>1326.3172606999999</v>
      </c>
      <c r="J1527">
        <v>1324.3292236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801.63712099999998</v>
      </c>
      <c r="B1528" s="1">
        <f>DATE(2012,7,10) + TIME(15,17,27)</f>
        <v>41100.637118055558</v>
      </c>
      <c r="C1528">
        <v>80</v>
      </c>
      <c r="D1528">
        <v>79.971954346000004</v>
      </c>
      <c r="E1528">
        <v>50</v>
      </c>
      <c r="F1528">
        <v>46.810310364000003</v>
      </c>
      <c r="G1528">
        <v>1339.5142822</v>
      </c>
      <c r="H1528">
        <v>1337.1848144999999</v>
      </c>
      <c r="I1528">
        <v>1326.3026123</v>
      </c>
      <c r="J1528">
        <v>1324.3066406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802.92864299999997</v>
      </c>
      <c r="B1529" s="1">
        <f>DATE(2012,7,11) + TIME(22,17,14)</f>
        <v>41101.92863425926</v>
      </c>
      <c r="C1529">
        <v>80</v>
      </c>
      <c r="D1529">
        <v>79.971939086999996</v>
      </c>
      <c r="E1529">
        <v>50</v>
      </c>
      <c r="F1529">
        <v>46.774971008000001</v>
      </c>
      <c r="G1529">
        <v>1339.5081786999999</v>
      </c>
      <c r="H1529">
        <v>1337.1821289</v>
      </c>
      <c r="I1529">
        <v>1326.2877197</v>
      </c>
      <c r="J1529">
        <v>1324.2835693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804.245181</v>
      </c>
      <c r="B1530" s="1">
        <f>DATE(2012,7,13) + TIME(5,53,3)</f>
        <v>41103.245173611111</v>
      </c>
      <c r="C1530">
        <v>80</v>
      </c>
      <c r="D1530">
        <v>79.971931458</v>
      </c>
      <c r="E1530">
        <v>50</v>
      </c>
      <c r="F1530">
        <v>46.739799499999997</v>
      </c>
      <c r="G1530">
        <v>1339.5020752</v>
      </c>
      <c r="H1530">
        <v>1337.1794434000001</v>
      </c>
      <c r="I1530">
        <v>1326.2725829999999</v>
      </c>
      <c r="J1530">
        <v>1324.2601318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805.581639</v>
      </c>
      <c r="B1531" s="1">
        <f>DATE(2012,7,14) + TIME(13,57,33)</f>
        <v>41104.581631944442</v>
      </c>
      <c r="C1531">
        <v>80</v>
      </c>
      <c r="D1531">
        <v>79.971916199000006</v>
      </c>
      <c r="E1531">
        <v>50</v>
      </c>
      <c r="F1531">
        <v>46.704971313000001</v>
      </c>
      <c r="G1531">
        <v>1339.4959716999999</v>
      </c>
      <c r="H1531">
        <v>1337.1767577999999</v>
      </c>
      <c r="I1531">
        <v>1326.2573242000001</v>
      </c>
      <c r="J1531">
        <v>1324.2363281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806.94435099999998</v>
      </c>
      <c r="B1532" s="1">
        <f>DATE(2012,7,15) + TIME(22,39,51)</f>
        <v>41105.944340277776</v>
      </c>
      <c r="C1532">
        <v>80</v>
      </c>
      <c r="D1532">
        <v>79.971908568999993</v>
      </c>
      <c r="E1532">
        <v>50</v>
      </c>
      <c r="F1532">
        <v>46.670631409000002</v>
      </c>
      <c r="G1532">
        <v>1339.4898682</v>
      </c>
      <c r="H1532">
        <v>1337.1739502</v>
      </c>
      <c r="I1532">
        <v>1326.2418213000001</v>
      </c>
      <c r="J1532">
        <v>1324.2120361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808.34026200000005</v>
      </c>
      <c r="B1533" s="1">
        <f>DATE(2012,7,17) + TIME(8,9,58)</f>
        <v>41107.340254629627</v>
      </c>
      <c r="C1533">
        <v>80</v>
      </c>
      <c r="D1533">
        <v>79.971893311000002</v>
      </c>
      <c r="E1533">
        <v>50</v>
      </c>
      <c r="F1533">
        <v>46.636867522999999</v>
      </c>
      <c r="G1533">
        <v>1339.4836425999999</v>
      </c>
      <c r="H1533">
        <v>1337.1712646000001</v>
      </c>
      <c r="I1533">
        <v>1326.2260742000001</v>
      </c>
      <c r="J1533">
        <v>1324.1873779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809.78423299999997</v>
      </c>
      <c r="B1534" s="1">
        <f>DATE(2012,7,18) + TIME(18,49,17)</f>
        <v>41108.784224537034</v>
      </c>
      <c r="C1534">
        <v>80</v>
      </c>
      <c r="D1534">
        <v>79.971885681000003</v>
      </c>
      <c r="E1534">
        <v>50</v>
      </c>
      <c r="F1534">
        <v>46.603694916000002</v>
      </c>
      <c r="G1534">
        <v>1339.4774170000001</v>
      </c>
      <c r="H1534">
        <v>1337.168457</v>
      </c>
      <c r="I1534">
        <v>1326.2100829999999</v>
      </c>
      <c r="J1534">
        <v>1324.1621094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811.29312300000004</v>
      </c>
      <c r="B1535" s="1">
        <f>DATE(2012,7,20) + TIME(7,2,5)</f>
        <v>41110.293113425927</v>
      </c>
      <c r="C1535">
        <v>80</v>
      </c>
      <c r="D1535">
        <v>79.971878051999994</v>
      </c>
      <c r="E1535">
        <v>50</v>
      </c>
      <c r="F1535">
        <v>46.571121216000002</v>
      </c>
      <c r="G1535">
        <v>1339.4711914</v>
      </c>
      <c r="H1535">
        <v>1337.1655272999999</v>
      </c>
      <c r="I1535">
        <v>1326.1937256000001</v>
      </c>
      <c r="J1535">
        <v>1324.1362305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812.82481099999995</v>
      </c>
      <c r="B1536" s="1">
        <f>DATE(2012,7,21) + TIME(19,47,43)</f>
        <v>41111.824803240743</v>
      </c>
      <c r="C1536">
        <v>80</v>
      </c>
      <c r="D1536">
        <v>79.971870421999995</v>
      </c>
      <c r="E1536">
        <v>50</v>
      </c>
      <c r="F1536">
        <v>46.539630889999998</v>
      </c>
      <c r="G1536">
        <v>1339.4647216999999</v>
      </c>
      <c r="H1536">
        <v>1337.1625977000001</v>
      </c>
      <c r="I1536">
        <v>1326.1768798999999</v>
      </c>
      <c r="J1536">
        <v>1324.109375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814.36825599999997</v>
      </c>
      <c r="B1537" s="1">
        <f>DATE(2012,7,23) + TIME(8,50,17)</f>
        <v>41113.368252314816</v>
      </c>
      <c r="C1537">
        <v>80</v>
      </c>
      <c r="D1537">
        <v>79.971862793</v>
      </c>
      <c r="E1537">
        <v>50</v>
      </c>
      <c r="F1537">
        <v>46.510055542000003</v>
      </c>
      <c r="G1537">
        <v>1339.4582519999999</v>
      </c>
      <c r="H1537">
        <v>1337.1595459</v>
      </c>
      <c r="I1537">
        <v>1326.1599120999999</v>
      </c>
      <c r="J1537">
        <v>1324.0821533000001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815.916518</v>
      </c>
      <c r="B1538" s="1">
        <f>DATE(2012,7,24) + TIME(21,59,47)</f>
        <v>41114.916516203702</v>
      </c>
      <c r="C1538">
        <v>80</v>
      </c>
      <c r="D1538">
        <v>79.971855164000004</v>
      </c>
      <c r="E1538">
        <v>50</v>
      </c>
      <c r="F1538">
        <v>46.483112335000001</v>
      </c>
      <c r="G1538">
        <v>1339.4519043</v>
      </c>
      <c r="H1538">
        <v>1337.1566161999999</v>
      </c>
      <c r="I1538">
        <v>1326.1428223</v>
      </c>
      <c r="J1538">
        <v>1324.0546875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817.47764400000005</v>
      </c>
      <c r="B1539" s="1">
        <f>DATE(2012,7,26) + TIME(11,27,48)</f>
        <v>41116.477638888886</v>
      </c>
      <c r="C1539">
        <v>80</v>
      </c>
      <c r="D1539">
        <v>79.971847534000005</v>
      </c>
      <c r="E1539">
        <v>50</v>
      </c>
      <c r="F1539">
        <v>46.459358215000002</v>
      </c>
      <c r="G1539">
        <v>1339.4456786999999</v>
      </c>
      <c r="H1539">
        <v>1337.1536865</v>
      </c>
      <c r="I1539">
        <v>1326.1259766000001</v>
      </c>
      <c r="J1539">
        <v>1324.0273437999999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819.06178299999999</v>
      </c>
      <c r="B1540" s="1">
        <f>DATE(2012,7,28) + TIME(1,28,58)</f>
        <v>41118.061782407407</v>
      </c>
      <c r="C1540">
        <v>80</v>
      </c>
      <c r="D1540">
        <v>79.971847534000005</v>
      </c>
      <c r="E1540">
        <v>50</v>
      </c>
      <c r="F1540">
        <v>46.439285278</v>
      </c>
      <c r="G1540">
        <v>1339.4394531</v>
      </c>
      <c r="H1540">
        <v>1337.1506348</v>
      </c>
      <c r="I1540">
        <v>1326.1091309000001</v>
      </c>
      <c r="J1540">
        <v>1323.9998779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820.67907200000002</v>
      </c>
      <c r="B1541" s="1">
        <f>DATE(2012,7,29) + TIME(16,17,51)</f>
        <v>41119.679062499999</v>
      </c>
      <c r="C1541">
        <v>80</v>
      </c>
      <c r="D1541">
        <v>79.971839904999996</v>
      </c>
      <c r="E1541">
        <v>50</v>
      </c>
      <c r="F1541">
        <v>46.423503875999998</v>
      </c>
      <c r="G1541">
        <v>1339.4332274999999</v>
      </c>
      <c r="H1541">
        <v>1337.1477050999999</v>
      </c>
      <c r="I1541">
        <v>1326.0924072</v>
      </c>
      <c r="J1541">
        <v>1323.9722899999999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822.32375200000001</v>
      </c>
      <c r="B1542" s="1">
        <f>DATE(2012,7,31) + TIME(7,46,12)</f>
        <v>41121.323750000003</v>
      </c>
      <c r="C1542">
        <v>80</v>
      </c>
      <c r="D1542">
        <v>79.971839904999996</v>
      </c>
      <c r="E1542">
        <v>50</v>
      </c>
      <c r="F1542">
        <v>46.412906647</v>
      </c>
      <c r="G1542">
        <v>1339.4270019999999</v>
      </c>
      <c r="H1542">
        <v>1337.1446533000001</v>
      </c>
      <c r="I1542">
        <v>1326.0756836</v>
      </c>
      <c r="J1542">
        <v>1323.9444579999999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823</v>
      </c>
      <c r="B1543" s="1">
        <f>DATE(2012,8,1) + TIME(0,0,0)</f>
        <v>41122</v>
      </c>
      <c r="C1543">
        <v>80</v>
      </c>
      <c r="D1543">
        <v>79.971817017000006</v>
      </c>
      <c r="E1543">
        <v>50</v>
      </c>
      <c r="F1543">
        <v>46.410011292</v>
      </c>
      <c r="G1543">
        <v>1339.4213867000001</v>
      </c>
      <c r="H1543">
        <v>1337.1422118999999</v>
      </c>
      <c r="I1543">
        <v>1326.0607910000001</v>
      </c>
      <c r="J1543">
        <v>1323.9193115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824.67964400000005</v>
      </c>
      <c r="B1544" s="1">
        <f>DATE(2012,8,2) + TIME(16,18,41)</f>
        <v>41123.6796412037</v>
      </c>
      <c r="C1544">
        <v>80</v>
      </c>
      <c r="D1544">
        <v>79.971832274999997</v>
      </c>
      <c r="E1544">
        <v>50</v>
      </c>
      <c r="F1544">
        <v>46.409713744999998</v>
      </c>
      <c r="G1544">
        <v>1339.4179687999999</v>
      </c>
      <c r="H1544">
        <v>1337.1401367000001</v>
      </c>
      <c r="I1544">
        <v>1326.0500488</v>
      </c>
      <c r="J1544">
        <v>1323.9018555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826.43568300000004</v>
      </c>
      <c r="B1545" s="1">
        <f>DATE(2012,8,4) + TIME(10,27,23)</f>
        <v>41125.435682870368</v>
      </c>
      <c r="C1545">
        <v>80</v>
      </c>
      <c r="D1545">
        <v>79.971832274999997</v>
      </c>
      <c r="E1545">
        <v>50</v>
      </c>
      <c r="F1545">
        <v>46.417251587000003</v>
      </c>
      <c r="G1545">
        <v>1339.4119873</v>
      </c>
      <c r="H1545">
        <v>1337.1373291</v>
      </c>
      <c r="I1545">
        <v>1326.0349120999999</v>
      </c>
      <c r="J1545">
        <v>1323.8759766000001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828.23382000000004</v>
      </c>
      <c r="B1546" s="1">
        <f>DATE(2012,8,6) + TIME(5,36,42)</f>
        <v>41127.233819444446</v>
      </c>
      <c r="C1546">
        <v>80</v>
      </c>
      <c r="D1546">
        <v>79.971832274999997</v>
      </c>
      <c r="E1546">
        <v>50</v>
      </c>
      <c r="F1546">
        <v>46.435123443999998</v>
      </c>
      <c r="G1546">
        <v>1339.4056396000001</v>
      </c>
      <c r="H1546">
        <v>1337.1341553</v>
      </c>
      <c r="I1546">
        <v>1326.0186768000001</v>
      </c>
      <c r="J1546">
        <v>1323.8481445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830.06554000000006</v>
      </c>
      <c r="B1547" s="1">
        <f>DATE(2012,8,8) + TIME(1,34,22)</f>
        <v>41129.065532407411</v>
      </c>
      <c r="C1547">
        <v>80</v>
      </c>
      <c r="D1547">
        <v>79.971832274999997</v>
      </c>
      <c r="E1547">
        <v>50</v>
      </c>
      <c r="F1547">
        <v>46.465820311999998</v>
      </c>
      <c r="G1547">
        <v>1339.3991699000001</v>
      </c>
      <c r="H1547">
        <v>1337.1309814000001</v>
      </c>
      <c r="I1547">
        <v>1326.0021973</v>
      </c>
      <c r="J1547">
        <v>1323.8197021000001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831.91086099999995</v>
      </c>
      <c r="B1548" s="1">
        <f>DATE(2012,8,9) + TIME(21,51,38)</f>
        <v>41130.910856481481</v>
      </c>
      <c r="C1548">
        <v>80</v>
      </c>
      <c r="D1548">
        <v>79.971832274999997</v>
      </c>
      <c r="E1548">
        <v>50</v>
      </c>
      <c r="F1548">
        <v>46.511890411000003</v>
      </c>
      <c r="G1548">
        <v>1339.3927002</v>
      </c>
      <c r="H1548">
        <v>1337.1276855000001</v>
      </c>
      <c r="I1548">
        <v>1325.9858397999999</v>
      </c>
      <c r="J1548">
        <v>1323.7910156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833.78461200000004</v>
      </c>
      <c r="B1549" s="1">
        <f>DATE(2012,8,11) + TIME(18,49,50)</f>
        <v>41132.78460648148</v>
      </c>
      <c r="C1549">
        <v>80</v>
      </c>
      <c r="D1549">
        <v>79.971832274999997</v>
      </c>
      <c r="E1549">
        <v>50</v>
      </c>
      <c r="F1549">
        <v>46.576099395999996</v>
      </c>
      <c r="G1549">
        <v>1339.3863524999999</v>
      </c>
      <c r="H1549">
        <v>1337.1243896000001</v>
      </c>
      <c r="I1549">
        <v>1325.9698486</v>
      </c>
      <c r="J1549">
        <v>1323.7626952999999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835.70045700000003</v>
      </c>
      <c r="B1550" s="1">
        <f>DATE(2012,8,13) + TIME(16,48,39)</f>
        <v>41134.70045138889</v>
      </c>
      <c r="C1550">
        <v>80</v>
      </c>
      <c r="D1550">
        <v>79.971832274999997</v>
      </c>
      <c r="E1550">
        <v>50</v>
      </c>
      <c r="F1550">
        <v>46.661975861000002</v>
      </c>
      <c r="G1550">
        <v>1339.3798827999999</v>
      </c>
      <c r="H1550">
        <v>1337.1210937999999</v>
      </c>
      <c r="I1550">
        <v>1325.9541016000001</v>
      </c>
      <c r="J1550">
        <v>1323.7348632999999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836.67931099999998</v>
      </c>
      <c r="B1551" s="1">
        <f>DATE(2012,8,14) + TIME(16,18,12)</f>
        <v>41135.679305555554</v>
      </c>
      <c r="C1551">
        <v>80</v>
      </c>
      <c r="D1551">
        <v>79.971824646000002</v>
      </c>
      <c r="E1551">
        <v>50</v>
      </c>
      <c r="F1551">
        <v>46.749916077000002</v>
      </c>
      <c r="G1551">
        <v>1339.3740233999999</v>
      </c>
      <c r="H1551">
        <v>1337.1181641000001</v>
      </c>
      <c r="I1551">
        <v>1325.9407959</v>
      </c>
      <c r="J1551">
        <v>1323.7094727000001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838.48965199999998</v>
      </c>
      <c r="B1552" s="1">
        <f>DATE(2012,8,16) + TIME(11,45,5)</f>
        <v>41137.489641203705</v>
      </c>
      <c r="C1552">
        <v>80</v>
      </c>
      <c r="D1552">
        <v>79.971832274999997</v>
      </c>
      <c r="E1552">
        <v>50</v>
      </c>
      <c r="F1552">
        <v>46.850772857999999</v>
      </c>
      <c r="G1552">
        <v>1339.3701172000001</v>
      </c>
      <c r="H1552">
        <v>1337.1158447</v>
      </c>
      <c r="I1552">
        <v>1325.9293213000001</v>
      </c>
      <c r="J1552">
        <v>1323.690918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840.37852099999998</v>
      </c>
      <c r="B1553" s="1">
        <f>DATE(2012,8,18) + TIME(9,5,4)</f>
        <v>41139.378518518519</v>
      </c>
      <c r="C1553">
        <v>80</v>
      </c>
      <c r="D1553">
        <v>79.971839904999996</v>
      </c>
      <c r="E1553">
        <v>50</v>
      </c>
      <c r="F1553">
        <v>46.992282867</v>
      </c>
      <c r="G1553">
        <v>1339.3642577999999</v>
      </c>
      <c r="H1553">
        <v>1337.1129149999999</v>
      </c>
      <c r="I1553">
        <v>1325.9169922000001</v>
      </c>
      <c r="J1553">
        <v>1323.6680908000001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842.297867</v>
      </c>
      <c r="B1554" s="1">
        <f>DATE(2012,8,20) + TIME(7,8,55)</f>
        <v>41141.297858796293</v>
      </c>
      <c r="C1554">
        <v>80</v>
      </c>
      <c r="D1554">
        <v>79.971847534000005</v>
      </c>
      <c r="E1554">
        <v>50</v>
      </c>
      <c r="F1554">
        <v>47.171047211000001</v>
      </c>
      <c r="G1554">
        <v>1339.3582764</v>
      </c>
      <c r="H1554">
        <v>1337.1096190999999</v>
      </c>
      <c r="I1554">
        <v>1325.9042969</v>
      </c>
      <c r="J1554">
        <v>1323.6445312000001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843.28245100000004</v>
      </c>
      <c r="B1555" s="1">
        <f>DATE(2012,8,21) + TIME(6,46,43)</f>
        <v>41142.282442129632</v>
      </c>
      <c r="C1555">
        <v>80</v>
      </c>
      <c r="D1555">
        <v>79.971839904999996</v>
      </c>
      <c r="E1555">
        <v>50</v>
      </c>
      <c r="F1555">
        <v>47.343879700000002</v>
      </c>
      <c r="G1555">
        <v>1339.3526611</v>
      </c>
      <c r="H1555">
        <v>1337.1068115</v>
      </c>
      <c r="I1555">
        <v>1325.8939209</v>
      </c>
      <c r="J1555">
        <v>1323.6232910000001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845.046875</v>
      </c>
      <c r="B1556" s="1">
        <f>DATE(2012,8,23) + TIME(1,7,29)</f>
        <v>41144.046863425923</v>
      </c>
      <c r="C1556">
        <v>80</v>
      </c>
      <c r="D1556">
        <v>79.971855164000004</v>
      </c>
      <c r="E1556">
        <v>50</v>
      </c>
      <c r="F1556">
        <v>47.528858184999997</v>
      </c>
      <c r="G1556">
        <v>1339.3488769999999</v>
      </c>
      <c r="H1556">
        <v>1337.1046143000001</v>
      </c>
      <c r="I1556">
        <v>1325.8837891000001</v>
      </c>
      <c r="J1556">
        <v>1323.6079102000001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846.93983500000002</v>
      </c>
      <c r="B1557" s="1">
        <f>DATE(2012,8,24) + TIME(22,33,21)</f>
        <v>41145.939826388887</v>
      </c>
      <c r="C1557">
        <v>80</v>
      </c>
      <c r="D1557">
        <v>79.971862793</v>
      </c>
      <c r="E1557">
        <v>50</v>
      </c>
      <c r="F1557">
        <v>47.770465850999997</v>
      </c>
      <c r="G1557">
        <v>1339.3435059000001</v>
      </c>
      <c r="H1557">
        <v>1337.1016846</v>
      </c>
      <c r="I1557">
        <v>1325.8740233999999</v>
      </c>
      <c r="J1557">
        <v>1323.5893555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848.88279599999998</v>
      </c>
      <c r="B1558" s="1">
        <f>DATE(2012,8,26) + TIME(21,11,13)</f>
        <v>41147.882789351854</v>
      </c>
      <c r="C1558">
        <v>80</v>
      </c>
      <c r="D1558">
        <v>79.971870421999995</v>
      </c>
      <c r="E1558">
        <v>50</v>
      </c>
      <c r="F1558">
        <v>48.068904877000001</v>
      </c>
      <c r="G1558">
        <v>1339.3377685999999</v>
      </c>
      <c r="H1558">
        <v>1337.0985106999999</v>
      </c>
      <c r="I1558">
        <v>1325.8637695</v>
      </c>
      <c r="J1558">
        <v>1323.5705565999999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849.88728700000001</v>
      </c>
      <c r="B1559" s="1">
        <f>DATE(2012,8,27) + TIME(21,17,41)</f>
        <v>41148.887280092589</v>
      </c>
      <c r="C1559">
        <v>80</v>
      </c>
      <c r="D1559">
        <v>79.971862793</v>
      </c>
      <c r="E1559">
        <v>50</v>
      </c>
      <c r="F1559">
        <v>48.335044861</v>
      </c>
      <c r="G1559">
        <v>1339.3325195</v>
      </c>
      <c r="H1559">
        <v>1337.0958252</v>
      </c>
      <c r="I1559">
        <v>1325.8563231999999</v>
      </c>
      <c r="J1559">
        <v>1323.5538329999999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851.61248699999999</v>
      </c>
      <c r="B1560" s="1">
        <f>DATE(2012,8,29) + TIME(14,41,58)</f>
        <v>41150.612476851849</v>
      </c>
      <c r="C1560">
        <v>80</v>
      </c>
      <c r="D1560">
        <v>79.971878051999994</v>
      </c>
      <c r="E1560">
        <v>50</v>
      </c>
      <c r="F1560">
        <v>48.603717803999999</v>
      </c>
      <c r="G1560">
        <v>1339.3288574000001</v>
      </c>
      <c r="H1560">
        <v>1337.0935059000001</v>
      </c>
      <c r="I1560">
        <v>1325.8474120999999</v>
      </c>
      <c r="J1560">
        <v>1323.5418701000001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853.51326400000005</v>
      </c>
      <c r="B1561" s="1">
        <f>DATE(2012,8,31) + TIME(12,19,5)</f>
        <v>41152.513252314813</v>
      </c>
      <c r="C1561">
        <v>80</v>
      </c>
      <c r="D1561">
        <v>79.971885681000003</v>
      </c>
      <c r="E1561">
        <v>50</v>
      </c>
      <c r="F1561">
        <v>48.957557678000001</v>
      </c>
      <c r="G1561">
        <v>1339.3238524999999</v>
      </c>
      <c r="H1561">
        <v>1337.0908202999999</v>
      </c>
      <c r="I1561">
        <v>1325.8394774999999</v>
      </c>
      <c r="J1561">
        <v>1323.5279541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854</v>
      </c>
      <c r="B1562" s="1">
        <f>DATE(2012,9,1) + TIME(0,0,0)</f>
        <v>41153</v>
      </c>
      <c r="C1562">
        <v>80</v>
      </c>
      <c r="D1562">
        <v>79.971878051999994</v>
      </c>
      <c r="E1562">
        <v>50</v>
      </c>
      <c r="F1562">
        <v>49.167736052999999</v>
      </c>
      <c r="G1562">
        <v>1339.3195800999999</v>
      </c>
      <c r="H1562">
        <v>1337.0888672000001</v>
      </c>
      <c r="I1562">
        <v>1325.8369141000001</v>
      </c>
      <c r="J1562">
        <v>1323.5164795000001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856.01006900000004</v>
      </c>
      <c r="B1563" s="1">
        <f>DATE(2012,9,3) + TIME(0,14,29)</f>
        <v>41155.010057870371</v>
      </c>
      <c r="C1563">
        <v>80</v>
      </c>
      <c r="D1563">
        <v>79.971900939999998</v>
      </c>
      <c r="E1563">
        <v>50</v>
      </c>
      <c r="F1563">
        <v>49.466529846</v>
      </c>
      <c r="G1563">
        <v>1339.3167725000001</v>
      </c>
      <c r="H1563">
        <v>1337.0867920000001</v>
      </c>
      <c r="I1563">
        <v>1325.828125</v>
      </c>
      <c r="J1563">
        <v>1323.5091553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858.112664</v>
      </c>
      <c r="B1564" s="1">
        <f>DATE(2012,9,5) + TIME(2,42,14)</f>
        <v>41157.112662037034</v>
      </c>
      <c r="C1564">
        <v>80</v>
      </c>
      <c r="D1564">
        <v>79.971916199000006</v>
      </c>
      <c r="E1564">
        <v>50</v>
      </c>
      <c r="F1564">
        <v>49.890144348</v>
      </c>
      <c r="G1564">
        <v>1339.3112793</v>
      </c>
      <c r="H1564">
        <v>1337.0837402</v>
      </c>
      <c r="I1564">
        <v>1325.8214111</v>
      </c>
      <c r="J1564">
        <v>1323.4960937999999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860.28762900000004</v>
      </c>
      <c r="B1565" s="1">
        <f>DATE(2012,9,7) + TIME(6,54,11)</f>
        <v>41159.287627314814</v>
      </c>
      <c r="C1565">
        <v>80</v>
      </c>
      <c r="D1565">
        <v>79.971931458</v>
      </c>
      <c r="E1565">
        <v>50</v>
      </c>
      <c r="F1565">
        <v>50.377128601000003</v>
      </c>
      <c r="G1565">
        <v>1339.3054199000001</v>
      </c>
      <c r="H1565">
        <v>1337.0804443</v>
      </c>
      <c r="I1565">
        <v>1325.8140868999999</v>
      </c>
      <c r="J1565">
        <v>1323.4836425999999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862.58361000000002</v>
      </c>
      <c r="B1566" s="1">
        <f>DATE(2012,9,9) + TIME(14,0,23)</f>
        <v>41161.583599537036</v>
      </c>
      <c r="C1566">
        <v>80</v>
      </c>
      <c r="D1566">
        <v>79.971939086999996</v>
      </c>
      <c r="E1566">
        <v>50</v>
      </c>
      <c r="F1566">
        <v>50.901855468999997</v>
      </c>
      <c r="G1566">
        <v>1339.2995605000001</v>
      </c>
      <c r="H1566">
        <v>1337.0770264</v>
      </c>
      <c r="I1566">
        <v>1325.8070068</v>
      </c>
      <c r="J1566">
        <v>1323.4719238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864.98988699999995</v>
      </c>
      <c r="B1567" s="1">
        <f>DATE(2012,9,11) + TIME(23,45,26)</f>
        <v>41163.989884259259</v>
      </c>
      <c r="C1567">
        <v>80</v>
      </c>
      <c r="D1567">
        <v>79.971961974999999</v>
      </c>
      <c r="E1567">
        <v>50</v>
      </c>
      <c r="F1567">
        <v>51.459438323999997</v>
      </c>
      <c r="G1567">
        <v>1339.2933350000001</v>
      </c>
      <c r="H1567">
        <v>1337.0734863</v>
      </c>
      <c r="I1567">
        <v>1325.8001709</v>
      </c>
      <c r="J1567">
        <v>1323.4610596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867.49747600000001</v>
      </c>
      <c r="B1568" s="1">
        <f>DATE(2012,9,14) + TIME(11,56,21)</f>
        <v>41166.497465277775</v>
      </c>
      <c r="C1568">
        <v>80</v>
      </c>
      <c r="D1568">
        <v>79.971977233999993</v>
      </c>
      <c r="E1568">
        <v>50</v>
      </c>
      <c r="F1568">
        <v>52.043121337999999</v>
      </c>
      <c r="G1568">
        <v>1339.2869873</v>
      </c>
      <c r="H1568">
        <v>1337.0698242000001</v>
      </c>
      <c r="I1568">
        <v>1325.7939452999999</v>
      </c>
      <c r="J1568">
        <v>1323.4511719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870.07591100000002</v>
      </c>
      <c r="B1569" s="1">
        <f>DATE(2012,9,17) + TIME(1,49,18)</f>
        <v>41169.075902777775</v>
      </c>
      <c r="C1569">
        <v>80</v>
      </c>
      <c r="D1569">
        <v>79.971992493000002</v>
      </c>
      <c r="E1569">
        <v>50</v>
      </c>
      <c r="F1569">
        <v>52.643260955999999</v>
      </c>
      <c r="G1569">
        <v>1339.2805175999999</v>
      </c>
      <c r="H1569">
        <v>1337.0661620999999</v>
      </c>
      <c r="I1569">
        <v>1325.7882079999999</v>
      </c>
      <c r="J1569">
        <v>1323.4422606999999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872.71655899999996</v>
      </c>
      <c r="B1570" s="1">
        <f>DATE(2012,9,19) + TIME(17,11,50)</f>
        <v>41171.716550925928</v>
      </c>
      <c r="C1570">
        <v>80</v>
      </c>
      <c r="D1570">
        <v>79.972015381000006</v>
      </c>
      <c r="E1570">
        <v>50</v>
      </c>
      <c r="F1570">
        <v>53.246986389</v>
      </c>
      <c r="G1570">
        <v>1339.2740478999999</v>
      </c>
      <c r="H1570">
        <v>1337.0623779</v>
      </c>
      <c r="I1570">
        <v>1325.7830810999999</v>
      </c>
      <c r="J1570">
        <v>1323.4344481999999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875.46128299999998</v>
      </c>
      <c r="B1571" s="1">
        <f>DATE(2012,9,22) + TIME(11,4,14)</f>
        <v>41174.461273148147</v>
      </c>
      <c r="C1571">
        <v>80</v>
      </c>
      <c r="D1571">
        <v>79.97203064</v>
      </c>
      <c r="E1571">
        <v>50</v>
      </c>
      <c r="F1571">
        <v>53.848606109999999</v>
      </c>
      <c r="G1571">
        <v>1339.2675781</v>
      </c>
      <c r="H1571">
        <v>1337.0585937999999</v>
      </c>
      <c r="I1571">
        <v>1325.7788086</v>
      </c>
      <c r="J1571">
        <v>1323.4278564000001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878.24793999999997</v>
      </c>
      <c r="B1572" s="1">
        <f>DATE(2012,9,25) + TIME(5,57,1)</f>
        <v>41177.247928240744</v>
      </c>
      <c r="C1572">
        <v>80</v>
      </c>
      <c r="D1572">
        <v>79.972053528000004</v>
      </c>
      <c r="E1572">
        <v>50</v>
      </c>
      <c r="F1572">
        <v>54.450122833000002</v>
      </c>
      <c r="G1572">
        <v>1339.2609863</v>
      </c>
      <c r="H1572">
        <v>1337.0548096</v>
      </c>
      <c r="I1572">
        <v>1325.7751464999999</v>
      </c>
      <c r="J1572">
        <v>1323.4221190999999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881.11290799999995</v>
      </c>
      <c r="B1573" s="1">
        <f>DATE(2012,9,28) + TIME(2,42,35)</f>
        <v>41180.112905092596</v>
      </c>
      <c r="C1573">
        <v>80</v>
      </c>
      <c r="D1573">
        <v>79.972076415999993</v>
      </c>
      <c r="E1573">
        <v>50</v>
      </c>
      <c r="F1573">
        <v>55.040924072000003</v>
      </c>
      <c r="G1573">
        <v>1339.2545166</v>
      </c>
      <c r="H1573">
        <v>1337.0510254000001</v>
      </c>
      <c r="I1573">
        <v>1325.7720947</v>
      </c>
      <c r="J1573">
        <v>1323.4176024999999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884</v>
      </c>
      <c r="B1574" s="1">
        <f>DATE(2012,10,1) + TIME(0,0,0)</f>
        <v>41183</v>
      </c>
      <c r="C1574">
        <v>80</v>
      </c>
      <c r="D1574">
        <v>79.972099303999997</v>
      </c>
      <c r="E1574">
        <v>50</v>
      </c>
      <c r="F1574">
        <v>55.620838165000002</v>
      </c>
      <c r="G1574">
        <v>1339.2480469</v>
      </c>
      <c r="H1574">
        <v>1337.0472411999999</v>
      </c>
      <c r="I1574">
        <v>1325.7696533000001</v>
      </c>
      <c r="J1574">
        <v>1323.4138184000001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886.95681400000001</v>
      </c>
      <c r="B1575" s="1">
        <f>DATE(2012,10,3) + TIME(22,57,48)</f>
        <v>41185.956805555557</v>
      </c>
      <c r="C1575">
        <v>80</v>
      </c>
      <c r="D1575">
        <v>79.972122192</v>
      </c>
      <c r="E1575">
        <v>50</v>
      </c>
      <c r="F1575">
        <v>56.180545807000001</v>
      </c>
      <c r="G1575">
        <v>1339.2416992000001</v>
      </c>
      <c r="H1575">
        <v>1337.043457</v>
      </c>
      <c r="I1575">
        <v>1325.7678223</v>
      </c>
      <c r="J1575">
        <v>1323.4108887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890.055655</v>
      </c>
      <c r="B1576" s="1">
        <f>DATE(2012,10,7) + TIME(1,20,8)</f>
        <v>41189.055648148147</v>
      </c>
      <c r="C1576">
        <v>80</v>
      </c>
      <c r="D1576">
        <v>79.972152710000003</v>
      </c>
      <c r="E1576">
        <v>50</v>
      </c>
      <c r="F1576">
        <v>56.728290557999998</v>
      </c>
      <c r="G1576">
        <v>1339.2353516000001</v>
      </c>
      <c r="H1576">
        <v>1337.0397949000001</v>
      </c>
      <c r="I1576">
        <v>1325.7663574000001</v>
      </c>
      <c r="J1576">
        <v>1323.4084473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893.229376</v>
      </c>
      <c r="B1577" s="1">
        <f>DATE(2012,10,10) + TIME(5,30,18)</f>
        <v>41192.229375000003</v>
      </c>
      <c r="C1577">
        <v>80</v>
      </c>
      <c r="D1577">
        <v>79.972175598000007</v>
      </c>
      <c r="E1577">
        <v>50</v>
      </c>
      <c r="F1577">
        <v>57.267093658</v>
      </c>
      <c r="G1577">
        <v>1339.2288818</v>
      </c>
      <c r="H1577">
        <v>1337.0360106999999</v>
      </c>
      <c r="I1577">
        <v>1325.7653809000001</v>
      </c>
      <c r="J1577">
        <v>1323.4064940999999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896.46580400000005</v>
      </c>
      <c r="B1578" s="1">
        <f>DATE(2012,10,13) + TIME(11,10,45)</f>
        <v>41195.465798611112</v>
      </c>
      <c r="C1578">
        <v>80</v>
      </c>
      <c r="D1578">
        <v>79.972206115999995</v>
      </c>
      <c r="E1578">
        <v>50</v>
      </c>
      <c r="F1578">
        <v>57.794025421000001</v>
      </c>
      <c r="G1578">
        <v>1339.2224120999999</v>
      </c>
      <c r="H1578">
        <v>1337.0322266000001</v>
      </c>
      <c r="I1578">
        <v>1325.7648925999999</v>
      </c>
      <c r="J1578">
        <v>1323.4051514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899.81407300000001</v>
      </c>
      <c r="B1579" s="1">
        <f>DATE(2012,10,16) + TIME(19,32,15)</f>
        <v>41198.814062500001</v>
      </c>
      <c r="C1579">
        <v>80</v>
      </c>
      <c r="D1579">
        <v>79.972236632999994</v>
      </c>
      <c r="E1579">
        <v>50</v>
      </c>
      <c r="F1579">
        <v>58.295288085999999</v>
      </c>
      <c r="G1579">
        <v>1339.2160644999999</v>
      </c>
      <c r="H1579">
        <v>1337.0284423999999</v>
      </c>
      <c r="I1579">
        <v>1325.7646483999999</v>
      </c>
      <c r="J1579">
        <v>1323.4041748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903.22583099999997</v>
      </c>
      <c r="B1580" s="1">
        <f>DATE(2012,10,20) + TIME(5,25,11)</f>
        <v>41202.225821759261</v>
      </c>
      <c r="C1580">
        <v>80</v>
      </c>
      <c r="D1580">
        <v>79.972267150999997</v>
      </c>
      <c r="E1580">
        <v>50</v>
      </c>
      <c r="F1580">
        <v>58.789642334</v>
      </c>
      <c r="G1580">
        <v>1339.2095947</v>
      </c>
      <c r="H1580">
        <v>1337.0247803</v>
      </c>
      <c r="I1580">
        <v>1325.7646483999999</v>
      </c>
      <c r="J1580">
        <v>1323.4034423999999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906.72076000000004</v>
      </c>
      <c r="B1581" s="1">
        <f>DATE(2012,10,23) + TIME(17,17,53)</f>
        <v>41205.720752314817</v>
      </c>
      <c r="C1581">
        <v>80</v>
      </c>
      <c r="D1581">
        <v>79.972297667999996</v>
      </c>
      <c r="E1581">
        <v>50</v>
      </c>
      <c r="F1581">
        <v>59.252223968999999</v>
      </c>
      <c r="G1581">
        <v>1339.2032471</v>
      </c>
      <c r="H1581">
        <v>1337.0209961</v>
      </c>
      <c r="I1581">
        <v>1325.7651367000001</v>
      </c>
      <c r="J1581">
        <v>1323.4031981999999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910.32190300000002</v>
      </c>
      <c r="B1582" s="1">
        <f>DATE(2012,10,27) + TIME(7,43,32)</f>
        <v>41209.321898148148</v>
      </c>
      <c r="C1582">
        <v>80</v>
      </c>
      <c r="D1582">
        <v>79.972328185999999</v>
      </c>
      <c r="E1582">
        <v>50</v>
      </c>
      <c r="F1582">
        <v>59.714046478</v>
      </c>
      <c r="G1582">
        <v>1339.1970214999999</v>
      </c>
      <c r="H1582">
        <v>1337.0173339999999</v>
      </c>
      <c r="I1582">
        <v>1325.7657471</v>
      </c>
      <c r="J1582">
        <v>1323.4031981999999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913.99508600000001</v>
      </c>
      <c r="B1583" s="1">
        <f>DATE(2012,10,30) + TIME(23,52,55)</f>
        <v>41212.995081018518</v>
      </c>
      <c r="C1583">
        <v>80</v>
      </c>
      <c r="D1583">
        <v>79.972366332999997</v>
      </c>
      <c r="E1583">
        <v>50</v>
      </c>
      <c r="F1583">
        <v>60.128620148000003</v>
      </c>
      <c r="G1583">
        <v>1339.1906738</v>
      </c>
      <c r="H1583">
        <v>1337.0137939000001</v>
      </c>
      <c r="I1583">
        <v>1325.7668457</v>
      </c>
      <c r="J1583">
        <v>1323.4031981999999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915</v>
      </c>
      <c r="B1584" s="1">
        <f>DATE(2012,11,1) + TIME(0,0,0)</f>
        <v>41214</v>
      </c>
      <c r="C1584">
        <v>80</v>
      </c>
      <c r="D1584">
        <v>79.972358704000001</v>
      </c>
      <c r="E1584">
        <v>50</v>
      </c>
      <c r="F1584">
        <v>60.462692261000001</v>
      </c>
      <c r="G1584">
        <v>1339.1855469</v>
      </c>
      <c r="H1584">
        <v>1337.0111084</v>
      </c>
      <c r="I1584">
        <v>1325.7713623</v>
      </c>
      <c r="J1584">
        <v>1323.4055175999999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915.000001</v>
      </c>
      <c r="B1585" s="1">
        <f>DATE(2012,11,1) + TIME(0,0,0)</f>
        <v>41214</v>
      </c>
      <c r="C1585">
        <v>80</v>
      </c>
      <c r="D1585">
        <v>79.972328185999999</v>
      </c>
      <c r="E1585">
        <v>50</v>
      </c>
      <c r="F1585">
        <v>60.462703705000003</v>
      </c>
      <c r="G1585">
        <v>1337.0002440999999</v>
      </c>
      <c r="H1585">
        <v>1336.4136963000001</v>
      </c>
      <c r="I1585">
        <v>1328.2988281</v>
      </c>
      <c r="J1585">
        <v>1325.7861327999999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915.00000399999999</v>
      </c>
      <c r="B1586" s="1">
        <f>DATE(2012,11,1) + TIME(0,0,0)</f>
        <v>41214</v>
      </c>
      <c r="C1586">
        <v>80</v>
      </c>
      <c r="D1586">
        <v>79.972221375000004</v>
      </c>
      <c r="E1586">
        <v>50</v>
      </c>
      <c r="F1586">
        <v>60.462734222000002</v>
      </c>
      <c r="G1586">
        <v>1336.9683838000001</v>
      </c>
      <c r="H1586">
        <v>1336.3831786999999</v>
      </c>
      <c r="I1586">
        <v>1328.3302002</v>
      </c>
      <c r="J1586">
        <v>1325.8293457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915.00001299999997</v>
      </c>
      <c r="B1587" s="1">
        <f>DATE(2012,11,1) + TIME(0,0,1)</f>
        <v>41214.000011574077</v>
      </c>
      <c r="C1587">
        <v>80</v>
      </c>
      <c r="D1587">
        <v>79.971931458</v>
      </c>
      <c r="E1587">
        <v>50</v>
      </c>
      <c r="F1587">
        <v>60.462821959999999</v>
      </c>
      <c r="G1587">
        <v>1336.8787841999999</v>
      </c>
      <c r="H1587">
        <v>1336.2971190999999</v>
      </c>
      <c r="I1587">
        <v>1328.4206543</v>
      </c>
      <c r="J1587">
        <v>1325.9522704999999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915.00004000000001</v>
      </c>
      <c r="B1588" s="1">
        <f>DATE(2012,11,1) + TIME(0,0,3)</f>
        <v>41214.000034722223</v>
      </c>
      <c r="C1588">
        <v>80</v>
      </c>
      <c r="D1588">
        <v>79.971199036000002</v>
      </c>
      <c r="E1588">
        <v>50</v>
      </c>
      <c r="F1588">
        <v>60.463005066000001</v>
      </c>
      <c r="G1588">
        <v>1336.6514893000001</v>
      </c>
      <c r="H1588">
        <v>1336.0770264</v>
      </c>
      <c r="I1588">
        <v>1328.6649170000001</v>
      </c>
      <c r="J1588">
        <v>1326.2713623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915.00012100000004</v>
      </c>
      <c r="B1589" s="1">
        <f>DATE(2012,11,1) + TIME(0,0,10)</f>
        <v>41214.000115740739</v>
      </c>
      <c r="C1589">
        <v>80</v>
      </c>
      <c r="D1589">
        <v>79.969703674000002</v>
      </c>
      <c r="E1589">
        <v>50</v>
      </c>
      <c r="F1589">
        <v>60.463108063</v>
      </c>
      <c r="G1589">
        <v>1336.1884766000001</v>
      </c>
      <c r="H1589">
        <v>1335.6191406</v>
      </c>
      <c r="I1589">
        <v>1329.2308350000001</v>
      </c>
      <c r="J1589">
        <v>1326.9521483999999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915.00036399999999</v>
      </c>
      <c r="B1590" s="1">
        <f>DATE(2012,11,1) + TIME(0,0,31)</f>
        <v>41214.000358796293</v>
      </c>
      <c r="C1590">
        <v>80</v>
      </c>
      <c r="D1590">
        <v>79.967468261999997</v>
      </c>
      <c r="E1590">
        <v>50</v>
      </c>
      <c r="F1590">
        <v>60.460994720000002</v>
      </c>
      <c r="G1590">
        <v>1335.4970702999999</v>
      </c>
      <c r="H1590">
        <v>1334.9167480000001</v>
      </c>
      <c r="I1590">
        <v>1330.2324219</v>
      </c>
      <c r="J1590">
        <v>1328.0161132999999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915.00109299999997</v>
      </c>
      <c r="B1591" s="1">
        <f>DATE(2012,11,1) + TIME(0,1,34)</f>
        <v>41214.001087962963</v>
      </c>
      <c r="C1591">
        <v>80</v>
      </c>
      <c r="D1591">
        <v>79.964836121000005</v>
      </c>
      <c r="E1591">
        <v>50</v>
      </c>
      <c r="F1591">
        <v>60.450523376</v>
      </c>
      <c r="G1591">
        <v>1334.6999512</v>
      </c>
      <c r="H1591">
        <v>1334.0924072</v>
      </c>
      <c r="I1591">
        <v>1331.5444336</v>
      </c>
      <c r="J1591">
        <v>1329.3083495999999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915.00328000000002</v>
      </c>
      <c r="B1592" s="1">
        <f>DATE(2012,11,1) + TIME(0,4,43)</f>
        <v>41214.003275462965</v>
      </c>
      <c r="C1592">
        <v>80</v>
      </c>
      <c r="D1592">
        <v>79.961936950999998</v>
      </c>
      <c r="E1592">
        <v>50</v>
      </c>
      <c r="F1592">
        <v>60.413322448999999</v>
      </c>
      <c r="G1592">
        <v>1333.8673096</v>
      </c>
      <c r="H1592">
        <v>1333.2235106999999</v>
      </c>
      <c r="I1592">
        <v>1332.949707</v>
      </c>
      <c r="J1592">
        <v>1330.6776123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915.00984100000005</v>
      </c>
      <c r="B1593" s="1">
        <f>DATE(2012,11,1) + TIME(0,14,10)</f>
        <v>41214.009837962964</v>
      </c>
      <c r="C1593">
        <v>80</v>
      </c>
      <c r="D1593">
        <v>79.958404540999993</v>
      </c>
      <c r="E1593">
        <v>50</v>
      </c>
      <c r="F1593">
        <v>60.295867919999999</v>
      </c>
      <c r="G1593">
        <v>1332.9929199000001</v>
      </c>
      <c r="H1593">
        <v>1332.2990723</v>
      </c>
      <c r="I1593">
        <v>1334.3685303</v>
      </c>
      <c r="J1593">
        <v>1332.0642089999999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915.02952400000004</v>
      </c>
      <c r="B1594" s="1">
        <f>DATE(2012,11,1) + TIME(0,42,30)</f>
        <v>41214.029513888891</v>
      </c>
      <c r="C1594">
        <v>80</v>
      </c>
      <c r="D1594">
        <v>79.953155518000003</v>
      </c>
      <c r="E1594">
        <v>50</v>
      </c>
      <c r="F1594">
        <v>59.945289612000003</v>
      </c>
      <c r="G1594">
        <v>1332.0625</v>
      </c>
      <c r="H1594">
        <v>1331.3016356999999</v>
      </c>
      <c r="I1594">
        <v>1335.7792969</v>
      </c>
      <c r="J1594">
        <v>1333.4317627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915.05738099999996</v>
      </c>
      <c r="B1595" s="1">
        <f>DATE(2012,11,1) + TIME(1,22,37)</f>
        <v>41214.057372685187</v>
      </c>
      <c r="C1595">
        <v>80</v>
      </c>
      <c r="D1595">
        <v>79.947898864999999</v>
      </c>
      <c r="E1595">
        <v>50</v>
      </c>
      <c r="F1595">
        <v>59.466629028</v>
      </c>
      <c r="G1595">
        <v>1331.4479980000001</v>
      </c>
      <c r="H1595">
        <v>1330.6380615</v>
      </c>
      <c r="I1595">
        <v>1336.6597899999999</v>
      </c>
      <c r="J1595">
        <v>1334.2746582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915.08721700000001</v>
      </c>
      <c r="B1596" s="1">
        <f>DATE(2012,11,1) + TIME(2,5,35)</f>
        <v>41214.087210648147</v>
      </c>
      <c r="C1596">
        <v>80</v>
      </c>
      <c r="D1596">
        <v>79.943107604999994</v>
      </c>
      <c r="E1596">
        <v>50</v>
      </c>
      <c r="F1596">
        <v>58.977851868000002</v>
      </c>
      <c r="G1596">
        <v>1331.0700684000001</v>
      </c>
      <c r="H1596">
        <v>1330.229126</v>
      </c>
      <c r="I1596">
        <v>1337.1807861</v>
      </c>
      <c r="J1596">
        <v>1334.7681885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915.11895700000002</v>
      </c>
      <c r="B1597" s="1">
        <f>DATE(2012,11,1) + TIME(2,51,17)</f>
        <v>41214.118946759256</v>
      </c>
      <c r="C1597">
        <v>80</v>
      </c>
      <c r="D1597">
        <v>79.938438415999997</v>
      </c>
      <c r="E1597">
        <v>50</v>
      </c>
      <c r="F1597">
        <v>58.485725403000004</v>
      </c>
      <c r="G1597">
        <v>1330.8127440999999</v>
      </c>
      <c r="H1597">
        <v>1329.9514160000001</v>
      </c>
      <c r="I1597">
        <v>1337.5240478999999</v>
      </c>
      <c r="J1597">
        <v>1335.0911865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915.152603</v>
      </c>
      <c r="B1598" s="1">
        <f>DATE(2012,11,1) + TIME(3,39,44)</f>
        <v>41214.152592592596</v>
      </c>
      <c r="C1598">
        <v>80</v>
      </c>
      <c r="D1598">
        <v>79.933761597</v>
      </c>
      <c r="E1598">
        <v>50</v>
      </c>
      <c r="F1598">
        <v>57.994754790999998</v>
      </c>
      <c r="G1598">
        <v>1330.6259766000001</v>
      </c>
      <c r="H1598">
        <v>1329.7503661999999</v>
      </c>
      <c r="I1598">
        <v>1337.7650146000001</v>
      </c>
      <c r="J1598">
        <v>1335.3170166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915.18820000000005</v>
      </c>
      <c r="B1599" s="1">
        <f>DATE(2012,11,1) + TIME(4,31,0)</f>
        <v>41214.188194444447</v>
      </c>
      <c r="C1599">
        <v>80</v>
      </c>
      <c r="D1599">
        <v>79.929000853999995</v>
      </c>
      <c r="E1599">
        <v>50</v>
      </c>
      <c r="F1599">
        <v>57.508235931000002</v>
      </c>
      <c r="G1599">
        <v>1330.4838867000001</v>
      </c>
      <c r="H1599">
        <v>1329.5980225000001</v>
      </c>
      <c r="I1599">
        <v>1337.9416504000001</v>
      </c>
      <c r="J1599">
        <v>1335.4820557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915.22582499999999</v>
      </c>
      <c r="B1600" s="1">
        <f>DATE(2012,11,1) + TIME(5,25,11)</f>
        <v>41214.225821759261</v>
      </c>
      <c r="C1600">
        <v>80</v>
      </c>
      <c r="D1600">
        <v>79.924102782999995</v>
      </c>
      <c r="E1600">
        <v>50</v>
      </c>
      <c r="F1600">
        <v>57.028629303000002</v>
      </c>
      <c r="G1600">
        <v>1330.3719481999999</v>
      </c>
      <c r="H1600">
        <v>1329.4782714999999</v>
      </c>
      <c r="I1600">
        <v>1338.074707</v>
      </c>
      <c r="J1600">
        <v>1335.6060791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915.26558499999999</v>
      </c>
      <c r="B1601" s="1">
        <f>DATE(2012,11,1) + TIME(6,22,26)</f>
        <v>41214.2655787037</v>
      </c>
      <c r="C1601">
        <v>80</v>
      </c>
      <c r="D1601">
        <v>79.919044494999994</v>
      </c>
      <c r="E1601">
        <v>50</v>
      </c>
      <c r="F1601">
        <v>56.557815552000001</v>
      </c>
      <c r="G1601">
        <v>1330.2811279</v>
      </c>
      <c r="H1601">
        <v>1329.3814697</v>
      </c>
      <c r="I1601">
        <v>1338.1770019999999</v>
      </c>
      <c r="J1601">
        <v>1335.7010498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915.30761700000005</v>
      </c>
      <c r="B1602" s="1">
        <f>DATE(2012,11,1) + TIME(7,22,58)</f>
        <v>41214.307615740741</v>
      </c>
      <c r="C1602">
        <v>80</v>
      </c>
      <c r="D1602">
        <v>79.913787842000005</v>
      </c>
      <c r="E1602">
        <v>50</v>
      </c>
      <c r="F1602">
        <v>56.097259520999998</v>
      </c>
      <c r="G1602">
        <v>1330.2058105000001</v>
      </c>
      <c r="H1602">
        <v>1329.3011475000001</v>
      </c>
      <c r="I1602">
        <v>1338.2565918</v>
      </c>
      <c r="J1602">
        <v>1335.7745361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915.35208599999999</v>
      </c>
      <c r="B1603" s="1">
        <f>DATE(2012,11,1) + TIME(8,27,0)</f>
        <v>41214.352083333331</v>
      </c>
      <c r="C1603">
        <v>80</v>
      </c>
      <c r="D1603">
        <v>79.908309936999999</v>
      </c>
      <c r="E1603">
        <v>50</v>
      </c>
      <c r="F1603">
        <v>55.648159026999998</v>
      </c>
      <c r="G1603">
        <v>1330.1422118999999</v>
      </c>
      <c r="H1603">
        <v>1329.2332764</v>
      </c>
      <c r="I1603">
        <v>1338.3187256000001</v>
      </c>
      <c r="J1603">
        <v>1335.831543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915.39918599999999</v>
      </c>
      <c r="B1604" s="1">
        <f>DATE(2012,11,1) + TIME(9,34,49)</f>
        <v>41214.399178240739</v>
      </c>
      <c r="C1604">
        <v>80</v>
      </c>
      <c r="D1604">
        <v>79.902595520000006</v>
      </c>
      <c r="E1604">
        <v>50</v>
      </c>
      <c r="F1604">
        <v>55.211517334</v>
      </c>
      <c r="G1604">
        <v>1330.0877685999999</v>
      </c>
      <c r="H1604">
        <v>1329.1749268000001</v>
      </c>
      <c r="I1604">
        <v>1338.3670654</v>
      </c>
      <c r="J1604">
        <v>1335.8756103999999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915.44914400000005</v>
      </c>
      <c r="B1605" s="1">
        <f>DATE(2012,11,1) + TIME(10,46,46)</f>
        <v>41214.449143518519</v>
      </c>
      <c r="C1605">
        <v>80</v>
      </c>
      <c r="D1605">
        <v>79.896614075000002</v>
      </c>
      <c r="E1605">
        <v>50</v>
      </c>
      <c r="F1605">
        <v>54.788215637</v>
      </c>
      <c r="G1605">
        <v>1330.0405272999999</v>
      </c>
      <c r="H1605">
        <v>1329.1242675999999</v>
      </c>
      <c r="I1605">
        <v>1338.4044189000001</v>
      </c>
      <c r="J1605">
        <v>1335.9093018000001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915.50220899999999</v>
      </c>
      <c r="B1606" s="1">
        <f>DATE(2012,11,1) + TIME(12,3,10)</f>
        <v>41214.502199074072</v>
      </c>
      <c r="C1606">
        <v>80</v>
      </c>
      <c r="D1606">
        <v>79.890342712000006</v>
      </c>
      <c r="E1606">
        <v>50</v>
      </c>
      <c r="F1606">
        <v>54.379116058000001</v>
      </c>
      <c r="G1606">
        <v>1329.9991454999999</v>
      </c>
      <c r="H1606">
        <v>1329.0795897999999</v>
      </c>
      <c r="I1606">
        <v>1338.4327393000001</v>
      </c>
      <c r="J1606">
        <v>1335.9343262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915.55866600000002</v>
      </c>
      <c r="B1607" s="1">
        <f>DATE(2012,11,1) + TIME(13,24,28)</f>
        <v>41214.558657407404</v>
      </c>
      <c r="C1607">
        <v>80</v>
      </c>
      <c r="D1607">
        <v>79.883750915999997</v>
      </c>
      <c r="E1607">
        <v>50</v>
      </c>
      <c r="F1607">
        <v>53.985038756999998</v>
      </c>
      <c r="G1607">
        <v>1329.9625243999999</v>
      </c>
      <c r="H1607">
        <v>1329.0399170000001</v>
      </c>
      <c r="I1607">
        <v>1338.4536132999999</v>
      </c>
      <c r="J1607">
        <v>1335.9523925999999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915.61887200000001</v>
      </c>
      <c r="B1608" s="1">
        <f>DATE(2012,11,1) + TIME(14,51,10)</f>
        <v>41214.61886574074</v>
      </c>
      <c r="C1608">
        <v>80</v>
      </c>
      <c r="D1608">
        <v>79.876808166999993</v>
      </c>
      <c r="E1608">
        <v>50</v>
      </c>
      <c r="F1608">
        <v>53.606575012</v>
      </c>
      <c r="G1608">
        <v>1329.9300536999999</v>
      </c>
      <c r="H1608">
        <v>1329.0043945</v>
      </c>
      <c r="I1608">
        <v>1338.4682617000001</v>
      </c>
      <c r="J1608">
        <v>1335.9644774999999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915.68321800000001</v>
      </c>
      <c r="B1609" s="1">
        <f>DATE(2012,11,1) + TIME(16,23,50)</f>
        <v>41214.683217592596</v>
      </c>
      <c r="C1609">
        <v>80</v>
      </c>
      <c r="D1609">
        <v>79.869476317999997</v>
      </c>
      <c r="E1609">
        <v>50</v>
      </c>
      <c r="F1609">
        <v>53.244426726999997</v>
      </c>
      <c r="G1609">
        <v>1329.9008789</v>
      </c>
      <c r="H1609">
        <v>1328.972168</v>
      </c>
      <c r="I1609">
        <v>1338.4779053</v>
      </c>
      <c r="J1609">
        <v>1335.9719238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915.75215200000002</v>
      </c>
      <c r="B1610" s="1">
        <f>DATE(2012,11,1) + TIME(18,3,5)</f>
        <v>41214.752141203702</v>
      </c>
      <c r="C1610">
        <v>80</v>
      </c>
      <c r="D1610">
        <v>79.861724854000002</v>
      </c>
      <c r="E1610">
        <v>50</v>
      </c>
      <c r="F1610">
        <v>52.899280548</v>
      </c>
      <c r="G1610">
        <v>1329.8746338000001</v>
      </c>
      <c r="H1610">
        <v>1328.9429932</v>
      </c>
      <c r="I1610">
        <v>1338.4835204999999</v>
      </c>
      <c r="J1610">
        <v>1335.9753418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915.82619599999998</v>
      </c>
      <c r="B1611" s="1">
        <f>DATE(2012,11,1) + TIME(19,49,43)</f>
        <v>41214.826192129629</v>
      </c>
      <c r="C1611">
        <v>80</v>
      </c>
      <c r="D1611">
        <v>79.853507996000005</v>
      </c>
      <c r="E1611">
        <v>50</v>
      </c>
      <c r="F1611">
        <v>52.571807861000003</v>
      </c>
      <c r="G1611">
        <v>1329.8508300999999</v>
      </c>
      <c r="H1611">
        <v>1328.9160156</v>
      </c>
      <c r="I1611">
        <v>1338.4857178</v>
      </c>
      <c r="J1611">
        <v>1335.9755858999999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915.90582199999994</v>
      </c>
      <c r="B1612" s="1">
        <f>DATE(2012,11,1) + TIME(21,44,23)</f>
        <v>41214.905821759261</v>
      </c>
      <c r="C1612">
        <v>80</v>
      </c>
      <c r="D1612">
        <v>79.844779967999997</v>
      </c>
      <c r="E1612">
        <v>50</v>
      </c>
      <c r="F1612">
        <v>52.263114928999997</v>
      </c>
      <c r="G1612">
        <v>1329.8291016000001</v>
      </c>
      <c r="H1612">
        <v>1328.8912353999999</v>
      </c>
      <c r="I1612">
        <v>1338.4853516000001</v>
      </c>
      <c r="J1612">
        <v>1335.9736327999999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915.99033799999995</v>
      </c>
      <c r="B1613" s="1">
        <f>DATE(2012,11,1) + TIME(23,46,5)</f>
        <v>41214.990335648145</v>
      </c>
      <c r="C1613">
        <v>80</v>
      </c>
      <c r="D1613">
        <v>79.835624695000007</v>
      </c>
      <c r="E1613">
        <v>50</v>
      </c>
      <c r="F1613">
        <v>51.977748871000003</v>
      </c>
      <c r="G1613">
        <v>1329.8093262</v>
      </c>
      <c r="H1613">
        <v>1328.8684082</v>
      </c>
      <c r="I1613">
        <v>1338.4833983999999</v>
      </c>
      <c r="J1613">
        <v>1335.9699707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916.08037200000001</v>
      </c>
      <c r="B1614" s="1">
        <f>DATE(2012,11,2) + TIME(1,55,44)</f>
        <v>41215.080370370371</v>
      </c>
      <c r="C1614">
        <v>80</v>
      </c>
      <c r="D1614">
        <v>79.825988769999995</v>
      </c>
      <c r="E1614">
        <v>50</v>
      </c>
      <c r="F1614">
        <v>51.714920044000003</v>
      </c>
      <c r="G1614">
        <v>1329.7912598</v>
      </c>
      <c r="H1614">
        <v>1328.8470459</v>
      </c>
      <c r="I1614">
        <v>1338.4801024999999</v>
      </c>
      <c r="J1614">
        <v>1335.965332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916.17665999999997</v>
      </c>
      <c r="B1615" s="1">
        <f>DATE(2012,11,2) + TIME(4,14,23)</f>
        <v>41215.176655092589</v>
      </c>
      <c r="C1615">
        <v>80</v>
      </c>
      <c r="D1615">
        <v>79.815818786999998</v>
      </c>
      <c r="E1615">
        <v>50</v>
      </c>
      <c r="F1615">
        <v>51.473907470999997</v>
      </c>
      <c r="G1615">
        <v>1329.7746582</v>
      </c>
      <c r="H1615">
        <v>1328.8271483999999</v>
      </c>
      <c r="I1615">
        <v>1338.4759521000001</v>
      </c>
      <c r="J1615">
        <v>1335.9599608999999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916.28008999999997</v>
      </c>
      <c r="B1616" s="1">
        <f>DATE(2012,11,2) + TIME(6,43,19)</f>
        <v>41215.280081018522</v>
      </c>
      <c r="C1616">
        <v>80</v>
      </c>
      <c r="D1616">
        <v>79.805030822999996</v>
      </c>
      <c r="E1616">
        <v>50</v>
      </c>
      <c r="F1616">
        <v>51.254028320000003</v>
      </c>
      <c r="G1616">
        <v>1329.7590332</v>
      </c>
      <c r="H1616">
        <v>1328.8082274999999</v>
      </c>
      <c r="I1616">
        <v>1338.4714355000001</v>
      </c>
      <c r="J1616">
        <v>1335.9543457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916.39174200000002</v>
      </c>
      <c r="B1617" s="1">
        <f>DATE(2012,11,2) + TIME(9,24,6)</f>
        <v>41215.391736111109</v>
      </c>
      <c r="C1617">
        <v>80</v>
      </c>
      <c r="D1617">
        <v>79.793533324999999</v>
      </c>
      <c r="E1617">
        <v>50</v>
      </c>
      <c r="F1617">
        <v>51.054611205999997</v>
      </c>
      <c r="G1617">
        <v>1329.7442627</v>
      </c>
      <c r="H1617">
        <v>1328.7899170000001</v>
      </c>
      <c r="I1617">
        <v>1338.4667969</v>
      </c>
      <c r="J1617">
        <v>1335.9487305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916.51294600000006</v>
      </c>
      <c r="B1618" s="1">
        <f>DATE(2012,11,2) + TIME(12,18,38)</f>
        <v>41215.512939814813</v>
      </c>
      <c r="C1618">
        <v>80</v>
      </c>
      <c r="D1618">
        <v>79.781234741000006</v>
      </c>
      <c r="E1618">
        <v>50</v>
      </c>
      <c r="F1618">
        <v>50.875019072999997</v>
      </c>
      <c r="G1618">
        <v>1329.7302245999999</v>
      </c>
      <c r="H1618">
        <v>1328.7722168</v>
      </c>
      <c r="I1618">
        <v>1338.4620361</v>
      </c>
      <c r="J1618">
        <v>1335.9433594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916.64536699999996</v>
      </c>
      <c r="B1619" s="1">
        <f>DATE(2012,11,2) + TIME(15,29,19)</f>
        <v>41215.645358796297</v>
      </c>
      <c r="C1619">
        <v>80</v>
      </c>
      <c r="D1619">
        <v>79.767997742000006</v>
      </c>
      <c r="E1619">
        <v>50</v>
      </c>
      <c r="F1619">
        <v>50.714599608999997</v>
      </c>
      <c r="G1619">
        <v>1329.7166748</v>
      </c>
      <c r="H1619">
        <v>1328.7548827999999</v>
      </c>
      <c r="I1619">
        <v>1338.4575195</v>
      </c>
      <c r="J1619">
        <v>1335.9382324000001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916.79058399999997</v>
      </c>
      <c r="B1620" s="1">
        <f>DATE(2012,11,2) + TIME(18,58,26)</f>
        <v>41215.790578703702</v>
      </c>
      <c r="C1620">
        <v>80</v>
      </c>
      <c r="D1620">
        <v>79.753692627000007</v>
      </c>
      <c r="E1620">
        <v>50</v>
      </c>
      <c r="F1620">
        <v>50.573123932000001</v>
      </c>
      <c r="G1620">
        <v>1329.7033690999999</v>
      </c>
      <c r="H1620">
        <v>1328.7375488</v>
      </c>
      <c r="I1620">
        <v>1338.4532471</v>
      </c>
      <c r="J1620">
        <v>1335.9337158000001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916.94945800000005</v>
      </c>
      <c r="B1621" s="1">
        <f>DATE(2012,11,2) + TIME(22,47,13)</f>
        <v>41215.949456018519</v>
      </c>
      <c r="C1621">
        <v>80</v>
      </c>
      <c r="D1621">
        <v>79.73828125</v>
      </c>
      <c r="E1621">
        <v>50</v>
      </c>
      <c r="F1621">
        <v>50.450778960999997</v>
      </c>
      <c r="G1621">
        <v>1329.6901855000001</v>
      </c>
      <c r="H1621">
        <v>1328.7202147999999</v>
      </c>
      <c r="I1621">
        <v>1338.4493408000001</v>
      </c>
      <c r="J1621">
        <v>1335.9298096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917.11158999999998</v>
      </c>
      <c r="B1622" s="1">
        <f>DATE(2012,11,3) + TIME(2,40,41)</f>
        <v>41216.111585648148</v>
      </c>
      <c r="C1622">
        <v>80</v>
      </c>
      <c r="D1622">
        <v>79.722618103000002</v>
      </c>
      <c r="E1622">
        <v>50</v>
      </c>
      <c r="F1622">
        <v>50.352420807000001</v>
      </c>
      <c r="G1622">
        <v>1329.6773682</v>
      </c>
      <c r="H1622">
        <v>1328.7030029</v>
      </c>
      <c r="I1622">
        <v>1338.4466553</v>
      </c>
      <c r="J1622">
        <v>1335.927124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917.27750500000002</v>
      </c>
      <c r="B1623" s="1">
        <f>DATE(2012,11,3) + TIME(6,39,36)</f>
        <v>41216.277499999997</v>
      </c>
      <c r="C1623">
        <v>80</v>
      </c>
      <c r="D1623">
        <v>79.706680297999995</v>
      </c>
      <c r="E1623">
        <v>50</v>
      </c>
      <c r="F1623">
        <v>50.273452759000001</v>
      </c>
      <c r="G1623">
        <v>1329.6651611</v>
      </c>
      <c r="H1623">
        <v>1328.6864014</v>
      </c>
      <c r="I1623">
        <v>1338.4440918</v>
      </c>
      <c r="J1623">
        <v>1335.9248047000001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917.44741899999997</v>
      </c>
      <c r="B1624" s="1">
        <f>DATE(2012,11,3) + TIME(10,44,16)</f>
        <v>41216.44740740741</v>
      </c>
      <c r="C1624">
        <v>80</v>
      </c>
      <c r="D1624">
        <v>79.690437317000004</v>
      </c>
      <c r="E1624">
        <v>50</v>
      </c>
      <c r="F1624">
        <v>50.210285186999997</v>
      </c>
      <c r="G1624">
        <v>1329.6533202999999</v>
      </c>
      <c r="H1624">
        <v>1328.6701660000001</v>
      </c>
      <c r="I1624">
        <v>1338.4416504000001</v>
      </c>
      <c r="J1624">
        <v>1335.9228516000001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917.62177199999996</v>
      </c>
      <c r="B1625" s="1">
        <f>DATE(2012,11,3) + TIME(14,55,21)</f>
        <v>41216.621770833335</v>
      </c>
      <c r="C1625">
        <v>80</v>
      </c>
      <c r="D1625">
        <v>79.673866271999998</v>
      </c>
      <c r="E1625">
        <v>50</v>
      </c>
      <c r="F1625">
        <v>50.159912108999997</v>
      </c>
      <c r="G1625">
        <v>1329.6418457</v>
      </c>
      <c r="H1625">
        <v>1328.6542969</v>
      </c>
      <c r="I1625">
        <v>1338.4390868999999</v>
      </c>
      <c r="J1625">
        <v>1335.9211425999999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917.80093399999998</v>
      </c>
      <c r="B1626" s="1">
        <f>DATE(2012,11,3) + TIME(19,13,20)</f>
        <v>41216.800925925927</v>
      </c>
      <c r="C1626">
        <v>80</v>
      </c>
      <c r="D1626">
        <v>79.656936646000005</v>
      </c>
      <c r="E1626">
        <v>50</v>
      </c>
      <c r="F1626">
        <v>50.119895935000002</v>
      </c>
      <c r="G1626">
        <v>1329.6304932</v>
      </c>
      <c r="H1626">
        <v>1328.6385498</v>
      </c>
      <c r="I1626">
        <v>1338.4365233999999</v>
      </c>
      <c r="J1626">
        <v>1335.9194336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917.98528299999998</v>
      </c>
      <c r="B1627" s="1">
        <f>DATE(2012,11,3) + TIME(23,38,48)</f>
        <v>41216.985277777778</v>
      </c>
      <c r="C1627">
        <v>80</v>
      </c>
      <c r="D1627">
        <v>79.639617920000006</v>
      </c>
      <c r="E1627">
        <v>50</v>
      </c>
      <c r="F1627">
        <v>50.088253021</v>
      </c>
      <c r="G1627">
        <v>1329.6192627</v>
      </c>
      <c r="H1627">
        <v>1328.6229248</v>
      </c>
      <c r="I1627">
        <v>1338.4338379000001</v>
      </c>
      <c r="J1627">
        <v>1335.9179687999999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918.17522099999996</v>
      </c>
      <c r="B1628" s="1">
        <f>DATE(2012,11,4) + TIME(4,12,19)</f>
        <v>41217.175219907411</v>
      </c>
      <c r="C1628">
        <v>80</v>
      </c>
      <c r="D1628">
        <v>79.621887207</v>
      </c>
      <c r="E1628">
        <v>50</v>
      </c>
      <c r="F1628">
        <v>50.063346863</v>
      </c>
      <c r="G1628">
        <v>1329.6081543</v>
      </c>
      <c r="H1628">
        <v>1328.6072998</v>
      </c>
      <c r="I1628">
        <v>1338.4309082</v>
      </c>
      <c r="J1628">
        <v>1335.9163818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918.371173</v>
      </c>
      <c r="B1629" s="1">
        <f>DATE(2012,11,4) + TIME(8,54,29)</f>
        <v>41217.371168981481</v>
      </c>
      <c r="C1629">
        <v>80</v>
      </c>
      <c r="D1629">
        <v>79.603706360000004</v>
      </c>
      <c r="E1629">
        <v>50</v>
      </c>
      <c r="F1629">
        <v>50.043846129999999</v>
      </c>
      <c r="G1629">
        <v>1329.5969238</v>
      </c>
      <c r="H1629">
        <v>1328.5915527</v>
      </c>
      <c r="I1629">
        <v>1338.4278564000001</v>
      </c>
      <c r="J1629">
        <v>1335.9146728999999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918.57359299999996</v>
      </c>
      <c r="B1630" s="1">
        <f>DATE(2012,11,4) + TIME(13,45,58)</f>
        <v>41217.573587962965</v>
      </c>
      <c r="C1630">
        <v>80</v>
      </c>
      <c r="D1630">
        <v>79.585037231000001</v>
      </c>
      <c r="E1630">
        <v>50</v>
      </c>
      <c r="F1630">
        <v>50.028659820999998</v>
      </c>
      <c r="G1630">
        <v>1329.5855713000001</v>
      </c>
      <c r="H1630">
        <v>1328.5756836</v>
      </c>
      <c r="I1630">
        <v>1338.4245605000001</v>
      </c>
      <c r="J1630">
        <v>1335.9130858999999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918.78297099999997</v>
      </c>
      <c r="B1631" s="1">
        <f>DATE(2012,11,4) + TIME(18,47,28)</f>
        <v>41217.782962962963</v>
      </c>
      <c r="C1631">
        <v>80</v>
      </c>
      <c r="D1631">
        <v>79.565864563000005</v>
      </c>
      <c r="E1631">
        <v>50</v>
      </c>
      <c r="F1631">
        <v>50.016902924</v>
      </c>
      <c r="G1631">
        <v>1329.5742187999999</v>
      </c>
      <c r="H1631">
        <v>1328.5596923999999</v>
      </c>
      <c r="I1631">
        <v>1338.4211425999999</v>
      </c>
      <c r="J1631">
        <v>1335.9112548999999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918.99983399999996</v>
      </c>
      <c r="B1632" s="1">
        <f>DATE(2012,11,4) + TIME(23,59,45)</f>
        <v>41217.999826388892</v>
      </c>
      <c r="C1632">
        <v>80</v>
      </c>
      <c r="D1632">
        <v>79.546134949000006</v>
      </c>
      <c r="E1632">
        <v>50</v>
      </c>
      <c r="F1632">
        <v>50.007854461999997</v>
      </c>
      <c r="G1632">
        <v>1329.5627440999999</v>
      </c>
      <c r="H1632">
        <v>1328.543457</v>
      </c>
      <c r="I1632">
        <v>1338.4174805</v>
      </c>
      <c r="J1632">
        <v>1335.9094238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919.22475399999996</v>
      </c>
      <c r="B1633" s="1">
        <f>DATE(2012,11,5) + TIME(5,23,38)</f>
        <v>41218.224745370368</v>
      </c>
      <c r="C1633">
        <v>80</v>
      </c>
      <c r="D1633">
        <v>79.525810242000006</v>
      </c>
      <c r="E1633">
        <v>50</v>
      </c>
      <c r="F1633">
        <v>50.000934600999997</v>
      </c>
      <c r="G1633">
        <v>1329.5509033000001</v>
      </c>
      <c r="H1633">
        <v>1328.5269774999999</v>
      </c>
      <c r="I1633">
        <v>1338.4136963000001</v>
      </c>
      <c r="J1633">
        <v>1335.9073486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919.45828700000004</v>
      </c>
      <c r="B1634" s="1">
        <f>DATE(2012,11,5) + TIME(10,59,55)</f>
        <v>41218.458275462966</v>
      </c>
      <c r="C1634">
        <v>80</v>
      </c>
      <c r="D1634">
        <v>79.504852295000006</v>
      </c>
      <c r="E1634">
        <v>50</v>
      </c>
      <c r="F1634">
        <v>49.995674133000001</v>
      </c>
      <c r="G1634">
        <v>1329.5389404</v>
      </c>
      <c r="H1634">
        <v>1328.5101318</v>
      </c>
      <c r="I1634">
        <v>1338.409668</v>
      </c>
      <c r="J1634">
        <v>1335.9052733999999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919.70112700000004</v>
      </c>
      <c r="B1635" s="1">
        <f>DATE(2012,11,5) + TIME(16,49,37)</f>
        <v>41218.701122685183</v>
      </c>
      <c r="C1635">
        <v>80</v>
      </c>
      <c r="D1635">
        <v>79.483222960999996</v>
      </c>
      <c r="E1635">
        <v>50</v>
      </c>
      <c r="F1635">
        <v>49.991699218999997</v>
      </c>
      <c r="G1635">
        <v>1329.5267334</v>
      </c>
      <c r="H1635">
        <v>1328.4929199000001</v>
      </c>
      <c r="I1635">
        <v>1338.4055175999999</v>
      </c>
      <c r="J1635">
        <v>1335.9030762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919.95405800000003</v>
      </c>
      <c r="B1636" s="1">
        <f>DATE(2012,11,5) + TIME(22,53,50)</f>
        <v>41218.954050925924</v>
      </c>
      <c r="C1636">
        <v>80</v>
      </c>
      <c r="D1636">
        <v>79.460861206000004</v>
      </c>
      <c r="E1636">
        <v>50</v>
      </c>
      <c r="F1636">
        <v>49.988716125000003</v>
      </c>
      <c r="G1636">
        <v>1329.5141602000001</v>
      </c>
      <c r="H1636">
        <v>1328.4753418</v>
      </c>
      <c r="I1636">
        <v>1338.4011230000001</v>
      </c>
      <c r="J1636">
        <v>1335.9007568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920.21790099999998</v>
      </c>
      <c r="B1637" s="1">
        <f>DATE(2012,11,6) + TIME(5,13,46)</f>
        <v>41219.217893518522</v>
      </c>
      <c r="C1637">
        <v>80</v>
      </c>
      <c r="D1637">
        <v>79.437713622999993</v>
      </c>
      <c r="E1637">
        <v>50</v>
      </c>
      <c r="F1637">
        <v>49.986488342000001</v>
      </c>
      <c r="G1637">
        <v>1329.5013428</v>
      </c>
      <c r="H1637">
        <v>1328.4572754000001</v>
      </c>
      <c r="I1637">
        <v>1338.3967285000001</v>
      </c>
      <c r="J1637">
        <v>1335.8983154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920.49356499999999</v>
      </c>
      <c r="B1638" s="1">
        <f>DATE(2012,11,6) + TIME(11,50,44)</f>
        <v>41219.493564814817</v>
      </c>
      <c r="C1638">
        <v>80</v>
      </c>
      <c r="D1638">
        <v>79.413711547999995</v>
      </c>
      <c r="E1638">
        <v>50</v>
      </c>
      <c r="F1638">
        <v>49.984832763999997</v>
      </c>
      <c r="G1638">
        <v>1329.4880370999999</v>
      </c>
      <c r="H1638">
        <v>1328.4387207</v>
      </c>
      <c r="I1638">
        <v>1338.3920897999999</v>
      </c>
      <c r="J1638">
        <v>1335.8957519999999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920.78205800000001</v>
      </c>
      <c r="B1639" s="1">
        <f>DATE(2012,11,6) + TIME(18,46,9)</f>
        <v>41219.782048611109</v>
      </c>
      <c r="C1639">
        <v>80</v>
      </c>
      <c r="D1639">
        <v>79.388801575000002</v>
      </c>
      <c r="E1639">
        <v>50</v>
      </c>
      <c r="F1639">
        <v>49.983612061000002</v>
      </c>
      <c r="G1639">
        <v>1329.4744873</v>
      </c>
      <c r="H1639">
        <v>1328.4195557</v>
      </c>
      <c r="I1639">
        <v>1338.3873291</v>
      </c>
      <c r="J1639">
        <v>1335.8931885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921.08450200000004</v>
      </c>
      <c r="B1640" s="1">
        <f>DATE(2012,11,7) + TIME(2,1,40)</f>
        <v>41220.084490740737</v>
      </c>
      <c r="C1640">
        <v>80</v>
      </c>
      <c r="D1640">
        <v>79.362907410000005</v>
      </c>
      <c r="E1640">
        <v>50</v>
      </c>
      <c r="F1640">
        <v>49.982711792000003</v>
      </c>
      <c r="G1640">
        <v>1329.4603271000001</v>
      </c>
      <c r="H1640">
        <v>1328.3997803</v>
      </c>
      <c r="I1640">
        <v>1338.3824463000001</v>
      </c>
      <c r="J1640">
        <v>1335.8903809000001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921.40215699999999</v>
      </c>
      <c r="B1641" s="1">
        <f>DATE(2012,11,7) + TIME(9,39,6)</f>
        <v>41220.40215277778</v>
      </c>
      <c r="C1641">
        <v>80</v>
      </c>
      <c r="D1641">
        <v>79.335945128999995</v>
      </c>
      <c r="E1641">
        <v>50</v>
      </c>
      <c r="F1641">
        <v>49.982048034999998</v>
      </c>
      <c r="G1641">
        <v>1329.4458007999999</v>
      </c>
      <c r="H1641">
        <v>1328.3793945</v>
      </c>
      <c r="I1641">
        <v>1338.3774414</v>
      </c>
      <c r="J1641">
        <v>1335.8875731999999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921.73643900000002</v>
      </c>
      <c r="B1642" s="1">
        <f>DATE(2012,11,7) + TIME(17,40,28)</f>
        <v>41220.736435185187</v>
      </c>
      <c r="C1642">
        <v>80</v>
      </c>
      <c r="D1642">
        <v>79.307823181000003</v>
      </c>
      <c r="E1642">
        <v>50</v>
      </c>
      <c r="F1642">
        <v>49.981563567999999</v>
      </c>
      <c r="G1642">
        <v>1329.4306641000001</v>
      </c>
      <c r="H1642">
        <v>1328.3582764</v>
      </c>
      <c r="I1642">
        <v>1338.3723144999999</v>
      </c>
      <c r="J1642">
        <v>1335.8846435999999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922.08894399999997</v>
      </c>
      <c r="B1643" s="1">
        <f>DATE(2012,11,8) + TIME(2,8,4)</f>
        <v>41221.088935185187</v>
      </c>
      <c r="C1643">
        <v>80</v>
      </c>
      <c r="D1643">
        <v>79.278442382999998</v>
      </c>
      <c r="E1643">
        <v>50</v>
      </c>
      <c r="F1643">
        <v>49.981204986999998</v>
      </c>
      <c r="G1643">
        <v>1329.4149170000001</v>
      </c>
      <c r="H1643">
        <v>1328.3364257999999</v>
      </c>
      <c r="I1643">
        <v>1338.3671875</v>
      </c>
      <c r="J1643">
        <v>1335.8815918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922.46149800000001</v>
      </c>
      <c r="B1644" s="1">
        <f>DATE(2012,11,8) + TIME(11,4,33)</f>
        <v>41221.461493055554</v>
      </c>
      <c r="C1644">
        <v>80</v>
      </c>
      <c r="D1644">
        <v>79.247695922999995</v>
      </c>
      <c r="E1644">
        <v>50</v>
      </c>
      <c r="F1644">
        <v>49.980937957999998</v>
      </c>
      <c r="G1644">
        <v>1329.3986815999999</v>
      </c>
      <c r="H1644">
        <v>1328.3135986</v>
      </c>
      <c r="I1644">
        <v>1338.3618164</v>
      </c>
      <c r="J1644">
        <v>1335.878418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922.85623999999996</v>
      </c>
      <c r="B1645" s="1">
        <f>DATE(2012,11,8) + TIME(20,32,59)</f>
        <v>41221.856238425928</v>
      </c>
      <c r="C1645">
        <v>80</v>
      </c>
      <c r="D1645">
        <v>79.215454101999995</v>
      </c>
      <c r="E1645">
        <v>50</v>
      </c>
      <c r="F1645">
        <v>49.980739593999999</v>
      </c>
      <c r="G1645">
        <v>1329.3815918</v>
      </c>
      <c r="H1645">
        <v>1328.2897949000001</v>
      </c>
      <c r="I1645">
        <v>1338.3563231999999</v>
      </c>
      <c r="J1645">
        <v>1335.8752440999999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923.27547800000002</v>
      </c>
      <c r="B1646" s="1">
        <f>DATE(2012,11,9) + TIME(6,36,41)</f>
        <v>41222.27547453704</v>
      </c>
      <c r="C1646">
        <v>80</v>
      </c>
      <c r="D1646">
        <v>79.181571959999999</v>
      </c>
      <c r="E1646">
        <v>50</v>
      </c>
      <c r="F1646">
        <v>49.980587006</v>
      </c>
      <c r="G1646">
        <v>1329.3637695</v>
      </c>
      <c r="H1646">
        <v>1328.2650146000001</v>
      </c>
      <c r="I1646">
        <v>1338.3508300999999</v>
      </c>
      <c r="J1646">
        <v>1335.8719481999999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923.72194999999999</v>
      </c>
      <c r="B1647" s="1">
        <f>DATE(2012,11,9) + TIME(17,19,36)</f>
        <v>41222.721944444442</v>
      </c>
      <c r="C1647">
        <v>80</v>
      </c>
      <c r="D1647">
        <v>79.145889281999999</v>
      </c>
      <c r="E1647">
        <v>50</v>
      </c>
      <c r="F1647">
        <v>49.980472564999999</v>
      </c>
      <c r="G1647">
        <v>1329.3450928</v>
      </c>
      <c r="H1647">
        <v>1328.2390137</v>
      </c>
      <c r="I1647">
        <v>1338.3452147999999</v>
      </c>
      <c r="J1647">
        <v>1335.8685303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924.18041700000003</v>
      </c>
      <c r="B1648" s="1">
        <f>DATE(2012,11,10) + TIME(4,19,48)</f>
        <v>41223.18041666667</v>
      </c>
      <c r="C1648">
        <v>80</v>
      </c>
      <c r="D1648">
        <v>79.109184264999996</v>
      </c>
      <c r="E1648">
        <v>50</v>
      </c>
      <c r="F1648">
        <v>49.980388640999998</v>
      </c>
      <c r="G1648">
        <v>1329.3254394999999</v>
      </c>
      <c r="H1648">
        <v>1328.2117920000001</v>
      </c>
      <c r="I1648">
        <v>1338.3393555</v>
      </c>
      <c r="J1648">
        <v>1335.8651123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924.652871</v>
      </c>
      <c r="B1649" s="1">
        <f>DATE(2012,11,10) + TIME(15,40,8)</f>
        <v>41223.652870370373</v>
      </c>
      <c r="C1649">
        <v>80</v>
      </c>
      <c r="D1649">
        <v>79.071472168</v>
      </c>
      <c r="E1649">
        <v>50</v>
      </c>
      <c r="F1649">
        <v>49.980319977000001</v>
      </c>
      <c r="G1649">
        <v>1329.3055420000001</v>
      </c>
      <c r="H1649">
        <v>1328.184082</v>
      </c>
      <c r="I1649">
        <v>1338.3336182</v>
      </c>
      <c r="J1649">
        <v>1335.8615723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925.13821099999996</v>
      </c>
      <c r="B1650" s="1">
        <f>DATE(2012,11,11) + TIME(3,19,1)</f>
        <v>41224.138206018521</v>
      </c>
      <c r="C1650">
        <v>80</v>
      </c>
      <c r="D1650">
        <v>79.032882689999994</v>
      </c>
      <c r="E1650">
        <v>50</v>
      </c>
      <c r="F1650">
        <v>49.980270386000001</v>
      </c>
      <c r="G1650">
        <v>1329.2851562000001</v>
      </c>
      <c r="H1650">
        <v>1328.1557617000001</v>
      </c>
      <c r="I1650">
        <v>1338.3280029</v>
      </c>
      <c r="J1650">
        <v>1335.8581543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925.63120000000004</v>
      </c>
      <c r="B1651" s="1">
        <f>DATE(2012,11,11) + TIME(15,8,55)</f>
        <v>41224.631192129629</v>
      </c>
      <c r="C1651">
        <v>80</v>
      </c>
      <c r="D1651">
        <v>78.993766785000005</v>
      </c>
      <c r="E1651">
        <v>50</v>
      </c>
      <c r="F1651">
        <v>49.980228424000003</v>
      </c>
      <c r="G1651">
        <v>1329.2644043</v>
      </c>
      <c r="H1651">
        <v>1328.1269531</v>
      </c>
      <c r="I1651">
        <v>1338.3223877</v>
      </c>
      <c r="J1651">
        <v>1335.8547363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926.13217399999996</v>
      </c>
      <c r="B1652" s="1">
        <f>DATE(2012,11,12) + TIME(3,10,19)</f>
        <v>41225.132164351853</v>
      </c>
      <c r="C1652">
        <v>80</v>
      </c>
      <c r="D1652">
        <v>78.954185486</v>
      </c>
      <c r="E1652">
        <v>50</v>
      </c>
      <c r="F1652">
        <v>49.980194091999998</v>
      </c>
      <c r="G1652">
        <v>1329.2435303</v>
      </c>
      <c r="H1652">
        <v>1328.0980225000001</v>
      </c>
      <c r="I1652">
        <v>1338.3170166</v>
      </c>
      <c r="J1652">
        <v>1335.8514404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926.64224000000002</v>
      </c>
      <c r="B1653" s="1">
        <f>DATE(2012,11,12) + TIME(15,24,49)</f>
        <v>41225.642233796294</v>
      </c>
      <c r="C1653">
        <v>80</v>
      </c>
      <c r="D1653">
        <v>78.914176940999994</v>
      </c>
      <c r="E1653">
        <v>50</v>
      </c>
      <c r="F1653">
        <v>49.980167389000002</v>
      </c>
      <c r="G1653">
        <v>1329.2224120999999</v>
      </c>
      <c r="H1653">
        <v>1328.0688477000001</v>
      </c>
      <c r="I1653">
        <v>1338.3117675999999</v>
      </c>
      <c r="J1653">
        <v>1335.8481445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927.16253099999994</v>
      </c>
      <c r="B1654" s="1">
        <f>DATE(2012,11,13) + TIME(3,54,2)</f>
        <v>41226.162523148145</v>
      </c>
      <c r="C1654">
        <v>80</v>
      </c>
      <c r="D1654">
        <v>78.873710631999998</v>
      </c>
      <c r="E1654">
        <v>50</v>
      </c>
      <c r="F1654">
        <v>49.980144500999998</v>
      </c>
      <c r="G1654">
        <v>1329.2012939000001</v>
      </c>
      <c r="H1654">
        <v>1328.0394286999999</v>
      </c>
      <c r="I1654">
        <v>1338.3066406</v>
      </c>
      <c r="J1654">
        <v>1335.8449707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927.69421799999998</v>
      </c>
      <c r="B1655" s="1">
        <f>DATE(2012,11,13) + TIME(16,39,40)</f>
        <v>41226.694212962961</v>
      </c>
      <c r="C1655">
        <v>80</v>
      </c>
      <c r="D1655">
        <v>78.832756042</v>
      </c>
      <c r="E1655">
        <v>50</v>
      </c>
      <c r="F1655">
        <v>49.980125426999997</v>
      </c>
      <c r="G1655">
        <v>1329.1799315999999</v>
      </c>
      <c r="H1655">
        <v>1328.0098877</v>
      </c>
      <c r="I1655">
        <v>1338.3016356999999</v>
      </c>
      <c r="J1655">
        <v>1335.8419189000001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928.23852799999997</v>
      </c>
      <c r="B1656" s="1">
        <f>DATE(2012,11,14) + TIME(5,43,28)</f>
        <v>41227.238518518519</v>
      </c>
      <c r="C1656">
        <v>80</v>
      </c>
      <c r="D1656">
        <v>78.791259765999996</v>
      </c>
      <c r="E1656">
        <v>50</v>
      </c>
      <c r="F1656">
        <v>49.980110168000003</v>
      </c>
      <c r="G1656">
        <v>1329.1583252</v>
      </c>
      <c r="H1656">
        <v>1327.9799805</v>
      </c>
      <c r="I1656">
        <v>1338.2966309000001</v>
      </c>
      <c r="J1656">
        <v>1335.8388672000001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928.79678200000001</v>
      </c>
      <c r="B1657" s="1">
        <f>DATE(2012,11,14) + TIME(19,7,21)</f>
        <v>41227.796770833331</v>
      </c>
      <c r="C1657">
        <v>80</v>
      </c>
      <c r="D1657">
        <v>78.749160767000006</v>
      </c>
      <c r="E1657">
        <v>50</v>
      </c>
      <c r="F1657">
        <v>49.980094909999998</v>
      </c>
      <c r="G1657">
        <v>1329.1363524999999</v>
      </c>
      <c r="H1657">
        <v>1327.949707</v>
      </c>
      <c r="I1657">
        <v>1338.2917480000001</v>
      </c>
      <c r="J1657">
        <v>1335.8358154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929.37034100000005</v>
      </c>
      <c r="B1658" s="1">
        <f>DATE(2012,11,15) + TIME(8,53,17)</f>
        <v>41228.370335648149</v>
      </c>
      <c r="C1658">
        <v>80</v>
      </c>
      <c r="D1658">
        <v>78.706390381000006</v>
      </c>
      <c r="E1658">
        <v>50</v>
      </c>
      <c r="F1658">
        <v>49.980083466000004</v>
      </c>
      <c r="G1658">
        <v>1329.1142577999999</v>
      </c>
      <c r="H1658">
        <v>1327.9190673999999</v>
      </c>
      <c r="I1658">
        <v>1338.2869873</v>
      </c>
      <c r="J1658">
        <v>1335.8327637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929.96067500000004</v>
      </c>
      <c r="B1659" s="1">
        <f>DATE(2012,11,15) + TIME(23,3,22)</f>
        <v>41228.9606712963</v>
      </c>
      <c r="C1659">
        <v>80</v>
      </c>
      <c r="D1659">
        <v>78.662872313999998</v>
      </c>
      <c r="E1659">
        <v>50</v>
      </c>
      <c r="F1659">
        <v>49.980072020999998</v>
      </c>
      <c r="G1659">
        <v>1329.0916748</v>
      </c>
      <c r="H1659">
        <v>1327.8879394999999</v>
      </c>
      <c r="I1659">
        <v>1338.2822266000001</v>
      </c>
      <c r="J1659">
        <v>1335.8298339999999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930.56934899999999</v>
      </c>
      <c r="B1660" s="1">
        <f>DATE(2012,11,16) + TIME(13,39,51)</f>
        <v>41229.569340277776</v>
      </c>
      <c r="C1660">
        <v>80</v>
      </c>
      <c r="D1660">
        <v>78.618522643999995</v>
      </c>
      <c r="E1660">
        <v>50</v>
      </c>
      <c r="F1660">
        <v>49.980060577000003</v>
      </c>
      <c r="G1660">
        <v>1329.0687256000001</v>
      </c>
      <c r="H1660">
        <v>1327.8563231999999</v>
      </c>
      <c r="I1660">
        <v>1338.2775879000001</v>
      </c>
      <c r="J1660">
        <v>1335.8269043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931.19776100000001</v>
      </c>
      <c r="B1661" s="1">
        <f>DATE(2012,11,17) + TIME(4,44,46)</f>
        <v>41230.197754629633</v>
      </c>
      <c r="C1661">
        <v>80</v>
      </c>
      <c r="D1661">
        <v>78.573265075999998</v>
      </c>
      <c r="E1661">
        <v>50</v>
      </c>
      <c r="F1661">
        <v>49.980052948000001</v>
      </c>
      <c r="G1661">
        <v>1329.0454102000001</v>
      </c>
      <c r="H1661">
        <v>1327.8240966999999</v>
      </c>
      <c r="I1661">
        <v>1338.2728271000001</v>
      </c>
      <c r="J1661">
        <v>1335.8239745999999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931.84794399999998</v>
      </c>
      <c r="B1662" s="1">
        <f>DATE(2012,11,17) + TIME(20,21,2)</f>
        <v>41230.847939814812</v>
      </c>
      <c r="C1662">
        <v>80</v>
      </c>
      <c r="D1662">
        <v>78.527008057000003</v>
      </c>
      <c r="E1662">
        <v>50</v>
      </c>
      <c r="F1662">
        <v>49.980045318999998</v>
      </c>
      <c r="G1662">
        <v>1329.0214844</v>
      </c>
      <c r="H1662">
        <v>1327.7912598</v>
      </c>
      <c r="I1662">
        <v>1338.2681885</v>
      </c>
      <c r="J1662">
        <v>1335.8211670000001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932.52191400000004</v>
      </c>
      <c r="B1663" s="1">
        <f>DATE(2012,11,18) + TIME(12,31,33)</f>
        <v>41231.521909722222</v>
      </c>
      <c r="C1663">
        <v>80</v>
      </c>
      <c r="D1663">
        <v>78.479644774999997</v>
      </c>
      <c r="E1663">
        <v>50</v>
      </c>
      <c r="F1663">
        <v>49.980037689</v>
      </c>
      <c r="G1663">
        <v>1328.9970702999999</v>
      </c>
      <c r="H1663">
        <v>1327.7576904</v>
      </c>
      <c r="I1663">
        <v>1338.2635498</v>
      </c>
      <c r="J1663">
        <v>1335.8182373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933.22189300000002</v>
      </c>
      <c r="B1664" s="1">
        <f>DATE(2012,11,19) + TIME(5,19,31)</f>
        <v>41232.221886574072</v>
      </c>
      <c r="C1664">
        <v>80</v>
      </c>
      <c r="D1664">
        <v>78.431060790999993</v>
      </c>
      <c r="E1664">
        <v>50</v>
      </c>
      <c r="F1664">
        <v>49.980030059999997</v>
      </c>
      <c r="G1664">
        <v>1328.9720459</v>
      </c>
      <c r="H1664">
        <v>1327.7232666</v>
      </c>
      <c r="I1664">
        <v>1338.2590332</v>
      </c>
      <c r="J1664">
        <v>1335.8153076000001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933.950333</v>
      </c>
      <c r="B1665" s="1">
        <f>DATE(2012,11,19) + TIME(22,48,28)</f>
        <v>41232.950324074074</v>
      </c>
      <c r="C1665">
        <v>80</v>
      </c>
      <c r="D1665">
        <v>78.381149292000003</v>
      </c>
      <c r="E1665">
        <v>50</v>
      </c>
      <c r="F1665">
        <v>49.980022429999998</v>
      </c>
      <c r="G1665">
        <v>1328.9464111</v>
      </c>
      <c r="H1665">
        <v>1327.6879882999999</v>
      </c>
      <c r="I1665">
        <v>1338.2543945</v>
      </c>
      <c r="J1665">
        <v>1335.8125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934.70995600000003</v>
      </c>
      <c r="B1666" s="1">
        <f>DATE(2012,11,20) + TIME(17,2,20)</f>
        <v>41233.709953703707</v>
      </c>
      <c r="C1666">
        <v>80</v>
      </c>
      <c r="D1666">
        <v>78.329765320000007</v>
      </c>
      <c r="E1666">
        <v>50</v>
      </c>
      <c r="F1666">
        <v>49.980014801000003</v>
      </c>
      <c r="G1666">
        <v>1328.9199219</v>
      </c>
      <c r="H1666">
        <v>1327.6517334</v>
      </c>
      <c r="I1666">
        <v>1338.2497559000001</v>
      </c>
      <c r="J1666">
        <v>1335.8096923999999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935.50381900000002</v>
      </c>
      <c r="B1667" s="1">
        <f>DATE(2012,11,21) + TIME(12,5,30)</f>
        <v>41234.503819444442</v>
      </c>
      <c r="C1667">
        <v>80</v>
      </c>
      <c r="D1667">
        <v>78.276771545000003</v>
      </c>
      <c r="E1667">
        <v>50</v>
      </c>
      <c r="F1667">
        <v>49.980007172000001</v>
      </c>
      <c r="G1667">
        <v>1328.8927002</v>
      </c>
      <c r="H1667">
        <v>1327.6145019999999</v>
      </c>
      <c r="I1667">
        <v>1338.2451172000001</v>
      </c>
      <c r="J1667">
        <v>1335.8067627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936.33533499999999</v>
      </c>
      <c r="B1668" s="1">
        <f>DATE(2012,11,22) + TIME(8,2,52)</f>
        <v>41235.335324074076</v>
      </c>
      <c r="C1668">
        <v>80</v>
      </c>
      <c r="D1668">
        <v>78.222007751000007</v>
      </c>
      <c r="E1668">
        <v>50</v>
      </c>
      <c r="F1668">
        <v>49.979999542000002</v>
      </c>
      <c r="G1668">
        <v>1328.864624</v>
      </c>
      <c r="H1668">
        <v>1327.5759277</v>
      </c>
      <c r="I1668">
        <v>1338.2404785000001</v>
      </c>
      <c r="J1668">
        <v>1335.8039550999999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937.20837300000005</v>
      </c>
      <c r="B1669" s="1">
        <f>DATE(2012,11,23) + TIME(5,0,3)</f>
        <v>41236.208368055559</v>
      </c>
      <c r="C1669">
        <v>80</v>
      </c>
      <c r="D1669">
        <v>78.165290833</v>
      </c>
      <c r="E1669">
        <v>50</v>
      </c>
      <c r="F1669">
        <v>49.979995727999999</v>
      </c>
      <c r="G1669">
        <v>1328.8355713000001</v>
      </c>
      <c r="H1669">
        <v>1327.5361327999999</v>
      </c>
      <c r="I1669">
        <v>1338.2357178</v>
      </c>
      <c r="J1669">
        <v>1335.8010254000001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938.12023599999998</v>
      </c>
      <c r="B1670" s="1">
        <f>DATE(2012,11,24) + TIME(2,53,8)</f>
        <v>41237.12023148148</v>
      </c>
      <c r="C1670">
        <v>80</v>
      </c>
      <c r="D1670">
        <v>78.106628418</v>
      </c>
      <c r="E1670">
        <v>50</v>
      </c>
      <c r="F1670">
        <v>49.979988098</v>
      </c>
      <c r="G1670">
        <v>1328.8054199000001</v>
      </c>
      <c r="H1670">
        <v>1327.4948730000001</v>
      </c>
      <c r="I1670">
        <v>1338.2310791</v>
      </c>
      <c r="J1670">
        <v>1335.7980957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939.04238299999997</v>
      </c>
      <c r="B1671" s="1">
        <f>DATE(2012,11,25) + TIME(1,1,1)</f>
        <v>41238.042372685188</v>
      </c>
      <c r="C1671">
        <v>80</v>
      </c>
      <c r="D1671">
        <v>78.046875</v>
      </c>
      <c r="E1671">
        <v>50</v>
      </c>
      <c r="F1671">
        <v>49.979984283</v>
      </c>
      <c r="G1671">
        <v>1328.7742920000001</v>
      </c>
      <c r="H1671">
        <v>1327.4525146000001</v>
      </c>
      <c r="I1671">
        <v>1338.2261963000001</v>
      </c>
      <c r="J1671">
        <v>1335.7951660000001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939.98129400000005</v>
      </c>
      <c r="B1672" s="1">
        <f>DATE(2012,11,25) + TIME(23,33,3)</f>
        <v>41238.98128472222</v>
      </c>
      <c r="C1672">
        <v>80</v>
      </c>
      <c r="D1672">
        <v>77.986434936999999</v>
      </c>
      <c r="E1672">
        <v>50</v>
      </c>
      <c r="F1672">
        <v>49.979976653999998</v>
      </c>
      <c r="G1672">
        <v>1328.7429199000001</v>
      </c>
      <c r="H1672">
        <v>1327.4095459</v>
      </c>
      <c r="I1672">
        <v>1338.2215576000001</v>
      </c>
      <c r="J1672">
        <v>1335.7923584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940.94343400000002</v>
      </c>
      <c r="B1673" s="1">
        <f>DATE(2012,11,26) + TIME(22,38,32)</f>
        <v>41239.943425925929</v>
      </c>
      <c r="C1673">
        <v>80</v>
      </c>
      <c r="D1673">
        <v>77.925262450999995</v>
      </c>
      <c r="E1673">
        <v>50</v>
      </c>
      <c r="F1673">
        <v>49.979972838999998</v>
      </c>
      <c r="G1673">
        <v>1328.7113036999999</v>
      </c>
      <c r="H1673">
        <v>1327.3663329999999</v>
      </c>
      <c r="I1673">
        <v>1338.2170410000001</v>
      </c>
      <c r="J1673">
        <v>1335.7896728999999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941.93569300000001</v>
      </c>
      <c r="B1674" s="1">
        <f>DATE(2012,11,27) + TIME(22,27,23)</f>
        <v>41240.935682870368</v>
      </c>
      <c r="C1674">
        <v>80</v>
      </c>
      <c r="D1674">
        <v>77.863098144999995</v>
      </c>
      <c r="E1674">
        <v>50</v>
      </c>
      <c r="F1674">
        <v>49.979965210000003</v>
      </c>
      <c r="G1674">
        <v>1328.6791992000001</v>
      </c>
      <c r="H1674">
        <v>1327.3225098</v>
      </c>
      <c r="I1674">
        <v>1338.2126464999999</v>
      </c>
      <c r="J1674">
        <v>1335.7869873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942.96570199999996</v>
      </c>
      <c r="B1675" s="1">
        <f>DATE(2012,11,28) + TIME(23,10,36)</f>
        <v>41241.965694444443</v>
      </c>
      <c r="C1675">
        <v>80</v>
      </c>
      <c r="D1675">
        <v>77.799598693999997</v>
      </c>
      <c r="E1675">
        <v>50</v>
      </c>
      <c r="F1675">
        <v>49.979961394999997</v>
      </c>
      <c r="G1675">
        <v>1328.6466064000001</v>
      </c>
      <c r="H1675">
        <v>1327.2780762</v>
      </c>
      <c r="I1675">
        <v>1338.2081298999999</v>
      </c>
      <c r="J1675">
        <v>1335.7843018000001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944.04219999999998</v>
      </c>
      <c r="B1676" s="1">
        <f>DATE(2012,11,30) + TIME(1,0,46)</f>
        <v>41243.042199074072</v>
      </c>
      <c r="C1676">
        <v>80</v>
      </c>
      <c r="D1676">
        <v>77.734321593999994</v>
      </c>
      <c r="E1676">
        <v>50</v>
      </c>
      <c r="F1676">
        <v>49.979957581000001</v>
      </c>
      <c r="G1676">
        <v>1328.6132812000001</v>
      </c>
      <c r="H1676">
        <v>1327.2325439000001</v>
      </c>
      <c r="I1676">
        <v>1338.2037353999999</v>
      </c>
      <c r="J1676">
        <v>1335.7817382999999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945</v>
      </c>
      <c r="B1677" s="1">
        <f>DATE(2012,12,1) + TIME(0,0,0)</f>
        <v>41244</v>
      </c>
      <c r="C1677">
        <v>80</v>
      </c>
      <c r="D1677">
        <v>77.671264648000005</v>
      </c>
      <c r="E1677">
        <v>50</v>
      </c>
      <c r="F1677">
        <v>49.979953766000001</v>
      </c>
      <c r="G1677">
        <v>1328.5792236</v>
      </c>
      <c r="H1677">
        <v>1327.1864014</v>
      </c>
      <c r="I1677">
        <v>1338.1990966999999</v>
      </c>
      <c r="J1677">
        <v>1335.7790527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946.11044100000004</v>
      </c>
      <c r="B1678" s="1">
        <f>DATE(2012,12,2) + TIME(2,39,2)</f>
        <v>41245.110439814816</v>
      </c>
      <c r="C1678">
        <v>80</v>
      </c>
      <c r="D1678">
        <v>77.606689453000001</v>
      </c>
      <c r="E1678">
        <v>50</v>
      </c>
      <c r="F1678">
        <v>49.979949951000002</v>
      </c>
      <c r="G1678">
        <v>1328.5473632999999</v>
      </c>
      <c r="H1678">
        <v>1327.1427002</v>
      </c>
      <c r="I1678">
        <v>1338.1953125</v>
      </c>
      <c r="J1678">
        <v>1335.7768555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947.27760000000001</v>
      </c>
      <c r="B1679" s="1">
        <f>DATE(2012,12,3) + TIME(6,39,44)</f>
        <v>41246.277592592596</v>
      </c>
      <c r="C1679">
        <v>80</v>
      </c>
      <c r="D1679">
        <v>77.538818359000004</v>
      </c>
      <c r="E1679">
        <v>50</v>
      </c>
      <c r="F1679">
        <v>49.979946136000002</v>
      </c>
      <c r="G1679">
        <v>1328.5131836</v>
      </c>
      <c r="H1679">
        <v>1327.0963135</v>
      </c>
      <c r="I1679">
        <v>1338.1910399999999</v>
      </c>
      <c r="J1679">
        <v>1335.7742920000001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948.46241499999996</v>
      </c>
      <c r="B1680" s="1">
        <f>DATE(2012,12,4) + TIME(11,5,52)</f>
        <v>41247.462407407409</v>
      </c>
      <c r="C1680">
        <v>80</v>
      </c>
      <c r="D1680">
        <v>77.468719481999997</v>
      </c>
      <c r="E1680">
        <v>50</v>
      </c>
      <c r="F1680">
        <v>49.979942321999999</v>
      </c>
      <c r="G1680">
        <v>1328.4775391000001</v>
      </c>
      <c r="H1680">
        <v>1327.0479736</v>
      </c>
      <c r="I1680">
        <v>1338.1866454999999</v>
      </c>
      <c r="J1680">
        <v>1335.7718506000001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949.66616199999999</v>
      </c>
      <c r="B1681" s="1">
        <f>DATE(2012,12,5) + TIME(15,59,16)</f>
        <v>41248.66615740741</v>
      </c>
      <c r="C1681">
        <v>80</v>
      </c>
      <c r="D1681">
        <v>77.397377014</v>
      </c>
      <c r="E1681">
        <v>50</v>
      </c>
      <c r="F1681">
        <v>49.979938507</v>
      </c>
      <c r="G1681">
        <v>1328.4414062000001</v>
      </c>
      <c r="H1681">
        <v>1326.9990233999999</v>
      </c>
      <c r="I1681">
        <v>1338.1823730000001</v>
      </c>
      <c r="J1681">
        <v>1335.7694091999999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950.89764400000001</v>
      </c>
      <c r="B1682" s="1">
        <f>DATE(2012,12,6) + TIME(21,32,36)</f>
        <v>41249.897638888891</v>
      </c>
      <c r="C1682">
        <v>80</v>
      </c>
      <c r="D1682">
        <v>77.324943542</v>
      </c>
      <c r="E1682">
        <v>50</v>
      </c>
      <c r="F1682">
        <v>49.979938507</v>
      </c>
      <c r="G1682">
        <v>1328.4049072</v>
      </c>
      <c r="H1682">
        <v>1326.9495850000001</v>
      </c>
      <c r="I1682">
        <v>1338.1781006000001</v>
      </c>
      <c r="J1682">
        <v>1335.7669678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952.16611999999998</v>
      </c>
      <c r="B1683" s="1">
        <f>DATE(2012,12,8) + TIME(3,59,12)</f>
        <v>41251.16611111111</v>
      </c>
      <c r="C1683">
        <v>80</v>
      </c>
      <c r="D1683">
        <v>77.251098632999998</v>
      </c>
      <c r="E1683">
        <v>50</v>
      </c>
      <c r="F1683">
        <v>49.979934692</v>
      </c>
      <c r="G1683">
        <v>1328.3681641000001</v>
      </c>
      <c r="H1683">
        <v>1326.8996582</v>
      </c>
      <c r="I1683">
        <v>1338.1739502</v>
      </c>
      <c r="J1683">
        <v>1335.7647704999999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953.48179700000003</v>
      </c>
      <c r="B1684" s="1">
        <f>DATE(2012,12,9) + TIME(11,33,47)</f>
        <v>41252.481793981482</v>
      </c>
      <c r="C1684">
        <v>80</v>
      </c>
      <c r="D1684">
        <v>77.175361632999994</v>
      </c>
      <c r="E1684">
        <v>50</v>
      </c>
      <c r="F1684">
        <v>49.979930877999998</v>
      </c>
      <c r="G1684">
        <v>1328.3308105000001</v>
      </c>
      <c r="H1684">
        <v>1326.8491211</v>
      </c>
      <c r="I1684">
        <v>1338.1697998</v>
      </c>
      <c r="J1684">
        <v>1335.7624512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954.84465</v>
      </c>
      <c r="B1685" s="1">
        <f>DATE(2012,12,10) + TIME(20,16,17)</f>
        <v>41253.844641203701</v>
      </c>
      <c r="C1685">
        <v>80</v>
      </c>
      <c r="D1685">
        <v>77.097320557000003</v>
      </c>
      <c r="E1685">
        <v>50</v>
      </c>
      <c r="F1685">
        <v>49.979930877999998</v>
      </c>
      <c r="G1685">
        <v>1328.2927245999999</v>
      </c>
      <c r="H1685">
        <v>1326.7974853999999</v>
      </c>
      <c r="I1685">
        <v>1338.1656493999999</v>
      </c>
      <c r="J1685">
        <v>1335.7602539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956.26074200000005</v>
      </c>
      <c r="B1686" s="1">
        <f>DATE(2012,12,12) + TIME(6,15,28)</f>
        <v>41255.260740740741</v>
      </c>
      <c r="C1686">
        <v>80</v>
      </c>
      <c r="D1686">
        <v>77.016677856000001</v>
      </c>
      <c r="E1686">
        <v>50</v>
      </c>
      <c r="F1686">
        <v>49.979927062999998</v>
      </c>
      <c r="G1686">
        <v>1328.2537841999999</v>
      </c>
      <c r="H1686">
        <v>1326.7448730000001</v>
      </c>
      <c r="I1686">
        <v>1338.161499</v>
      </c>
      <c r="J1686">
        <v>1335.7579346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957.731897</v>
      </c>
      <c r="B1687" s="1">
        <f>DATE(2012,12,13) + TIME(17,33,55)</f>
        <v>41256.731886574074</v>
      </c>
      <c r="C1687">
        <v>80</v>
      </c>
      <c r="D1687">
        <v>76.933143615999995</v>
      </c>
      <c r="E1687">
        <v>50</v>
      </c>
      <c r="F1687">
        <v>49.979927062999998</v>
      </c>
      <c r="G1687">
        <v>1328.2139893000001</v>
      </c>
      <c r="H1687">
        <v>1326.6910399999999</v>
      </c>
      <c r="I1687">
        <v>1338.1573486</v>
      </c>
      <c r="J1687">
        <v>1335.7557373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959.223344</v>
      </c>
      <c r="B1688" s="1">
        <f>DATE(2012,12,15) + TIME(5,21,36)</f>
        <v>41258.223333333335</v>
      </c>
      <c r="C1688">
        <v>80</v>
      </c>
      <c r="D1688">
        <v>76.847114563000005</v>
      </c>
      <c r="E1688">
        <v>50</v>
      </c>
      <c r="F1688">
        <v>49.979923247999999</v>
      </c>
      <c r="G1688">
        <v>1328.1732178</v>
      </c>
      <c r="H1688">
        <v>1326.6361084</v>
      </c>
      <c r="I1688">
        <v>1338.1530762</v>
      </c>
      <c r="J1688">
        <v>1335.7535399999999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960.73179400000004</v>
      </c>
      <c r="B1689" s="1">
        <f>DATE(2012,12,16) + TIME(17,33,46)</f>
        <v>41259.731782407405</v>
      </c>
      <c r="C1689">
        <v>80</v>
      </c>
      <c r="D1689">
        <v>76.759490967000005</v>
      </c>
      <c r="E1689">
        <v>50</v>
      </c>
      <c r="F1689">
        <v>49.979923247999999</v>
      </c>
      <c r="G1689">
        <v>1328.1322021000001</v>
      </c>
      <c r="H1689">
        <v>1326.5806885</v>
      </c>
      <c r="I1689">
        <v>1338.1489257999999</v>
      </c>
      <c r="J1689">
        <v>1335.7514647999999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962.25995599999999</v>
      </c>
      <c r="B1690" s="1">
        <f>DATE(2012,12,18) + TIME(6,14,20)</f>
        <v>41261.259953703702</v>
      </c>
      <c r="C1690">
        <v>80</v>
      </c>
      <c r="D1690">
        <v>76.670539856000005</v>
      </c>
      <c r="E1690">
        <v>50</v>
      </c>
      <c r="F1690">
        <v>49.979919434000003</v>
      </c>
      <c r="G1690">
        <v>1328.0911865</v>
      </c>
      <c r="H1690">
        <v>1326.5252685999999</v>
      </c>
      <c r="I1690">
        <v>1338.1448975000001</v>
      </c>
      <c r="J1690">
        <v>1335.7493896000001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963.81895099999997</v>
      </c>
      <c r="B1691" s="1">
        <f>DATE(2012,12,19) + TIME(19,39,17)</f>
        <v>41262.81894675926</v>
      </c>
      <c r="C1691">
        <v>80</v>
      </c>
      <c r="D1691">
        <v>76.580001831000004</v>
      </c>
      <c r="E1691">
        <v>50</v>
      </c>
      <c r="F1691">
        <v>49.979919434000003</v>
      </c>
      <c r="G1691">
        <v>1328.0500488</v>
      </c>
      <c r="H1691">
        <v>1326.4698486</v>
      </c>
      <c r="I1691">
        <v>1338.1409911999999</v>
      </c>
      <c r="J1691">
        <v>1335.7474365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965.42038300000002</v>
      </c>
      <c r="B1692" s="1">
        <f>DATE(2012,12,21) + TIME(10,5,21)</f>
        <v>41264.420381944445</v>
      </c>
      <c r="C1692">
        <v>80</v>
      </c>
      <c r="D1692">
        <v>76.487289429</v>
      </c>
      <c r="E1692">
        <v>50</v>
      </c>
      <c r="F1692">
        <v>49.979919434000003</v>
      </c>
      <c r="G1692">
        <v>1328.0089111</v>
      </c>
      <c r="H1692">
        <v>1326.4143065999999</v>
      </c>
      <c r="I1692">
        <v>1338.1370850000001</v>
      </c>
      <c r="J1692">
        <v>1335.7454834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967.07687299999998</v>
      </c>
      <c r="B1693" s="1">
        <f>DATE(2012,12,23) + TIME(1,50,41)</f>
        <v>41266.076863425929</v>
      </c>
      <c r="C1693">
        <v>80</v>
      </c>
      <c r="D1693">
        <v>76.391639709000003</v>
      </c>
      <c r="E1693">
        <v>50</v>
      </c>
      <c r="F1693">
        <v>49.979919434000003</v>
      </c>
      <c r="G1693">
        <v>1327.9674072</v>
      </c>
      <c r="H1693">
        <v>1326.3582764</v>
      </c>
      <c r="I1693">
        <v>1338.1330565999999</v>
      </c>
      <c r="J1693">
        <v>1335.7436522999999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968.802728</v>
      </c>
      <c r="B1694" s="1">
        <f>DATE(2012,12,24) + TIME(19,15,55)</f>
        <v>41267.802719907406</v>
      </c>
      <c r="C1694">
        <v>80</v>
      </c>
      <c r="D1694">
        <v>76.292190551999994</v>
      </c>
      <c r="E1694">
        <v>50</v>
      </c>
      <c r="F1694">
        <v>49.979915619000003</v>
      </c>
      <c r="G1694">
        <v>1327.9251709</v>
      </c>
      <c r="H1694">
        <v>1326.3015137</v>
      </c>
      <c r="I1694">
        <v>1338.1291504000001</v>
      </c>
      <c r="J1694">
        <v>1335.7418213000001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970.613923</v>
      </c>
      <c r="B1695" s="1">
        <f>DATE(2012,12,26) + TIME(14,44,2)</f>
        <v>41269.613912037035</v>
      </c>
      <c r="C1695">
        <v>80</v>
      </c>
      <c r="D1695">
        <v>76.187950134000005</v>
      </c>
      <c r="E1695">
        <v>50</v>
      </c>
      <c r="F1695">
        <v>49.979915619000003</v>
      </c>
      <c r="G1695">
        <v>1327.8819579999999</v>
      </c>
      <c r="H1695">
        <v>1326.2435303</v>
      </c>
      <c r="I1695">
        <v>1338.1251221</v>
      </c>
      <c r="J1695">
        <v>1335.7398682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972.427505</v>
      </c>
      <c r="B1696" s="1">
        <f>DATE(2012,12,28) + TIME(10,15,36)</f>
        <v>41271.427499999998</v>
      </c>
      <c r="C1696">
        <v>80</v>
      </c>
      <c r="D1696">
        <v>76.079284668</v>
      </c>
      <c r="E1696">
        <v>50</v>
      </c>
      <c r="F1696">
        <v>49.979915619000003</v>
      </c>
      <c r="G1696">
        <v>1327.8375243999999</v>
      </c>
      <c r="H1696">
        <v>1326.1839600000001</v>
      </c>
      <c r="I1696">
        <v>1338.1210937999999</v>
      </c>
      <c r="J1696">
        <v>1335.7380370999999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974.25714200000004</v>
      </c>
      <c r="B1697" s="1">
        <f>DATE(2012,12,30) + TIME(6,10,17)</f>
        <v>41273.257141203707</v>
      </c>
      <c r="C1697">
        <v>80</v>
      </c>
      <c r="D1697">
        <v>75.968460082999997</v>
      </c>
      <c r="E1697">
        <v>50</v>
      </c>
      <c r="F1697">
        <v>49.979915619000003</v>
      </c>
      <c r="G1697">
        <v>1327.7932129000001</v>
      </c>
      <c r="H1697">
        <v>1326.1242675999999</v>
      </c>
      <c r="I1697">
        <v>1338.1171875</v>
      </c>
      <c r="J1697">
        <v>1335.7363281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976</v>
      </c>
      <c r="B1698" s="1">
        <f>DATE(2013,1,1) + TIME(0,0,0)</f>
        <v>41275</v>
      </c>
      <c r="C1698">
        <v>80</v>
      </c>
      <c r="D1698">
        <v>75.857238769999995</v>
      </c>
      <c r="E1698">
        <v>50</v>
      </c>
      <c r="F1698">
        <v>49.979915619000003</v>
      </c>
      <c r="G1698">
        <v>1327.7491454999999</v>
      </c>
      <c r="H1698">
        <v>1326.0651855000001</v>
      </c>
      <c r="I1698">
        <v>1338.1132812000001</v>
      </c>
      <c r="J1698">
        <v>1335.7344971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977.85970499999996</v>
      </c>
      <c r="B1699" s="1">
        <f>DATE(2013,1,2) + TIME(20,37,58)</f>
        <v>41276.859699074077</v>
      </c>
      <c r="C1699">
        <v>80</v>
      </c>
      <c r="D1699">
        <v>75.745895386000001</v>
      </c>
      <c r="E1699">
        <v>50</v>
      </c>
      <c r="F1699">
        <v>49.979915619000003</v>
      </c>
      <c r="G1699">
        <v>1327.7067870999999</v>
      </c>
      <c r="H1699">
        <v>1326.0080565999999</v>
      </c>
      <c r="I1699">
        <v>1338.1096190999999</v>
      </c>
      <c r="J1699">
        <v>1335.7330322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979.81964000000005</v>
      </c>
      <c r="B1700" s="1">
        <f>DATE(2013,1,4) + TIME(19,40,16)</f>
        <v>41278.81962962963</v>
      </c>
      <c r="C1700">
        <v>80</v>
      </c>
      <c r="D1700">
        <v>75.628623962000006</v>
      </c>
      <c r="E1700">
        <v>50</v>
      </c>
      <c r="F1700">
        <v>49.979915619000003</v>
      </c>
      <c r="G1700">
        <v>1327.6639404</v>
      </c>
      <c r="H1700">
        <v>1325.9504394999999</v>
      </c>
      <c r="I1700">
        <v>1338.1058350000001</v>
      </c>
      <c r="J1700">
        <v>1335.7314452999999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981.85361699999999</v>
      </c>
      <c r="B1701" s="1">
        <f>DATE(2013,1,6) + TIME(20,29,12)</f>
        <v>41280.85361111111</v>
      </c>
      <c r="C1701">
        <v>80</v>
      </c>
      <c r="D1701">
        <v>75.504501343000001</v>
      </c>
      <c r="E1701">
        <v>50</v>
      </c>
      <c r="F1701">
        <v>49.979919434000003</v>
      </c>
      <c r="G1701">
        <v>1327.6196289</v>
      </c>
      <c r="H1701">
        <v>1325.8913574000001</v>
      </c>
      <c r="I1701">
        <v>1338.1020507999999</v>
      </c>
      <c r="J1701">
        <v>1335.7298584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983.97930299999996</v>
      </c>
      <c r="B1702" s="1">
        <f>DATE(2013,1,8) + TIME(23,30,11)</f>
        <v>41282.97929398148</v>
      </c>
      <c r="C1702">
        <v>80</v>
      </c>
      <c r="D1702">
        <v>75.373802185000002</v>
      </c>
      <c r="E1702">
        <v>50</v>
      </c>
      <c r="F1702">
        <v>49.979919434000003</v>
      </c>
      <c r="G1702">
        <v>1327.5743408000001</v>
      </c>
      <c r="H1702">
        <v>1325.8306885</v>
      </c>
      <c r="I1702">
        <v>1338.0981445</v>
      </c>
      <c r="J1702">
        <v>1335.7282714999999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986.16334400000005</v>
      </c>
      <c r="B1703" s="1">
        <f>DATE(2013,1,11) + TIME(3,55,12)</f>
        <v>41285.16333333333</v>
      </c>
      <c r="C1703">
        <v>80</v>
      </c>
      <c r="D1703">
        <v>75.236282349000007</v>
      </c>
      <c r="E1703">
        <v>50</v>
      </c>
      <c r="F1703">
        <v>49.979919434000003</v>
      </c>
      <c r="G1703">
        <v>1327.527832</v>
      </c>
      <c r="H1703">
        <v>1325.7685547000001</v>
      </c>
      <c r="I1703">
        <v>1338.0941161999999</v>
      </c>
      <c r="J1703">
        <v>1335.7265625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988.36065099999996</v>
      </c>
      <c r="B1704" s="1">
        <f>DATE(2013,1,13) + TIME(8,39,20)</f>
        <v>41287.360648148147</v>
      </c>
      <c r="C1704">
        <v>80</v>
      </c>
      <c r="D1704">
        <v>75.093597411999994</v>
      </c>
      <c r="E1704">
        <v>50</v>
      </c>
      <c r="F1704">
        <v>49.979919434000003</v>
      </c>
      <c r="G1704">
        <v>1327.4807129000001</v>
      </c>
      <c r="H1704">
        <v>1325.7056885</v>
      </c>
      <c r="I1704">
        <v>1338.0900879000001</v>
      </c>
      <c r="J1704">
        <v>1335.7249756000001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990.58880499999998</v>
      </c>
      <c r="B1705" s="1">
        <f>DATE(2013,1,15) + TIME(14,7,52)</f>
        <v>41289.588796296295</v>
      </c>
      <c r="C1705">
        <v>80</v>
      </c>
      <c r="D1705">
        <v>74.947425842000001</v>
      </c>
      <c r="E1705">
        <v>50</v>
      </c>
      <c r="F1705">
        <v>49.979923247999999</v>
      </c>
      <c r="G1705">
        <v>1327.4338379000001</v>
      </c>
      <c r="H1705">
        <v>1325.6428223</v>
      </c>
      <c r="I1705">
        <v>1338.0861815999999</v>
      </c>
      <c r="J1705">
        <v>1335.7235106999999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992.86589600000002</v>
      </c>
      <c r="B1706" s="1">
        <f>DATE(2013,1,17) + TIME(20,46,53)</f>
        <v>41291.865891203706</v>
      </c>
      <c r="C1706">
        <v>80</v>
      </c>
      <c r="D1706">
        <v>74.797103882000002</v>
      </c>
      <c r="E1706">
        <v>50</v>
      </c>
      <c r="F1706">
        <v>49.979923247999999</v>
      </c>
      <c r="G1706">
        <v>1327.387207</v>
      </c>
      <c r="H1706">
        <v>1325.5804443</v>
      </c>
      <c r="I1706">
        <v>1338.0822754000001</v>
      </c>
      <c r="J1706">
        <v>1335.7220459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995.21105399999999</v>
      </c>
      <c r="B1707" s="1">
        <f>DATE(2013,1,20) + TIME(5,3,55)</f>
        <v>41294.211053240739</v>
      </c>
      <c r="C1707">
        <v>80</v>
      </c>
      <c r="D1707">
        <v>74.641532897999994</v>
      </c>
      <c r="E1707">
        <v>50</v>
      </c>
      <c r="F1707">
        <v>49.979927062999998</v>
      </c>
      <c r="G1707">
        <v>1327.3404541</v>
      </c>
      <c r="H1707">
        <v>1325.5180664</v>
      </c>
      <c r="I1707">
        <v>1338.0783690999999</v>
      </c>
      <c r="J1707">
        <v>1335.7205810999999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997.63142100000005</v>
      </c>
      <c r="B1708" s="1">
        <f>DATE(2013,1,22) + TIME(15,9,14)</f>
        <v>41296.631412037037</v>
      </c>
      <c r="C1708">
        <v>80</v>
      </c>
      <c r="D1708">
        <v>74.479553222999996</v>
      </c>
      <c r="E1708">
        <v>50</v>
      </c>
      <c r="F1708">
        <v>49.979927062999998</v>
      </c>
      <c r="G1708">
        <v>1327.293457</v>
      </c>
      <c r="H1708">
        <v>1325.4553223</v>
      </c>
      <c r="I1708">
        <v>1338.0744629000001</v>
      </c>
      <c r="J1708">
        <v>1335.7191161999999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1000.105873</v>
      </c>
      <c r="B1709" s="1">
        <f>DATE(2013,1,25) + TIME(2,32,27)</f>
        <v>41299.105868055558</v>
      </c>
      <c r="C1709">
        <v>80</v>
      </c>
      <c r="D1709">
        <v>74.310745238999999</v>
      </c>
      <c r="E1709">
        <v>50</v>
      </c>
      <c r="F1709">
        <v>49.979930877999998</v>
      </c>
      <c r="G1709">
        <v>1327.2460937999999</v>
      </c>
      <c r="H1709">
        <v>1325.3919678</v>
      </c>
      <c r="I1709">
        <v>1338.0705565999999</v>
      </c>
      <c r="J1709">
        <v>1335.7176514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1002.643778</v>
      </c>
      <c r="B1710" s="1">
        <f>DATE(2013,1,27) + TIME(15,27,2)</f>
        <v>41301.643773148149</v>
      </c>
      <c r="C1710">
        <v>80</v>
      </c>
      <c r="D1710">
        <v>74.135681152000004</v>
      </c>
      <c r="E1710">
        <v>50</v>
      </c>
      <c r="F1710">
        <v>49.979934692</v>
      </c>
      <c r="G1710">
        <v>1327.1983643000001</v>
      </c>
      <c r="H1710">
        <v>1325.3282471</v>
      </c>
      <c r="I1710">
        <v>1338.0665283000001</v>
      </c>
      <c r="J1710">
        <v>1335.7163086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1005.26501</v>
      </c>
      <c r="B1711" s="1">
        <f>DATE(2013,1,30) + TIME(6,21,36)</f>
        <v>41304.264999999999</v>
      </c>
      <c r="C1711">
        <v>80</v>
      </c>
      <c r="D1711">
        <v>73.95375061</v>
      </c>
      <c r="E1711">
        <v>50</v>
      </c>
      <c r="F1711">
        <v>49.979934692</v>
      </c>
      <c r="G1711">
        <v>1327.1503906</v>
      </c>
      <c r="H1711">
        <v>1325.2644043</v>
      </c>
      <c r="I1711">
        <v>1338.0625</v>
      </c>
      <c r="J1711">
        <v>1335.7148437999999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1007</v>
      </c>
      <c r="B1712" s="1">
        <f>DATE(2013,2,1) + TIME(0,0,0)</f>
        <v>41306</v>
      </c>
      <c r="C1712">
        <v>80</v>
      </c>
      <c r="D1712">
        <v>73.780525208</v>
      </c>
      <c r="E1712">
        <v>50</v>
      </c>
      <c r="F1712">
        <v>49.979930877999998</v>
      </c>
      <c r="G1712">
        <v>1327.1025391000001</v>
      </c>
      <c r="H1712">
        <v>1325.2011719</v>
      </c>
      <c r="I1712">
        <v>1338.0584716999999</v>
      </c>
      <c r="J1712">
        <v>1335.7133789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1009.679947</v>
      </c>
      <c r="B1713" s="1">
        <f>DATE(2013,2,3) + TIME(16,19,7)</f>
        <v>41308.679942129631</v>
      </c>
      <c r="C1713">
        <v>80</v>
      </c>
      <c r="D1713">
        <v>73.628517150999997</v>
      </c>
      <c r="E1713">
        <v>50</v>
      </c>
      <c r="F1713">
        <v>49.979942321999999</v>
      </c>
      <c r="G1713">
        <v>1327.0651855000001</v>
      </c>
      <c r="H1713">
        <v>1325.1488036999999</v>
      </c>
      <c r="I1713">
        <v>1338.0559082</v>
      </c>
      <c r="J1713">
        <v>1335.7125243999999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1012.446749</v>
      </c>
      <c r="B1714" s="1">
        <f>DATE(2013,2,6) + TIME(10,43,19)</f>
        <v>41311.446747685186</v>
      </c>
      <c r="C1714">
        <v>80</v>
      </c>
      <c r="D1714">
        <v>73.437057495000005</v>
      </c>
      <c r="E1714">
        <v>50</v>
      </c>
      <c r="F1714">
        <v>49.979946136000002</v>
      </c>
      <c r="G1714">
        <v>1327.0213623</v>
      </c>
      <c r="H1714">
        <v>1325.0919189000001</v>
      </c>
      <c r="I1714">
        <v>1338.0518798999999</v>
      </c>
      <c r="J1714">
        <v>1335.7111815999999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1015.2867199999999</v>
      </c>
      <c r="B1715" s="1">
        <f>DATE(2013,2,9) + TIME(6,52,52)</f>
        <v>41314.286712962959</v>
      </c>
      <c r="C1715">
        <v>80</v>
      </c>
      <c r="D1715">
        <v>73.231452942000004</v>
      </c>
      <c r="E1715">
        <v>50</v>
      </c>
      <c r="F1715">
        <v>49.979949951000002</v>
      </c>
      <c r="G1715">
        <v>1326.9738769999999</v>
      </c>
      <c r="H1715">
        <v>1325.0289307</v>
      </c>
      <c r="I1715">
        <v>1338.0478516000001</v>
      </c>
      <c r="J1715">
        <v>1335.7098389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1018.226073</v>
      </c>
      <c r="B1716" s="1">
        <f>DATE(2013,2,12) + TIME(5,25,32)</f>
        <v>41317.226064814815</v>
      </c>
      <c r="C1716">
        <v>80</v>
      </c>
      <c r="D1716">
        <v>73.016723632999998</v>
      </c>
      <c r="E1716">
        <v>50</v>
      </c>
      <c r="F1716">
        <v>49.979953766000001</v>
      </c>
      <c r="G1716">
        <v>1326.9254149999999</v>
      </c>
      <c r="H1716">
        <v>1324.9644774999999</v>
      </c>
      <c r="I1716">
        <v>1338.0437012</v>
      </c>
      <c r="J1716">
        <v>1335.708374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1021.24625</v>
      </c>
      <c r="B1717" s="1">
        <f>DATE(2013,2,15) + TIME(5,54,36)</f>
        <v>41320.246249999997</v>
      </c>
      <c r="C1717">
        <v>80</v>
      </c>
      <c r="D1717">
        <v>72.792304993000002</v>
      </c>
      <c r="E1717">
        <v>50</v>
      </c>
      <c r="F1717">
        <v>49.979957581000001</v>
      </c>
      <c r="G1717">
        <v>1326.8764647999999</v>
      </c>
      <c r="H1717">
        <v>1324.8994141000001</v>
      </c>
      <c r="I1717">
        <v>1338.0394286999999</v>
      </c>
      <c r="J1717">
        <v>1335.7070312000001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1024.299231</v>
      </c>
      <c r="B1718" s="1">
        <f>DATE(2013,2,18) + TIME(7,10,53)</f>
        <v>41323.299224537041</v>
      </c>
      <c r="C1718">
        <v>80</v>
      </c>
      <c r="D1718">
        <v>72.559669494999994</v>
      </c>
      <c r="E1718">
        <v>50</v>
      </c>
      <c r="F1718">
        <v>49.979965210000003</v>
      </c>
      <c r="G1718">
        <v>1326.8272704999999</v>
      </c>
      <c r="H1718">
        <v>1324.8338623</v>
      </c>
      <c r="I1718">
        <v>1338.0352783000001</v>
      </c>
      <c r="J1718">
        <v>1335.7055664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1027.40867</v>
      </c>
      <c r="B1719" s="1">
        <f>DATE(2013,2,21) + TIME(9,48,29)</f>
        <v>41326.408668981479</v>
      </c>
      <c r="C1719">
        <v>80</v>
      </c>
      <c r="D1719">
        <v>72.321128845000004</v>
      </c>
      <c r="E1719">
        <v>50</v>
      </c>
      <c r="F1719">
        <v>49.979969025000003</v>
      </c>
      <c r="G1719">
        <v>1326.7781981999999</v>
      </c>
      <c r="H1719">
        <v>1324.7685547000001</v>
      </c>
      <c r="I1719">
        <v>1338.0310059000001</v>
      </c>
      <c r="J1719">
        <v>1335.7042236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1030.6016460000001</v>
      </c>
      <c r="B1720" s="1">
        <f>DATE(2013,2,24) + TIME(14,26,22)</f>
        <v>41329.601643518516</v>
      </c>
      <c r="C1720">
        <v>80</v>
      </c>
      <c r="D1720">
        <v>72.075607300000001</v>
      </c>
      <c r="E1720">
        <v>50</v>
      </c>
      <c r="F1720">
        <v>49.979972838999998</v>
      </c>
      <c r="G1720">
        <v>1326.7296143000001</v>
      </c>
      <c r="H1720">
        <v>1324.7037353999999</v>
      </c>
      <c r="I1720">
        <v>1338.0268555</v>
      </c>
      <c r="J1720">
        <v>1335.7027588000001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1033.873186</v>
      </c>
      <c r="B1721" s="1">
        <f>DATE(2013,2,27) + TIME(20,57,23)</f>
        <v>41332.873182870368</v>
      </c>
      <c r="C1721">
        <v>80</v>
      </c>
      <c r="D1721">
        <v>71.821258545000006</v>
      </c>
      <c r="E1721">
        <v>50</v>
      </c>
      <c r="F1721">
        <v>49.979980468999997</v>
      </c>
      <c r="G1721">
        <v>1326.6809082</v>
      </c>
      <c r="H1721">
        <v>1324.6389160000001</v>
      </c>
      <c r="I1721">
        <v>1338.0225829999999</v>
      </c>
      <c r="J1721">
        <v>1335.7014160000001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1035</v>
      </c>
      <c r="B1722" s="1">
        <f>DATE(2013,3,1) + TIME(0,0,0)</f>
        <v>41334</v>
      </c>
      <c r="C1722">
        <v>80</v>
      </c>
      <c r="D1722">
        <v>71.614479064999998</v>
      </c>
      <c r="E1722">
        <v>50</v>
      </c>
      <c r="F1722">
        <v>49.979972838999998</v>
      </c>
      <c r="G1722">
        <v>1326.6331786999999</v>
      </c>
      <c r="H1722">
        <v>1324.5771483999999</v>
      </c>
      <c r="I1722">
        <v>1338.0183105000001</v>
      </c>
      <c r="J1722">
        <v>1335.6999512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1038.37835</v>
      </c>
      <c r="B1723" s="1">
        <f>DATE(2013,3,4) + TIME(9,4,49)</f>
        <v>41337.378344907411</v>
      </c>
      <c r="C1723">
        <v>80</v>
      </c>
      <c r="D1723">
        <v>71.450225829999994</v>
      </c>
      <c r="E1723">
        <v>50</v>
      </c>
      <c r="F1723">
        <v>49.979988098</v>
      </c>
      <c r="G1723">
        <v>1326.6071777</v>
      </c>
      <c r="H1723">
        <v>1324.5373535000001</v>
      </c>
      <c r="I1723">
        <v>1338.0167236</v>
      </c>
      <c r="J1723">
        <v>1335.6993408000001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1041.9500270000001</v>
      </c>
      <c r="B1724" s="1">
        <f>DATE(2013,3,7) + TIME(22,48,2)</f>
        <v>41340.950023148151</v>
      </c>
      <c r="C1724">
        <v>80</v>
      </c>
      <c r="D1724">
        <v>71.187644958000007</v>
      </c>
      <c r="E1724">
        <v>50</v>
      </c>
      <c r="F1724">
        <v>49.979999542000002</v>
      </c>
      <c r="G1724">
        <v>1326.5657959</v>
      </c>
      <c r="H1724">
        <v>1324.4851074000001</v>
      </c>
      <c r="I1724">
        <v>1338.0123291</v>
      </c>
      <c r="J1724">
        <v>1335.6979980000001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1045.5690500000001</v>
      </c>
      <c r="B1725" s="1">
        <f>DATE(2013,3,11) + TIME(13,39,25)</f>
        <v>41344.569039351853</v>
      </c>
      <c r="C1725">
        <v>80</v>
      </c>
      <c r="D1725">
        <v>70.897163391000007</v>
      </c>
      <c r="E1725">
        <v>50</v>
      </c>
      <c r="F1725">
        <v>49.980007172000001</v>
      </c>
      <c r="G1725">
        <v>1326.5173339999999</v>
      </c>
      <c r="H1725">
        <v>1324.4212646000001</v>
      </c>
      <c r="I1725">
        <v>1338.0078125</v>
      </c>
      <c r="J1725">
        <v>1335.6964111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1049.2295260000001</v>
      </c>
      <c r="B1726" s="1">
        <f>DATE(2013,3,15) + TIME(5,30,31)</f>
        <v>41348.229525462964</v>
      </c>
      <c r="C1726">
        <v>80</v>
      </c>
      <c r="D1726">
        <v>70.597862243999998</v>
      </c>
      <c r="E1726">
        <v>50</v>
      </c>
      <c r="F1726">
        <v>49.980014801000003</v>
      </c>
      <c r="G1726">
        <v>1326.4680175999999</v>
      </c>
      <c r="H1726">
        <v>1324.3554687999999</v>
      </c>
      <c r="I1726">
        <v>1338.0031738</v>
      </c>
      <c r="J1726">
        <v>1335.6948242000001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1052.9624209999999</v>
      </c>
      <c r="B1727" s="1">
        <f>DATE(2013,3,18) + TIME(23,5,53)</f>
        <v>41351.962418981479</v>
      </c>
      <c r="C1727">
        <v>80</v>
      </c>
      <c r="D1727">
        <v>70.291053771999998</v>
      </c>
      <c r="E1727">
        <v>50</v>
      </c>
      <c r="F1727">
        <v>49.980022429999998</v>
      </c>
      <c r="G1727">
        <v>1326.4190673999999</v>
      </c>
      <c r="H1727">
        <v>1324.2902832</v>
      </c>
      <c r="I1727">
        <v>1337.9985352000001</v>
      </c>
      <c r="J1727">
        <v>1335.6933594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1056.7251960000001</v>
      </c>
      <c r="B1728" s="1">
        <f>DATE(2013,3,22) + TIME(17,24,16)</f>
        <v>41355.725185185183</v>
      </c>
      <c r="C1728">
        <v>80</v>
      </c>
      <c r="D1728">
        <v>69.977058411000002</v>
      </c>
      <c r="E1728">
        <v>50</v>
      </c>
      <c r="F1728">
        <v>49.980030059999997</v>
      </c>
      <c r="G1728">
        <v>1326.3706055</v>
      </c>
      <c r="H1728">
        <v>1324.2257079999999</v>
      </c>
      <c r="I1728">
        <v>1337.9938964999999</v>
      </c>
      <c r="J1728">
        <v>1335.6916504000001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1060.570209</v>
      </c>
      <c r="B1729" s="1">
        <f>DATE(2013,3,26) + TIME(13,41,6)</f>
        <v>41359.570208333331</v>
      </c>
      <c r="C1729">
        <v>80</v>
      </c>
      <c r="D1729">
        <v>69.655021667</v>
      </c>
      <c r="E1729">
        <v>50</v>
      </c>
      <c r="F1729">
        <v>49.980041503999999</v>
      </c>
      <c r="G1729">
        <v>1326.3229980000001</v>
      </c>
      <c r="H1729">
        <v>1324.1619873</v>
      </c>
      <c r="I1729">
        <v>1337.9893798999999</v>
      </c>
      <c r="J1729">
        <v>1335.6900635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1064.5419690000001</v>
      </c>
      <c r="B1730" s="1">
        <f>DATE(2013,3,30) + TIME(13,0,26)</f>
        <v>41363.541967592595</v>
      </c>
      <c r="C1730">
        <v>80</v>
      </c>
      <c r="D1730">
        <v>69.325363159000005</v>
      </c>
      <c r="E1730">
        <v>50</v>
      </c>
      <c r="F1730">
        <v>49.980052948000001</v>
      </c>
      <c r="G1730">
        <v>1326.2757568</v>
      </c>
      <c r="H1730">
        <v>1324.098999</v>
      </c>
      <c r="I1730">
        <v>1337.9846190999999</v>
      </c>
      <c r="J1730">
        <v>1335.6883545000001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1066</v>
      </c>
      <c r="B1731" s="1">
        <f>DATE(2013,4,1) + TIME(0,0,0)</f>
        <v>41365</v>
      </c>
      <c r="C1731">
        <v>80</v>
      </c>
      <c r="D1731">
        <v>69.037910460999996</v>
      </c>
      <c r="E1731">
        <v>50</v>
      </c>
      <c r="F1731">
        <v>49.980045318999998</v>
      </c>
      <c r="G1731">
        <v>1326.2288818</v>
      </c>
      <c r="H1731">
        <v>1324.0384521000001</v>
      </c>
      <c r="I1731">
        <v>1337.9799805</v>
      </c>
      <c r="J1731">
        <v>1335.6867675999999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1070.1335939999999</v>
      </c>
      <c r="B1732" s="1">
        <f>DATE(2013,4,5) + TIME(3,12,22)</f>
        <v>41369.133587962962</v>
      </c>
      <c r="C1732">
        <v>80</v>
      </c>
      <c r="D1732">
        <v>68.834136963000006</v>
      </c>
      <c r="E1732">
        <v>50</v>
      </c>
      <c r="F1732">
        <v>49.980064392000003</v>
      </c>
      <c r="G1732">
        <v>1326.2030029</v>
      </c>
      <c r="H1732">
        <v>1323.9982910000001</v>
      </c>
      <c r="I1732">
        <v>1337.9781493999999</v>
      </c>
      <c r="J1732">
        <v>1335.6860352000001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1074.3917309999999</v>
      </c>
      <c r="B1733" s="1">
        <f>DATE(2013,4,9) + TIME(9,24,5)</f>
        <v>41373.391724537039</v>
      </c>
      <c r="C1733">
        <v>80</v>
      </c>
      <c r="D1733">
        <v>68.487686156999999</v>
      </c>
      <c r="E1733">
        <v>50</v>
      </c>
      <c r="F1733">
        <v>49.980079650999997</v>
      </c>
      <c r="G1733">
        <v>1326.1632079999999</v>
      </c>
      <c r="H1733">
        <v>1323.9483643000001</v>
      </c>
      <c r="I1733">
        <v>1337.9732666</v>
      </c>
      <c r="J1733">
        <v>1335.6842041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1078.785351</v>
      </c>
      <c r="B1734" s="1">
        <f>DATE(2013,4,13) + TIME(18,50,54)</f>
        <v>41377.78534722222</v>
      </c>
      <c r="C1734">
        <v>80</v>
      </c>
      <c r="D1734">
        <v>68.113174438000001</v>
      </c>
      <c r="E1734">
        <v>50</v>
      </c>
      <c r="F1734">
        <v>49.980091094999999</v>
      </c>
      <c r="G1734">
        <v>1326.1170654</v>
      </c>
      <c r="H1734">
        <v>1323.8869629000001</v>
      </c>
      <c r="I1734">
        <v>1337.9682617000001</v>
      </c>
      <c r="J1734">
        <v>1335.6823730000001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1083.266613</v>
      </c>
      <c r="B1735" s="1">
        <f>DATE(2013,4,18) + TIME(6,23,55)</f>
        <v>41382.266608796293</v>
      </c>
      <c r="C1735">
        <v>80</v>
      </c>
      <c r="D1735">
        <v>67.723808289000004</v>
      </c>
      <c r="E1735">
        <v>50</v>
      </c>
      <c r="F1735">
        <v>49.980106354</v>
      </c>
      <c r="G1735">
        <v>1326.0701904</v>
      </c>
      <c r="H1735">
        <v>1323.8243408000001</v>
      </c>
      <c r="I1735">
        <v>1337.9631348</v>
      </c>
      <c r="J1735">
        <v>1335.6804199000001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1087.77108</v>
      </c>
      <c r="B1736" s="1">
        <f>DATE(2013,4,22) + TIME(18,30,21)</f>
        <v>41386.77107638889</v>
      </c>
      <c r="C1736">
        <v>80</v>
      </c>
      <c r="D1736">
        <v>67.321159363000007</v>
      </c>
      <c r="E1736">
        <v>50</v>
      </c>
      <c r="F1736">
        <v>49.980117798000002</v>
      </c>
      <c r="G1736">
        <v>1326.0235596</v>
      </c>
      <c r="H1736">
        <v>1323.7619629000001</v>
      </c>
      <c r="I1736">
        <v>1337.9580077999999</v>
      </c>
      <c r="J1736">
        <v>1335.6783447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1092.3389380000001</v>
      </c>
      <c r="B1737" s="1">
        <f>DATE(2013,4,27) + TIME(8,8,4)</f>
        <v>41391.338935185187</v>
      </c>
      <c r="C1737">
        <v>80</v>
      </c>
      <c r="D1737">
        <v>66.917114257999998</v>
      </c>
      <c r="E1737">
        <v>50</v>
      </c>
      <c r="F1737">
        <v>49.980133057000003</v>
      </c>
      <c r="G1737">
        <v>1325.9781493999999</v>
      </c>
      <c r="H1737">
        <v>1323.7010498</v>
      </c>
      <c r="I1737">
        <v>1337.9527588000001</v>
      </c>
      <c r="J1737">
        <v>1335.6762695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1096</v>
      </c>
      <c r="B1738" s="1">
        <f>DATE(2013,5,1) + TIME(0,0,0)</f>
        <v>41395</v>
      </c>
      <c r="C1738">
        <v>80</v>
      </c>
      <c r="D1738">
        <v>66.505981445000003</v>
      </c>
      <c r="E1738">
        <v>50</v>
      </c>
      <c r="F1738">
        <v>49.980140685999999</v>
      </c>
      <c r="G1738">
        <v>1325.9339600000001</v>
      </c>
      <c r="H1738">
        <v>1323.6418457</v>
      </c>
      <c r="I1738">
        <v>1337.9476318</v>
      </c>
      <c r="J1738">
        <v>1335.6741943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1096.0000010000001</v>
      </c>
      <c r="B1739" s="1">
        <f>DATE(2013,5,1) + TIME(0,0,0)</f>
        <v>41395</v>
      </c>
      <c r="C1739">
        <v>80</v>
      </c>
      <c r="D1739">
        <v>66.506050110000004</v>
      </c>
      <c r="E1739">
        <v>50</v>
      </c>
      <c r="F1739">
        <v>49.980125426999997</v>
      </c>
      <c r="G1739">
        <v>1328.4785156</v>
      </c>
      <c r="H1739">
        <v>1325.9498291</v>
      </c>
      <c r="I1739">
        <v>1335.6644286999999</v>
      </c>
      <c r="J1739">
        <v>1334.1027832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1096.000004</v>
      </c>
      <c r="B1740" s="1">
        <f>DATE(2013,5,1) + TIME(0,0,0)</f>
        <v>41395</v>
      </c>
      <c r="C1740">
        <v>80</v>
      </c>
      <c r="D1740">
        <v>66.506248474000003</v>
      </c>
      <c r="E1740">
        <v>50</v>
      </c>
      <c r="F1740">
        <v>49.980079650999997</v>
      </c>
      <c r="G1740">
        <v>1328.5113524999999</v>
      </c>
      <c r="H1740">
        <v>1325.9963379000001</v>
      </c>
      <c r="I1740">
        <v>1335.635376</v>
      </c>
      <c r="J1740">
        <v>1334.0738524999999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1096.0000130000001</v>
      </c>
      <c r="B1741" s="1">
        <f>DATE(2013,5,1) + TIME(0,0,1)</f>
        <v>41395.000011574077</v>
      </c>
      <c r="C1741">
        <v>80</v>
      </c>
      <c r="D1741">
        <v>66.506820679</v>
      </c>
      <c r="E1741">
        <v>50</v>
      </c>
      <c r="F1741">
        <v>49.979946136000002</v>
      </c>
      <c r="G1741">
        <v>1328.6055908000001</v>
      </c>
      <c r="H1741">
        <v>1326.1278076000001</v>
      </c>
      <c r="I1741">
        <v>1335.5520019999999</v>
      </c>
      <c r="J1741">
        <v>1333.9904785000001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1096.0000399999999</v>
      </c>
      <c r="B1742" s="1">
        <f>DATE(2013,5,1) + TIME(0,0,3)</f>
        <v>41395.000034722223</v>
      </c>
      <c r="C1742">
        <v>80</v>
      </c>
      <c r="D1742">
        <v>66.508369446000003</v>
      </c>
      <c r="E1742">
        <v>50</v>
      </c>
      <c r="F1742">
        <v>49.979591370000001</v>
      </c>
      <c r="G1742">
        <v>1328.8574219</v>
      </c>
      <c r="H1742">
        <v>1326.4636230000001</v>
      </c>
      <c r="I1742">
        <v>1335.3287353999999</v>
      </c>
      <c r="J1742">
        <v>1333.7672118999999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1096.000121</v>
      </c>
      <c r="B1743" s="1">
        <f>DATE(2013,5,1) + TIME(0,0,10)</f>
        <v>41395.000115740739</v>
      </c>
      <c r="C1743">
        <v>80</v>
      </c>
      <c r="D1743">
        <v>66.512168884000005</v>
      </c>
      <c r="E1743">
        <v>50</v>
      </c>
      <c r="F1743">
        <v>49.978782654</v>
      </c>
      <c r="G1743">
        <v>1329.4302978999999</v>
      </c>
      <c r="H1743">
        <v>1327.1586914</v>
      </c>
      <c r="I1743">
        <v>1334.8237305</v>
      </c>
      <c r="J1743">
        <v>1333.262207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1096.000364</v>
      </c>
      <c r="B1744" s="1">
        <f>DATE(2013,5,1) + TIME(0,0,31)</f>
        <v>41395.000358796293</v>
      </c>
      <c r="C1744">
        <v>80</v>
      </c>
      <c r="D1744">
        <v>66.520896911999998</v>
      </c>
      <c r="E1744">
        <v>50</v>
      </c>
      <c r="F1744">
        <v>49.977416992000002</v>
      </c>
      <c r="G1744">
        <v>1330.4298096</v>
      </c>
      <c r="H1744">
        <v>1328.2244873</v>
      </c>
      <c r="I1744">
        <v>1333.9691161999999</v>
      </c>
      <c r="J1744">
        <v>1332.4075928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1096.0010930000001</v>
      </c>
      <c r="B1745" s="1">
        <f>DATE(2013,5,1) + TIME(0,1,34)</f>
        <v>41395.001087962963</v>
      </c>
      <c r="C1745">
        <v>80</v>
      </c>
      <c r="D1745">
        <v>66.542579650999997</v>
      </c>
      <c r="E1745">
        <v>50</v>
      </c>
      <c r="F1745">
        <v>49.975688933999997</v>
      </c>
      <c r="G1745">
        <v>1331.7294922000001</v>
      </c>
      <c r="H1745">
        <v>1329.4927978999999</v>
      </c>
      <c r="I1745">
        <v>1332.9128418</v>
      </c>
      <c r="J1745">
        <v>1331.3514404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1096.0032799999999</v>
      </c>
      <c r="B1746" s="1">
        <f>DATE(2013,5,1) + TIME(0,4,43)</f>
        <v>41395.003275462965</v>
      </c>
      <c r="C1746">
        <v>80</v>
      </c>
      <c r="D1746">
        <v>66.602684021000002</v>
      </c>
      <c r="E1746">
        <v>50</v>
      </c>
      <c r="F1746">
        <v>49.973777771000002</v>
      </c>
      <c r="G1746">
        <v>1333.1151123</v>
      </c>
      <c r="H1746">
        <v>1330.8250731999999</v>
      </c>
      <c r="I1746">
        <v>1331.8176269999999</v>
      </c>
      <c r="J1746">
        <v>1330.2563477000001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1096.0098410000001</v>
      </c>
      <c r="B1747" s="1">
        <f>DATE(2013,5,1) + TIME(0,14,10)</f>
        <v>41395.009837962964</v>
      </c>
      <c r="C1747">
        <v>80</v>
      </c>
      <c r="D1747">
        <v>66.777694702000005</v>
      </c>
      <c r="E1747">
        <v>50</v>
      </c>
      <c r="F1747">
        <v>49.971488952999998</v>
      </c>
      <c r="G1747">
        <v>1334.4992675999999</v>
      </c>
      <c r="H1747">
        <v>1332.1674805</v>
      </c>
      <c r="I1747">
        <v>1330.7166748</v>
      </c>
      <c r="J1747">
        <v>1329.1508789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1096.0293059999999</v>
      </c>
      <c r="B1748" s="1">
        <f>DATE(2013,5,1) + TIME(0,42,12)</f>
        <v>41395.029305555552</v>
      </c>
      <c r="C1748">
        <v>80</v>
      </c>
      <c r="D1748">
        <v>67.280235290999997</v>
      </c>
      <c r="E1748">
        <v>50</v>
      </c>
      <c r="F1748">
        <v>49.968105315999999</v>
      </c>
      <c r="G1748">
        <v>1335.8443603999999</v>
      </c>
      <c r="H1748">
        <v>1333.4840088000001</v>
      </c>
      <c r="I1748">
        <v>1329.6013184000001</v>
      </c>
      <c r="J1748">
        <v>1328.0117187999999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1096.0493899999999</v>
      </c>
      <c r="B1749" s="1">
        <f>DATE(2013,5,1) + TIME(1,11,7)</f>
        <v>41395.049386574072</v>
      </c>
      <c r="C1749">
        <v>80</v>
      </c>
      <c r="D1749">
        <v>67.784927367999998</v>
      </c>
      <c r="E1749">
        <v>50</v>
      </c>
      <c r="F1749">
        <v>49.965457915999998</v>
      </c>
      <c r="G1749">
        <v>1336.5665283000001</v>
      </c>
      <c r="H1749">
        <v>1334.1831055</v>
      </c>
      <c r="I1749">
        <v>1328.9980469</v>
      </c>
      <c r="J1749">
        <v>1327.3846435999999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1096.070009</v>
      </c>
      <c r="B1750" s="1">
        <f>DATE(2013,5,1) + TIME(1,40,48)</f>
        <v>41395.07</v>
      </c>
      <c r="C1750">
        <v>80</v>
      </c>
      <c r="D1750">
        <v>68.287452697999996</v>
      </c>
      <c r="E1750">
        <v>50</v>
      </c>
      <c r="F1750">
        <v>49.963085175000003</v>
      </c>
      <c r="G1750">
        <v>1337.0256348</v>
      </c>
      <c r="H1750">
        <v>1334.6280518000001</v>
      </c>
      <c r="I1750">
        <v>1328.6027832</v>
      </c>
      <c r="J1750">
        <v>1326.9692382999999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1096.091132</v>
      </c>
      <c r="B1751" s="1">
        <f>DATE(2013,5,1) + TIME(2,11,13)</f>
        <v>41395.091122685182</v>
      </c>
      <c r="C1751">
        <v>80</v>
      </c>
      <c r="D1751">
        <v>68.785369872999993</v>
      </c>
      <c r="E1751">
        <v>50</v>
      </c>
      <c r="F1751">
        <v>49.960842133</v>
      </c>
      <c r="G1751">
        <v>1337.3491211</v>
      </c>
      <c r="H1751">
        <v>1334.9418945</v>
      </c>
      <c r="I1751">
        <v>1328.3176269999999</v>
      </c>
      <c r="J1751">
        <v>1326.6679687999999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1096.1127550000001</v>
      </c>
      <c r="B1752" s="1">
        <f>DATE(2013,5,1) + TIME(2,42,22)</f>
        <v>41395.112754629627</v>
      </c>
      <c r="C1752">
        <v>80</v>
      </c>
      <c r="D1752">
        <v>69.277198791999993</v>
      </c>
      <c r="E1752">
        <v>50</v>
      </c>
      <c r="F1752">
        <v>49.958663940000001</v>
      </c>
      <c r="G1752">
        <v>1337.5920410000001</v>
      </c>
      <c r="H1752">
        <v>1335.1779785000001</v>
      </c>
      <c r="I1752">
        <v>1328.0997314000001</v>
      </c>
      <c r="J1752">
        <v>1326.4377440999999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1096.134888</v>
      </c>
      <c r="B1753" s="1">
        <f>DATE(2013,5,1) + TIME(3,14,14)</f>
        <v>41395.134884259256</v>
      </c>
      <c r="C1753">
        <v>80</v>
      </c>
      <c r="D1753">
        <v>69.761932372999993</v>
      </c>
      <c r="E1753">
        <v>50</v>
      </c>
      <c r="F1753">
        <v>49.956516266000001</v>
      </c>
      <c r="G1753">
        <v>1337.7830810999999</v>
      </c>
      <c r="H1753">
        <v>1335.3637695</v>
      </c>
      <c r="I1753">
        <v>1327.9268798999999</v>
      </c>
      <c r="J1753">
        <v>1326.2553711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1096.1575479999999</v>
      </c>
      <c r="B1754" s="1">
        <f>DATE(2013,5,1) + TIME(3,46,52)</f>
        <v>41395.157546296294</v>
      </c>
      <c r="C1754">
        <v>80</v>
      </c>
      <c r="D1754">
        <v>70.238693237000007</v>
      </c>
      <c r="E1754">
        <v>50</v>
      </c>
      <c r="F1754">
        <v>49.954383849999999</v>
      </c>
      <c r="G1754">
        <v>1337.9387207</v>
      </c>
      <c r="H1754">
        <v>1335.5152588000001</v>
      </c>
      <c r="I1754">
        <v>1327.7860106999999</v>
      </c>
      <c r="J1754">
        <v>1326.1072998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1096.18075</v>
      </c>
      <c r="B1755" s="1">
        <f>DATE(2013,5,1) + TIME(4,20,16)</f>
        <v>41395.18074074074</v>
      </c>
      <c r="C1755">
        <v>80</v>
      </c>
      <c r="D1755">
        <v>70.706840514999996</v>
      </c>
      <c r="E1755">
        <v>50</v>
      </c>
      <c r="F1755">
        <v>49.952251433999997</v>
      </c>
      <c r="G1755">
        <v>1338.0694579999999</v>
      </c>
      <c r="H1755">
        <v>1335.6422118999999</v>
      </c>
      <c r="I1755">
        <v>1327.6689452999999</v>
      </c>
      <c r="J1755">
        <v>1325.9844971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1096.204522</v>
      </c>
      <c r="B1756" s="1">
        <f>DATE(2013,5,1) + TIME(4,54,30)</f>
        <v>41395.204513888886</v>
      </c>
      <c r="C1756">
        <v>80</v>
      </c>
      <c r="D1756">
        <v>71.166122436999999</v>
      </c>
      <c r="E1756">
        <v>50</v>
      </c>
      <c r="F1756">
        <v>49.950111389</v>
      </c>
      <c r="G1756">
        <v>1338.1818848</v>
      </c>
      <c r="H1756">
        <v>1335.7512207</v>
      </c>
      <c r="I1756">
        <v>1327.5700684000001</v>
      </c>
      <c r="J1756">
        <v>1325.8811035000001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1096.2288920000001</v>
      </c>
      <c r="B1757" s="1">
        <f>DATE(2013,5,1) + TIME(5,29,36)</f>
        <v>41395.228888888887</v>
      </c>
      <c r="C1757">
        <v>80</v>
      </c>
      <c r="D1757">
        <v>71.616165160999998</v>
      </c>
      <c r="E1757">
        <v>50</v>
      </c>
      <c r="F1757">
        <v>49.947956085000001</v>
      </c>
      <c r="G1757">
        <v>1338.2806396000001</v>
      </c>
      <c r="H1757">
        <v>1335.8468018000001</v>
      </c>
      <c r="I1757">
        <v>1327.4855957</v>
      </c>
      <c r="J1757">
        <v>1325.7930908000001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1096.2538890000001</v>
      </c>
      <c r="B1758" s="1">
        <f>DATE(2013,5,1) + TIME(6,5,36)</f>
        <v>41395.253888888888</v>
      </c>
      <c r="C1758">
        <v>80</v>
      </c>
      <c r="D1758">
        <v>72.056640625</v>
      </c>
      <c r="E1758">
        <v>50</v>
      </c>
      <c r="F1758">
        <v>49.945777892999999</v>
      </c>
      <c r="G1758">
        <v>1338.3691406</v>
      </c>
      <c r="H1758">
        <v>1335.9318848</v>
      </c>
      <c r="I1758">
        <v>1327.4127197</v>
      </c>
      <c r="J1758">
        <v>1325.7172852000001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1096.279548</v>
      </c>
      <c r="B1759" s="1">
        <f>DATE(2013,5,1) + TIME(6,42,32)</f>
        <v>41395.279537037037</v>
      </c>
      <c r="C1759">
        <v>80</v>
      </c>
      <c r="D1759">
        <v>72.487220764</v>
      </c>
      <c r="E1759">
        <v>50</v>
      </c>
      <c r="F1759">
        <v>49.943572998</v>
      </c>
      <c r="G1759">
        <v>1338.449707</v>
      </c>
      <c r="H1759">
        <v>1336.0087891000001</v>
      </c>
      <c r="I1759">
        <v>1327.3494873</v>
      </c>
      <c r="J1759">
        <v>1325.6517334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1096.3059029999999</v>
      </c>
      <c r="B1760" s="1">
        <f>DATE(2013,5,1) + TIME(7,20,29)</f>
        <v>41395.305891203701</v>
      </c>
      <c r="C1760">
        <v>80</v>
      </c>
      <c r="D1760">
        <v>72.907623290999993</v>
      </c>
      <c r="E1760">
        <v>50</v>
      </c>
      <c r="F1760">
        <v>49.941341399999999</v>
      </c>
      <c r="G1760">
        <v>1338.5240478999999</v>
      </c>
      <c r="H1760">
        <v>1336.0792236</v>
      </c>
      <c r="I1760">
        <v>1327.2944336</v>
      </c>
      <c r="J1760">
        <v>1325.5946045000001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1096.332993</v>
      </c>
      <c r="B1761" s="1">
        <f>DATE(2013,5,1) + TIME(7,59,30)</f>
        <v>41395.332986111112</v>
      </c>
      <c r="C1761">
        <v>80</v>
      </c>
      <c r="D1761">
        <v>73.317558289000004</v>
      </c>
      <c r="E1761">
        <v>50</v>
      </c>
      <c r="F1761">
        <v>49.939071654999999</v>
      </c>
      <c r="G1761">
        <v>1338.5933838000001</v>
      </c>
      <c r="H1761">
        <v>1336.1444091999999</v>
      </c>
      <c r="I1761">
        <v>1327.2463379000001</v>
      </c>
      <c r="J1761">
        <v>1325.5446777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1096.36086</v>
      </c>
      <c r="B1762" s="1">
        <f>DATE(2013,5,1) + TIME(8,39,38)</f>
        <v>41395.360856481479</v>
      </c>
      <c r="C1762">
        <v>80</v>
      </c>
      <c r="D1762">
        <v>73.716751099000007</v>
      </c>
      <c r="E1762">
        <v>50</v>
      </c>
      <c r="F1762">
        <v>49.936767578000001</v>
      </c>
      <c r="G1762">
        <v>1338.6586914</v>
      </c>
      <c r="H1762">
        <v>1336.2052002</v>
      </c>
      <c r="I1762">
        <v>1327.2041016000001</v>
      </c>
      <c r="J1762">
        <v>1325.5009766000001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1096.389551</v>
      </c>
      <c r="B1763" s="1">
        <f>DATE(2013,5,1) + TIME(9,20,57)</f>
        <v>41395.389548611114</v>
      </c>
      <c r="C1763">
        <v>80</v>
      </c>
      <c r="D1763">
        <v>74.104949950999995</v>
      </c>
      <c r="E1763">
        <v>50</v>
      </c>
      <c r="F1763">
        <v>49.934421538999999</v>
      </c>
      <c r="G1763">
        <v>1338.7209473</v>
      </c>
      <c r="H1763">
        <v>1336.2625731999999</v>
      </c>
      <c r="I1763">
        <v>1327.1672363</v>
      </c>
      <c r="J1763">
        <v>1325.4627685999999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1096.419052</v>
      </c>
      <c r="B1764" s="1">
        <f>DATE(2013,5,1) + TIME(10,3,26)</f>
        <v>41395.419050925928</v>
      </c>
      <c r="C1764">
        <v>80</v>
      </c>
      <c r="D1764">
        <v>74.481147766000007</v>
      </c>
      <c r="E1764">
        <v>50</v>
      </c>
      <c r="F1764">
        <v>49.932033539000003</v>
      </c>
      <c r="G1764">
        <v>1338.7803954999999</v>
      </c>
      <c r="H1764">
        <v>1336.3168945</v>
      </c>
      <c r="I1764">
        <v>1327.1350098</v>
      </c>
      <c r="J1764">
        <v>1325.4293213000001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1096.4494</v>
      </c>
      <c r="B1765" s="1">
        <f>DATE(2013,5,1) + TIME(10,47,8)</f>
        <v>41395.44939814815</v>
      </c>
      <c r="C1765">
        <v>80</v>
      </c>
      <c r="D1765">
        <v>74.845024108999993</v>
      </c>
      <c r="E1765">
        <v>50</v>
      </c>
      <c r="F1765">
        <v>49.929603577000002</v>
      </c>
      <c r="G1765">
        <v>1338.8377685999999</v>
      </c>
      <c r="H1765">
        <v>1336.3685303</v>
      </c>
      <c r="I1765">
        <v>1327.1069336</v>
      </c>
      <c r="J1765">
        <v>1325.4001464999999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1096.4806410000001</v>
      </c>
      <c r="B1766" s="1">
        <f>DATE(2013,5,1) + TIME(11,32,7)</f>
        <v>41395.480636574073</v>
      </c>
      <c r="C1766">
        <v>80</v>
      </c>
      <c r="D1766">
        <v>75.196228027000004</v>
      </c>
      <c r="E1766">
        <v>50</v>
      </c>
      <c r="F1766">
        <v>49.927127837999997</v>
      </c>
      <c r="G1766">
        <v>1338.8930664</v>
      </c>
      <c r="H1766">
        <v>1336.4178466999999</v>
      </c>
      <c r="I1766">
        <v>1327.0825195</v>
      </c>
      <c r="J1766">
        <v>1325.3748779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1096.512825</v>
      </c>
      <c r="B1767" s="1">
        <f>DATE(2013,5,1) + TIME(12,18,28)</f>
        <v>41395.512824074074</v>
      </c>
      <c r="C1767">
        <v>80</v>
      </c>
      <c r="D1767">
        <v>75.534591675000001</v>
      </c>
      <c r="E1767">
        <v>50</v>
      </c>
      <c r="F1767">
        <v>49.924602509000003</v>
      </c>
      <c r="G1767">
        <v>1338.9467772999999</v>
      </c>
      <c r="H1767">
        <v>1336.465332</v>
      </c>
      <c r="I1767">
        <v>1327.0614014</v>
      </c>
      <c r="J1767">
        <v>1325.3529053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1096.5460069999999</v>
      </c>
      <c r="B1768" s="1">
        <f>DATE(2013,5,1) + TIME(13,6,15)</f>
        <v>41395.546006944445</v>
      </c>
      <c r="C1768">
        <v>80</v>
      </c>
      <c r="D1768">
        <v>75.860038756999998</v>
      </c>
      <c r="E1768">
        <v>50</v>
      </c>
      <c r="F1768">
        <v>49.922023772999999</v>
      </c>
      <c r="G1768">
        <v>1338.9989014</v>
      </c>
      <c r="H1768">
        <v>1336.5108643000001</v>
      </c>
      <c r="I1768">
        <v>1327.0433350000001</v>
      </c>
      <c r="J1768">
        <v>1325.3339844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1096.5802450000001</v>
      </c>
      <c r="B1769" s="1">
        <f>DATE(2013,5,1) + TIME(13,55,33)</f>
        <v>41395.580243055556</v>
      </c>
      <c r="C1769">
        <v>80</v>
      </c>
      <c r="D1769">
        <v>76.172393799000005</v>
      </c>
      <c r="E1769">
        <v>50</v>
      </c>
      <c r="F1769">
        <v>49.919387817</v>
      </c>
      <c r="G1769">
        <v>1339.0499268000001</v>
      </c>
      <c r="H1769">
        <v>1336.5549315999999</v>
      </c>
      <c r="I1769">
        <v>1327.027832</v>
      </c>
      <c r="J1769">
        <v>1325.3178711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1096.6156020000001</v>
      </c>
      <c r="B1770" s="1">
        <f>DATE(2013,5,1) + TIME(14,46,28)</f>
        <v>41395.615601851852</v>
      </c>
      <c r="C1770">
        <v>80</v>
      </c>
      <c r="D1770">
        <v>76.471527100000003</v>
      </c>
      <c r="E1770">
        <v>50</v>
      </c>
      <c r="F1770">
        <v>49.916694640999999</v>
      </c>
      <c r="G1770">
        <v>1339.0997314000001</v>
      </c>
      <c r="H1770">
        <v>1336.5975341999999</v>
      </c>
      <c r="I1770">
        <v>1327.0147704999999</v>
      </c>
      <c r="J1770">
        <v>1325.3040771000001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1096.652147</v>
      </c>
      <c r="B1771" s="1">
        <f>DATE(2013,5,1) + TIME(15,39,5)</f>
        <v>41395.652141203704</v>
      </c>
      <c r="C1771">
        <v>80</v>
      </c>
      <c r="D1771">
        <v>76.757316588999998</v>
      </c>
      <c r="E1771">
        <v>50</v>
      </c>
      <c r="F1771">
        <v>49.913936614999997</v>
      </c>
      <c r="G1771">
        <v>1339.1484375</v>
      </c>
      <c r="H1771">
        <v>1336.6387939000001</v>
      </c>
      <c r="I1771">
        <v>1327.0039062000001</v>
      </c>
      <c r="J1771">
        <v>1325.2926024999999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1096.6899550000001</v>
      </c>
      <c r="B1772" s="1">
        <f>DATE(2013,5,1) + TIME(16,33,32)</f>
        <v>41395.689953703702</v>
      </c>
      <c r="C1772">
        <v>80</v>
      </c>
      <c r="D1772">
        <v>77.029670714999995</v>
      </c>
      <c r="E1772">
        <v>50</v>
      </c>
      <c r="F1772">
        <v>49.911109924000002</v>
      </c>
      <c r="G1772">
        <v>1339.1962891000001</v>
      </c>
      <c r="H1772">
        <v>1336.6789550999999</v>
      </c>
      <c r="I1772">
        <v>1326.9948730000001</v>
      </c>
      <c r="J1772">
        <v>1325.2829589999999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1096.729118</v>
      </c>
      <c r="B1773" s="1">
        <f>DATE(2013,5,1) + TIME(17,29,55)</f>
        <v>41395.729108796295</v>
      </c>
      <c r="C1773">
        <v>80</v>
      </c>
      <c r="D1773">
        <v>77.288581848000007</v>
      </c>
      <c r="E1773">
        <v>50</v>
      </c>
      <c r="F1773">
        <v>49.908206939999999</v>
      </c>
      <c r="G1773">
        <v>1339.2431641000001</v>
      </c>
      <c r="H1773">
        <v>1336.7177733999999</v>
      </c>
      <c r="I1773">
        <v>1326.9875488</v>
      </c>
      <c r="J1773">
        <v>1325.2751464999999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1096.769724</v>
      </c>
      <c r="B1774" s="1">
        <f>DATE(2013,5,1) + TIME(18,28,24)</f>
        <v>41395.76972222222</v>
      </c>
      <c r="C1774">
        <v>80</v>
      </c>
      <c r="D1774">
        <v>77.533996582</v>
      </c>
      <c r="E1774">
        <v>50</v>
      </c>
      <c r="F1774">
        <v>49.905227660999998</v>
      </c>
      <c r="G1774">
        <v>1339.2891846</v>
      </c>
      <c r="H1774">
        <v>1336.7557373</v>
      </c>
      <c r="I1774">
        <v>1326.9818115</v>
      </c>
      <c r="J1774">
        <v>1325.2687988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1096.8118629999999</v>
      </c>
      <c r="B1775" s="1">
        <f>DATE(2013,5,1) + TIME(19,29,4)</f>
        <v>41395.811851851853</v>
      </c>
      <c r="C1775">
        <v>80</v>
      </c>
      <c r="D1775">
        <v>77.765861510999997</v>
      </c>
      <c r="E1775">
        <v>50</v>
      </c>
      <c r="F1775">
        <v>49.902160645000002</v>
      </c>
      <c r="G1775">
        <v>1339.3343506000001</v>
      </c>
      <c r="H1775">
        <v>1336.7924805</v>
      </c>
      <c r="I1775">
        <v>1326.9772949000001</v>
      </c>
      <c r="J1775">
        <v>1325.2637939000001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1096.855642</v>
      </c>
      <c r="B1776" s="1">
        <f>DATE(2013,5,1) + TIME(20,32,7)</f>
        <v>41395.855636574073</v>
      </c>
      <c r="C1776">
        <v>80</v>
      </c>
      <c r="D1776">
        <v>77.984207153</v>
      </c>
      <c r="E1776">
        <v>50</v>
      </c>
      <c r="F1776">
        <v>49.899005889999998</v>
      </c>
      <c r="G1776">
        <v>1339.3786620999999</v>
      </c>
      <c r="H1776">
        <v>1336.8282471</v>
      </c>
      <c r="I1776">
        <v>1326.973999</v>
      </c>
      <c r="J1776">
        <v>1325.2601318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1096.9011820000001</v>
      </c>
      <c r="B1777" s="1">
        <f>DATE(2013,5,1) + TIME(21,37,42)</f>
        <v>41395.901180555556</v>
      </c>
      <c r="C1777">
        <v>80</v>
      </c>
      <c r="D1777">
        <v>78.189117432000003</v>
      </c>
      <c r="E1777">
        <v>50</v>
      </c>
      <c r="F1777">
        <v>49.895755768000001</v>
      </c>
      <c r="G1777">
        <v>1339.4222411999999</v>
      </c>
      <c r="H1777">
        <v>1336.8631591999999</v>
      </c>
      <c r="I1777">
        <v>1326.9718018000001</v>
      </c>
      <c r="J1777">
        <v>1325.2574463000001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1096.9486119999999</v>
      </c>
      <c r="B1778" s="1">
        <f>DATE(2013,5,1) + TIME(22,46,0)</f>
        <v>41395.948611111111</v>
      </c>
      <c r="C1778">
        <v>80</v>
      </c>
      <c r="D1778">
        <v>78.380691528</v>
      </c>
      <c r="E1778">
        <v>50</v>
      </c>
      <c r="F1778">
        <v>49.892402648999997</v>
      </c>
      <c r="G1778">
        <v>1339.4648437999999</v>
      </c>
      <c r="H1778">
        <v>1336.8969727000001</v>
      </c>
      <c r="I1778">
        <v>1326.9704589999999</v>
      </c>
      <c r="J1778">
        <v>1325.2556152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1096.9980800000001</v>
      </c>
      <c r="B1779" s="1">
        <f>DATE(2013,5,1) + TIME(23,57,14)</f>
        <v>41395.998078703706</v>
      </c>
      <c r="C1779">
        <v>80</v>
      </c>
      <c r="D1779">
        <v>78.559082031000003</v>
      </c>
      <c r="E1779">
        <v>50</v>
      </c>
      <c r="F1779">
        <v>49.888935089</v>
      </c>
      <c r="G1779">
        <v>1339.5065918</v>
      </c>
      <c r="H1779">
        <v>1336.9299315999999</v>
      </c>
      <c r="I1779">
        <v>1326.9698486</v>
      </c>
      <c r="J1779">
        <v>1325.2546387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1097.0497479999999</v>
      </c>
      <c r="B1780" s="1">
        <f>DATE(2013,5,2) + TIME(1,11,38)</f>
        <v>41396.049745370372</v>
      </c>
      <c r="C1780">
        <v>80</v>
      </c>
      <c r="D1780">
        <v>78.724502563000001</v>
      </c>
      <c r="E1780">
        <v>50</v>
      </c>
      <c r="F1780">
        <v>49.885349273999999</v>
      </c>
      <c r="G1780">
        <v>1339.5474853999999</v>
      </c>
      <c r="H1780">
        <v>1336.9619141000001</v>
      </c>
      <c r="I1780">
        <v>1326.9698486</v>
      </c>
      <c r="J1780">
        <v>1325.2542725000001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1097.103799</v>
      </c>
      <c r="B1781" s="1">
        <f>DATE(2013,5,2) + TIME(2,29,28)</f>
        <v>41396.103796296295</v>
      </c>
      <c r="C1781">
        <v>80</v>
      </c>
      <c r="D1781">
        <v>78.877182007000002</v>
      </c>
      <c r="E1781">
        <v>50</v>
      </c>
      <c r="F1781">
        <v>49.881633759000003</v>
      </c>
      <c r="G1781">
        <v>1339.5875243999999</v>
      </c>
      <c r="H1781">
        <v>1336.9929199000001</v>
      </c>
      <c r="I1781">
        <v>1326.9703368999999</v>
      </c>
      <c r="J1781">
        <v>1325.2543945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1097.1604400000001</v>
      </c>
      <c r="B1782" s="1">
        <f>DATE(2013,5,2) + TIME(3,51,2)</f>
        <v>41396.160439814812</v>
      </c>
      <c r="C1782">
        <v>80</v>
      </c>
      <c r="D1782">
        <v>79.017417907999999</v>
      </c>
      <c r="E1782">
        <v>50</v>
      </c>
      <c r="F1782">
        <v>49.877777100000003</v>
      </c>
      <c r="G1782">
        <v>1339.6265868999999</v>
      </c>
      <c r="H1782">
        <v>1337.0230713000001</v>
      </c>
      <c r="I1782">
        <v>1326.9713135</v>
      </c>
      <c r="J1782">
        <v>1325.2550048999999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1097.219912</v>
      </c>
      <c r="B1783" s="1">
        <f>DATE(2013,5,2) + TIME(5,16,40)</f>
        <v>41396.219907407409</v>
      </c>
      <c r="C1783">
        <v>80</v>
      </c>
      <c r="D1783">
        <v>79.145553589000002</v>
      </c>
      <c r="E1783">
        <v>50</v>
      </c>
      <c r="F1783">
        <v>49.873764037999997</v>
      </c>
      <c r="G1783">
        <v>1339.6647949000001</v>
      </c>
      <c r="H1783">
        <v>1337.0522461</v>
      </c>
      <c r="I1783">
        <v>1326.9726562000001</v>
      </c>
      <c r="J1783">
        <v>1325.2559814000001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1097.2825150000001</v>
      </c>
      <c r="B1784" s="1">
        <f>DATE(2013,5,2) + TIME(6,46,49)</f>
        <v>41396.282511574071</v>
      </c>
      <c r="C1784">
        <v>80</v>
      </c>
      <c r="D1784">
        <v>79.262016295999999</v>
      </c>
      <c r="E1784">
        <v>50</v>
      </c>
      <c r="F1784">
        <v>49.869583130000002</v>
      </c>
      <c r="G1784">
        <v>1339.7019043</v>
      </c>
      <c r="H1784">
        <v>1337.0804443</v>
      </c>
      <c r="I1784">
        <v>1326.9742432</v>
      </c>
      <c r="J1784">
        <v>1325.2570800999999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1097.348522</v>
      </c>
      <c r="B1785" s="1">
        <f>DATE(2013,5,2) + TIME(8,21,52)</f>
        <v>41396.34851851852</v>
      </c>
      <c r="C1785">
        <v>80</v>
      </c>
      <c r="D1785">
        <v>79.367164611999996</v>
      </c>
      <c r="E1785">
        <v>50</v>
      </c>
      <c r="F1785">
        <v>49.865222930999998</v>
      </c>
      <c r="G1785">
        <v>1339.7380370999999</v>
      </c>
      <c r="H1785">
        <v>1337.1076660000001</v>
      </c>
      <c r="I1785">
        <v>1326.9759521000001</v>
      </c>
      <c r="J1785">
        <v>1325.2585449000001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1097.418289</v>
      </c>
      <c r="B1786" s="1">
        <f>DATE(2013,5,2) + TIME(10,2,20)</f>
        <v>41396.418287037035</v>
      </c>
      <c r="C1786">
        <v>80</v>
      </c>
      <c r="D1786">
        <v>79.461448669000006</v>
      </c>
      <c r="E1786">
        <v>50</v>
      </c>
      <c r="F1786">
        <v>49.860656738000003</v>
      </c>
      <c r="G1786">
        <v>1339.7730713000001</v>
      </c>
      <c r="H1786">
        <v>1337.1340332</v>
      </c>
      <c r="I1786">
        <v>1326.9777832</v>
      </c>
      <c r="J1786">
        <v>1325.2600098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1097.4918479999999</v>
      </c>
      <c r="B1787" s="1">
        <f>DATE(2013,5,2) + TIME(11,48,15)</f>
        <v>41396.491840277777</v>
      </c>
      <c r="C1787">
        <v>80</v>
      </c>
      <c r="D1787">
        <v>79.545013428000004</v>
      </c>
      <c r="E1787">
        <v>50</v>
      </c>
      <c r="F1787">
        <v>49.855892181000002</v>
      </c>
      <c r="G1787">
        <v>1339.8071289</v>
      </c>
      <c r="H1787">
        <v>1337.1594238</v>
      </c>
      <c r="I1787">
        <v>1326.9796143000001</v>
      </c>
      <c r="J1787">
        <v>1325.2614745999999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1097.569461</v>
      </c>
      <c r="B1788" s="1">
        <f>DATE(2013,5,2) + TIME(13,40,1)</f>
        <v>41396.569456018522</v>
      </c>
      <c r="C1788">
        <v>80</v>
      </c>
      <c r="D1788">
        <v>79.618431091000005</v>
      </c>
      <c r="E1788">
        <v>50</v>
      </c>
      <c r="F1788">
        <v>49.850914001</v>
      </c>
      <c r="G1788">
        <v>1339.8398437999999</v>
      </c>
      <c r="H1788">
        <v>1337.1837158000001</v>
      </c>
      <c r="I1788">
        <v>1326.9814452999999</v>
      </c>
      <c r="J1788">
        <v>1325.2630615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1097.6515039999999</v>
      </c>
      <c r="B1789" s="1">
        <f>DATE(2013,5,2) + TIME(15,38,9)</f>
        <v>41396.651493055557</v>
      </c>
      <c r="C1789">
        <v>80</v>
      </c>
      <c r="D1789">
        <v>79.682365417</v>
      </c>
      <c r="E1789">
        <v>50</v>
      </c>
      <c r="F1789">
        <v>49.845706939999999</v>
      </c>
      <c r="G1789">
        <v>1339.8712158000001</v>
      </c>
      <c r="H1789">
        <v>1337.2067870999999</v>
      </c>
      <c r="I1789">
        <v>1326.9832764</v>
      </c>
      <c r="J1789">
        <v>1325.2644043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1097.737206</v>
      </c>
      <c r="B1790" s="1">
        <f>DATE(2013,5,2) + TIME(17,41,34)</f>
        <v>41396.737199074072</v>
      </c>
      <c r="C1790">
        <v>80</v>
      </c>
      <c r="D1790">
        <v>79.736923218000001</v>
      </c>
      <c r="E1790">
        <v>50</v>
      </c>
      <c r="F1790">
        <v>49.840316772000001</v>
      </c>
      <c r="G1790">
        <v>1339.9012451000001</v>
      </c>
      <c r="H1790">
        <v>1337.2288818</v>
      </c>
      <c r="I1790">
        <v>1326.9849853999999</v>
      </c>
      <c r="J1790">
        <v>1325.2657471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1097.823175</v>
      </c>
      <c r="B1791" s="1">
        <f>DATE(2013,5,2) + TIME(19,45,22)</f>
        <v>41396.823171296295</v>
      </c>
      <c r="C1791">
        <v>80</v>
      </c>
      <c r="D1791">
        <v>79.781570435000006</v>
      </c>
      <c r="E1791">
        <v>50</v>
      </c>
      <c r="F1791">
        <v>49.834938049000002</v>
      </c>
      <c r="G1791">
        <v>1339.9296875</v>
      </c>
      <c r="H1791">
        <v>1337.2496338000001</v>
      </c>
      <c r="I1791">
        <v>1326.9864502</v>
      </c>
      <c r="J1791">
        <v>1325.2668457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1097.9097509999999</v>
      </c>
      <c r="B1792" s="1">
        <f>DATE(2013,5,2) + TIME(21,50,2)</f>
        <v>41396.909745370373</v>
      </c>
      <c r="C1792">
        <v>80</v>
      </c>
      <c r="D1792">
        <v>79.818183899000005</v>
      </c>
      <c r="E1792">
        <v>50</v>
      </c>
      <c r="F1792">
        <v>49.829551696999999</v>
      </c>
      <c r="G1792">
        <v>1339.9554443</v>
      </c>
      <c r="H1792">
        <v>1337.2683105000001</v>
      </c>
      <c r="I1792">
        <v>1326.9876709</v>
      </c>
      <c r="J1792">
        <v>1325.2678223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1097.9971370000001</v>
      </c>
      <c r="B1793" s="1">
        <f>DATE(2013,5,2) + TIME(23,55,52)</f>
        <v>41396.997129629628</v>
      </c>
      <c r="C1793">
        <v>80</v>
      </c>
      <c r="D1793">
        <v>79.848197936999995</v>
      </c>
      <c r="E1793">
        <v>50</v>
      </c>
      <c r="F1793">
        <v>49.824146270999996</v>
      </c>
      <c r="G1793">
        <v>1339.9785156</v>
      </c>
      <c r="H1793">
        <v>1337.2851562000001</v>
      </c>
      <c r="I1793">
        <v>1326.9887695</v>
      </c>
      <c r="J1793">
        <v>1325.2686768000001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1098.0855759999999</v>
      </c>
      <c r="B1794" s="1">
        <f>DATE(2013,5,3) + TIME(2,3,13)</f>
        <v>41397.08556712963</v>
      </c>
      <c r="C1794">
        <v>80</v>
      </c>
      <c r="D1794">
        <v>79.872810364000003</v>
      </c>
      <c r="E1794">
        <v>50</v>
      </c>
      <c r="F1794">
        <v>49.818706511999999</v>
      </c>
      <c r="G1794">
        <v>1339.9995117000001</v>
      </c>
      <c r="H1794">
        <v>1337.3004149999999</v>
      </c>
      <c r="I1794">
        <v>1326.9897461</v>
      </c>
      <c r="J1794">
        <v>1325.2692870999999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1098.1752449999999</v>
      </c>
      <c r="B1795" s="1">
        <f>DATE(2013,5,3) + TIME(4,12,21)</f>
        <v>41397.175243055557</v>
      </c>
      <c r="C1795">
        <v>80</v>
      </c>
      <c r="D1795">
        <v>79.892967224000003</v>
      </c>
      <c r="E1795">
        <v>50</v>
      </c>
      <c r="F1795">
        <v>49.813224792</v>
      </c>
      <c r="G1795">
        <v>1340.0184326000001</v>
      </c>
      <c r="H1795">
        <v>1337.3142089999999</v>
      </c>
      <c r="I1795">
        <v>1326.9904785000001</v>
      </c>
      <c r="J1795">
        <v>1325.2696533000001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1098.2663560000001</v>
      </c>
      <c r="B1796" s="1">
        <f>DATE(2013,5,3) + TIME(6,23,33)</f>
        <v>41397.26635416667</v>
      </c>
      <c r="C1796">
        <v>80</v>
      </c>
      <c r="D1796">
        <v>79.909454346000004</v>
      </c>
      <c r="E1796">
        <v>50</v>
      </c>
      <c r="F1796">
        <v>49.807685851999999</v>
      </c>
      <c r="G1796">
        <v>1340.0355225000001</v>
      </c>
      <c r="H1796">
        <v>1337.3266602000001</v>
      </c>
      <c r="I1796">
        <v>1326.9910889</v>
      </c>
      <c r="J1796">
        <v>1325.2700195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1098.359132</v>
      </c>
      <c r="B1797" s="1">
        <f>DATE(2013,5,3) + TIME(8,37,9)</f>
        <v>41397.359131944446</v>
      </c>
      <c r="C1797">
        <v>80</v>
      </c>
      <c r="D1797">
        <v>79.922920227000006</v>
      </c>
      <c r="E1797">
        <v>50</v>
      </c>
      <c r="F1797">
        <v>49.802078246999997</v>
      </c>
      <c r="G1797">
        <v>1340.0510254000001</v>
      </c>
      <c r="H1797">
        <v>1337.3380127</v>
      </c>
      <c r="I1797">
        <v>1326.9915771000001</v>
      </c>
      <c r="J1797">
        <v>1325.2702637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1098.453808</v>
      </c>
      <c r="B1798" s="1">
        <f>DATE(2013,5,3) + TIME(10,53,29)</f>
        <v>41397.45380787037</v>
      </c>
      <c r="C1798">
        <v>80</v>
      </c>
      <c r="D1798">
        <v>79.933898925999998</v>
      </c>
      <c r="E1798">
        <v>50</v>
      </c>
      <c r="F1798">
        <v>49.796386718999997</v>
      </c>
      <c r="G1798">
        <v>1340.0650635</v>
      </c>
      <c r="H1798">
        <v>1337.3482666</v>
      </c>
      <c r="I1798">
        <v>1326.9919434000001</v>
      </c>
      <c r="J1798">
        <v>1325.2702637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1098.5506350000001</v>
      </c>
      <c r="B1799" s="1">
        <f>DATE(2013,5,3) + TIME(13,12,54)</f>
        <v>41397.550625000003</v>
      </c>
      <c r="C1799">
        <v>80</v>
      </c>
      <c r="D1799">
        <v>79.942832946999999</v>
      </c>
      <c r="E1799">
        <v>50</v>
      </c>
      <c r="F1799">
        <v>49.790603638</v>
      </c>
      <c r="G1799">
        <v>1340.0775146000001</v>
      </c>
      <c r="H1799">
        <v>1337.3574219</v>
      </c>
      <c r="I1799">
        <v>1326.9921875</v>
      </c>
      <c r="J1799">
        <v>1325.2702637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1098.6498859999999</v>
      </c>
      <c r="B1800" s="1">
        <f>DATE(2013,5,3) + TIME(15,35,50)</f>
        <v>41397.649884259263</v>
      </c>
      <c r="C1800">
        <v>80</v>
      </c>
      <c r="D1800">
        <v>79.950080872000001</v>
      </c>
      <c r="E1800">
        <v>50</v>
      </c>
      <c r="F1800">
        <v>49.784713744999998</v>
      </c>
      <c r="G1800">
        <v>1340.0887451000001</v>
      </c>
      <c r="H1800">
        <v>1337.3658447</v>
      </c>
      <c r="I1800">
        <v>1326.9923096</v>
      </c>
      <c r="J1800">
        <v>1325.2701416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1098.751853</v>
      </c>
      <c r="B1801" s="1">
        <f>DATE(2013,5,3) + TIME(18,2,40)</f>
        <v>41397.751851851855</v>
      </c>
      <c r="C1801">
        <v>80</v>
      </c>
      <c r="D1801">
        <v>79.955947875999996</v>
      </c>
      <c r="E1801">
        <v>50</v>
      </c>
      <c r="F1801">
        <v>49.778697968000003</v>
      </c>
      <c r="G1801">
        <v>1340.0988769999999</v>
      </c>
      <c r="H1801">
        <v>1337.3734131000001</v>
      </c>
      <c r="I1801">
        <v>1326.9924315999999</v>
      </c>
      <c r="J1801">
        <v>1325.2700195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1098.856867</v>
      </c>
      <c r="B1802" s="1">
        <f>DATE(2013,5,3) + TIME(20,33,53)</f>
        <v>41397.856863425928</v>
      </c>
      <c r="C1802">
        <v>80</v>
      </c>
      <c r="D1802">
        <v>79.960678100999999</v>
      </c>
      <c r="E1802">
        <v>50</v>
      </c>
      <c r="F1802">
        <v>49.772541046000001</v>
      </c>
      <c r="G1802">
        <v>1340.1079102000001</v>
      </c>
      <c r="H1802">
        <v>1337.3801269999999</v>
      </c>
      <c r="I1802">
        <v>1326.9924315999999</v>
      </c>
      <c r="J1802">
        <v>1325.2696533000001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1098.965385</v>
      </c>
      <c r="B1803" s="1">
        <f>DATE(2013,5,3) + TIME(23,10,9)</f>
        <v>41397.965381944443</v>
      </c>
      <c r="C1803">
        <v>80</v>
      </c>
      <c r="D1803">
        <v>79.964492797999995</v>
      </c>
      <c r="E1803">
        <v>50</v>
      </c>
      <c r="F1803">
        <v>49.766220093000001</v>
      </c>
      <c r="G1803">
        <v>1340.1158447</v>
      </c>
      <c r="H1803">
        <v>1337.3863524999999</v>
      </c>
      <c r="I1803">
        <v>1326.9923096</v>
      </c>
      <c r="J1803">
        <v>1325.2694091999999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1099.0778809999999</v>
      </c>
      <c r="B1804" s="1">
        <f>DATE(2013,5,4) + TIME(1,52,8)</f>
        <v>41398.077870370369</v>
      </c>
      <c r="C1804">
        <v>80</v>
      </c>
      <c r="D1804">
        <v>79.967544556000007</v>
      </c>
      <c r="E1804">
        <v>50</v>
      </c>
      <c r="F1804">
        <v>49.759712219000001</v>
      </c>
      <c r="G1804">
        <v>1340.1229248</v>
      </c>
      <c r="H1804">
        <v>1337.3918457</v>
      </c>
      <c r="I1804">
        <v>1326.9921875</v>
      </c>
      <c r="J1804">
        <v>1325.2689209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1099.1925839999999</v>
      </c>
      <c r="B1805" s="1">
        <f>DATE(2013,5,4) + TIME(4,37,19)</f>
        <v>41398.19258101852</v>
      </c>
      <c r="C1805">
        <v>80</v>
      </c>
      <c r="D1805">
        <v>79.969947814999998</v>
      </c>
      <c r="E1805">
        <v>50</v>
      </c>
      <c r="F1805">
        <v>49.753108978</v>
      </c>
      <c r="G1805">
        <v>1340.1290283000001</v>
      </c>
      <c r="H1805">
        <v>1337.3966064000001</v>
      </c>
      <c r="I1805">
        <v>1326.9919434000001</v>
      </c>
      <c r="J1805">
        <v>1325.2684326000001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1099.3094639999999</v>
      </c>
      <c r="B1806" s="1">
        <f>DATE(2013,5,4) + TIME(7,25,37)</f>
        <v>41398.30945601852</v>
      </c>
      <c r="C1806">
        <v>80</v>
      </c>
      <c r="D1806">
        <v>79.971824646000002</v>
      </c>
      <c r="E1806">
        <v>50</v>
      </c>
      <c r="F1806">
        <v>49.746414184999999</v>
      </c>
      <c r="G1806">
        <v>1340.1337891000001</v>
      </c>
      <c r="H1806">
        <v>1337.4005127</v>
      </c>
      <c r="I1806">
        <v>1326.9915771000001</v>
      </c>
      <c r="J1806">
        <v>1325.2679443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1099.428735</v>
      </c>
      <c r="B1807" s="1">
        <f>DATE(2013,5,4) + TIME(10,17,22)</f>
        <v>41398.428726851853</v>
      </c>
      <c r="C1807">
        <v>80</v>
      </c>
      <c r="D1807">
        <v>79.973297118999994</v>
      </c>
      <c r="E1807">
        <v>50</v>
      </c>
      <c r="F1807">
        <v>49.739612579000003</v>
      </c>
      <c r="G1807">
        <v>1340.1361084</v>
      </c>
      <c r="H1807">
        <v>1337.402832</v>
      </c>
      <c r="I1807">
        <v>1326.9913329999999</v>
      </c>
      <c r="J1807">
        <v>1325.2673339999999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1099.5506929999999</v>
      </c>
      <c r="B1808" s="1">
        <f>DATE(2013,5,4) + TIME(13,12,59)</f>
        <v>41398.550682870373</v>
      </c>
      <c r="C1808">
        <v>80</v>
      </c>
      <c r="D1808">
        <v>79.974449157999999</v>
      </c>
      <c r="E1808">
        <v>50</v>
      </c>
      <c r="F1808">
        <v>49.732692718999999</v>
      </c>
      <c r="G1808">
        <v>1340.1376952999999</v>
      </c>
      <c r="H1808">
        <v>1337.4047852000001</v>
      </c>
      <c r="I1808">
        <v>1326.9908447</v>
      </c>
      <c r="J1808">
        <v>1325.2667236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1099.6755949999999</v>
      </c>
      <c r="B1809" s="1">
        <f>DATE(2013,5,4) + TIME(16,12,51)</f>
        <v>41398.67559027778</v>
      </c>
      <c r="C1809">
        <v>80</v>
      </c>
      <c r="D1809">
        <v>79.975349425999994</v>
      </c>
      <c r="E1809">
        <v>50</v>
      </c>
      <c r="F1809">
        <v>49.725643157999997</v>
      </c>
      <c r="G1809">
        <v>1340.1387939000001</v>
      </c>
      <c r="H1809">
        <v>1337.40625</v>
      </c>
      <c r="I1809">
        <v>1326.9904785000001</v>
      </c>
      <c r="J1809">
        <v>1325.2659911999999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1099.8037240000001</v>
      </c>
      <c r="B1810" s="1">
        <f>DATE(2013,5,4) + TIME(19,17,21)</f>
        <v>41398.803715277776</v>
      </c>
      <c r="C1810">
        <v>80</v>
      </c>
      <c r="D1810">
        <v>79.976051330999994</v>
      </c>
      <c r="E1810">
        <v>50</v>
      </c>
      <c r="F1810">
        <v>49.718448639000002</v>
      </c>
      <c r="G1810">
        <v>1340.1392822</v>
      </c>
      <c r="H1810">
        <v>1337.4073486</v>
      </c>
      <c r="I1810">
        <v>1326.9899902</v>
      </c>
      <c r="J1810">
        <v>1325.2653809000001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1099.9353920000001</v>
      </c>
      <c r="B1811" s="1">
        <f>DATE(2013,5,4) + TIME(22,26,57)</f>
        <v>41398.935381944444</v>
      </c>
      <c r="C1811">
        <v>80</v>
      </c>
      <c r="D1811">
        <v>79.976600646999998</v>
      </c>
      <c r="E1811">
        <v>50</v>
      </c>
      <c r="F1811">
        <v>49.711093902999998</v>
      </c>
      <c r="G1811">
        <v>1340.1392822</v>
      </c>
      <c r="H1811">
        <v>1337.4080810999999</v>
      </c>
      <c r="I1811">
        <v>1326.9895019999999</v>
      </c>
      <c r="J1811">
        <v>1325.2646483999999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1100.0709440000001</v>
      </c>
      <c r="B1812" s="1">
        <f>DATE(2013,5,5) + TIME(1,42,9)</f>
        <v>41399.070937500001</v>
      </c>
      <c r="C1812">
        <v>80</v>
      </c>
      <c r="D1812">
        <v>79.977027892999999</v>
      </c>
      <c r="E1812">
        <v>50</v>
      </c>
      <c r="F1812">
        <v>49.703567505000002</v>
      </c>
      <c r="G1812">
        <v>1340.1387939000001</v>
      </c>
      <c r="H1812">
        <v>1337.4085693</v>
      </c>
      <c r="I1812">
        <v>1326.9890137</v>
      </c>
      <c r="J1812">
        <v>1325.2639160000001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1100.210763</v>
      </c>
      <c r="B1813" s="1">
        <f>DATE(2013,5,5) + TIME(5,3,29)</f>
        <v>41399.210752314815</v>
      </c>
      <c r="C1813">
        <v>80</v>
      </c>
      <c r="D1813">
        <v>79.977363585999996</v>
      </c>
      <c r="E1813">
        <v>50</v>
      </c>
      <c r="F1813">
        <v>49.695846558</v>
      </c>
      <c r="G1813">
        <v>1340.1376952999999</v>
      </c>
      <c r="H1813">
        <v>1337.4086914</v>
      </c>
      <c r="I1813">
        <v>1326.9885254000001</v>
      </c>
      <c r="J1813">
        <v>1325.2630615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1100.355282</v>
      </c>
      <c r="B1814" s="1">
        <f>DATE(2013,5,5) + TIME(8,31,36)</f>
        <v>41399.35527777778</v>
      </c>
      <c r="C1814">
        <v>80</v>
      </c>
      <c r="D1814">
        <v>79.977622986</v>
      </c>
      <c r="E1814">
        <v>50</v>
      </c>
      <c r="F1814">
        <v>49.687915801999999</v>
      </c>
      <c r="G1814">
        <v>1340.1362305</v>
      </c>
      <c r="H1814">
        <v>1337.4085693</v>
      </c>
      <c r="I1814">
        <v>1326.9879149999999</v>
      </c>
      <c r="J1814">
        <v>1325.2623291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1100.5049799999999</v>
      </c>
      <c r="B1815" s="1">
        <f>DATE(2013,5,5) + TIME(12,7,10)</f>
        <v>41399.504976851851</v>
      </c>
      <c r="C1815">
        <v>80</v>
      </c>
      <c r="D1815">
        <v>79.977821349999999</v>
      </c>
      <c r="E1815">
        <v>50</v>
      </c>
      <c r="F1815">
        <v>49.679752350000001</v>
      </c>
      <c r="G1815">
        <v>1340.1342772999999</v>
      </c>
      <c r="H1815">
        <v>1337.4080810999999</v>
      </c>
      <c r="I1815">
        <v>1326.9873047000001</v>
      </c>
      <c r="J1815">
        <v>1325.2614745999999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1100.660466</v>
      </c>
      <c r="B1816" s="1">
        <f>DATE(2013,5,5) + TIME(15,51,4)</f>
        <v>41399.660462962966</v>
      </c>
      <c r="C1816">
        <v>80</v>
      </c>
      <c r="D1816">
        <v>79.977981567</v>
      </c>
      <c r="E1816">
        <v>50</v>
      </c>
      <c r="F1816">
        <v>49.671325684000003</v>
      </c>
      <c r="G1816">
        <v>1340.1318358999999</v>
      </c>
      <c r="H1816">
        <v>1337.4074707</v>
      </c>
      <c r="I1816">
        <v>1326.9866943</v>
      </c>
      <c r="J1816">
        <v>1325.2604980000001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1100.8212100000001</v>
      </c>
      <c r="B1817" s="1">
        <f>DATE(2013,5,5) + TIME(19,42,32)</f>
        <v>41399.821203703701</v>
      </c>
      <c r="C1817">
        <v>80</v>
      </c>
      <c r="D1817">
        <v>79.978103637999993</v>
      </c>
      <c r="E1817">
        <v>50</v>
      </c>
      <c r="F1817">
        <v>49.662662505999997</v>
      </c>
      <c r="G1817">
        <v>1340.1291504000001</v>
      </c>
      <c r="H1817">
        <v>1337.4066161999999</v>
      </c>
      <c r="I1817">
        <v>1326.9860839999999</v>
      </c>
      <c r="J1817">
        <v>1325.2596435999999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1100.9866669999999</v>
      </c>
      <c r="B1818" s="1">
        <f>DATE(2013,5,5) + TIME(23,40,47)</f>
        <v>41399.986655092594</v>
      </c>
      <c r="C1818">
        <v>80</v>
      </c>
      <c r="D1818">
        <v>79.978195189999994</v>
      </c>
      <c r="E1818">
        <v>50</v>
      </c>
      <c r="F1818">
        <v>49.653793335000003</v>
      </c>
      <c r="G1818">
        <v>1340.1259766000001</v>
      </c>
      <c r="H1818">
        <v>1337.4055175999999</v>
      </c>
      <c r="I1818">
        <v>1326.9853516000001</v>
      </c>
      <c r="J1818">
        <v>1325.2586670000001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1101.157183</v>
      </c>
      <c r="B1819" s="1">
        <f>DATE(2013,5,6) + TIME(3,46,20)</f>
        <v>41400.157175925924</v>
      </c>
      <c r="C1819">
        <v>80</v>
      </c>
      <c r="D1819">
        <v>79.978263854999994</v>
      </c>
      <c r="E1819">
        <v>50</v>
      </c>
      <c r="F1819">
        <v>49.644695282000001</v>
      </c>
      <c r="G1819">
        <v>1340.1224365</v>
      </c>
      <c r="H1819">
        <v>1337.4041748</v>
      </c>
      <c r="I1819">
        <v>1326.9846190999999</v>
      </c>
      <c r="J1819">
        <v>1325.2576904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1101.330033</v>
      </c>
      <c r="B1820" s="1">
        <f>DATE(2013,5,6) + TIME(7,55,14)</f>
        <v>41400.330023148148</v>
      </c>
      <c r="C1820">
        <v>80</v>
      </c>
      <c r="D1820">
        <v>79.978317261000001</v>
      </c>
      <c r="E1820">
        <v>50</v>
      </c>
      <c r="F1820">
        <v>49.635498046999999</v>
      </c>
      <c r="G1820">
        <v>1340.1186522999999</v>
      </c>
      <c r="H1820">
        <v>1337.4027100000001</v>
      </c>
      <c r="I1820">
        <v>1326.9838867000001</v>
      </c>
      <c r="J1820">
        <v>1325.2565918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1101.5057529999999</v>
      </c>
      <c r="B1821" s="1">
        <f>DATE(2013,5,6) + TIME(12,8,17)</f>
        <v>41400.505752314813</v>
      </c>
      <c r="C1821">
        <v>80</v>
      </c>
      <c r="D1821">
        <v>79.978347778</v>
      </c>
      <c r="E1821">
        <v>50</v>
      </c>
      <c r="F1821">
        <v>49.626178740999997</v>
      </c>
      <c r="G1821">
        <v>1340.1145019999999</v>
      </c>
      <c r="H1821">
        <v>1337.4011230000001</v>
      </c>
      <c r="I1821">
        <v>1326.9831543</v>
      </c>
      <c r="J1821">
        <v>1325.2556152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1101.6848580000001</v>
      </c>
      <c r="B1822" s="1">
        <f>DATE(2013,5,6) + TIME(16,26,11)</f>
        <v>41400.684849537036</v>
      </c>
      <c r="C1822">
        <v>80</v>
      </c>
      <c r="D1822">
        <v>79.978378296000002</v>
      </c>
      <c r="E1822">
        <v>50</v>
      </c>
      <c r="F1822">
        <v>49.616714477999999</v>
      </c>
      <c r="G1822">
        <v>1340.1102295000001</v>
      </c>
      <c r="H1822">
        <v>1337.3992920000001</v>
      </c>
      <c r="I1822">
        <v>1326.9824219</v>
      </c>
      <c r="J1822">
        <v>1325.2545166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1101.86789</v>
      </c>
      <c r="B1823" s="1">
        <f>DATE(2013,5,6) + TIME(20,49,45)</f>
        <v>41400.867881944447</v>
      </c>
      <c r="C1823">
        <v>80</v>
      </c>
      <c r="D1823">
        <v>79.978393554999997</v>
      </c>
      <c r="E1823">
        <v>50</v>
      </c>
      <c r="F1823">
        <v>49.607089995999999</v>
      </c>
      <c r="G1823">
        <v>1340.1055908000001</v>
      </c>
      <c r="H1823">
        <v>1337.3974608999999</v>
      </c>
      <c r="I1823">
        <v>1326.9815673999999</v>
      </c>
      <c r="J1823">
        <v>1325.253418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1102.05512</v>
      </c>
      <c r="B1824" s="1">
        <f>DATE(2013,5,7) + TIME(1,19,22)</f>
        <v>41401.055115740739</v>
      </c>
      <c r="C1824">
        <v>80</v>
      </c>
      <c r="D1824">
        <v>79.978401184000006</v>
      </c>
      <c r="E1824">
        <v>50</v>
      </c>
      <c r="F1824">
        <v>49.597290039000001</v>
      </c>
      <c r="G1824">
        <v>1340.1008300999999</v>
      </c>
      <c r="H1824">
        <v>1337.3953856999999</v>
      </c>
      <c r="I1824">
        <v>1326.9808350000001</v>
      </c>
      <c r="J1824">
        <v>1325.2523193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1102.2455560000001</v>
      </c>
      <c r="B1825" s="1">
        <f>DATE(2013,5,7) + TIME(5,53,36)</f>
        <v>41401.245555555557</v>
      </c>
      <c r="C1825">
        <v>80</v>
      </c>
      <c r="D1825">
        <v>79.978408813000001</v>
      </c>
      <c r="E1825">
        <v>50</v>
      </c>
      <c r="F1825">
        <v>49.587360382</v>
      </c>
      <c r="G1825">
        <v>1340.0958252</v>
      </c>
      <c r="H1825">
        <v>1337.3931885</v>
      </c>
      <c r="I1825">
        <v>1326.9799805</v>
      </c>
      <c r="J1825">
        <v>1325.2512207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1102.4397269999999</v>
      </c>
      <c r="B1826" s="1">
        <f>DATE(2013,5,7) + TIME(10,33,12)</f>
        <v>41401.439722222225</v>
      </c>
      <c r="C1826">
        <v>80</v>
      </c>
      <c r="D1826">
        <v>79.978408813000001</v>
      </c>
      <c r="E1826">
        <v>50</v>
      </c>
      <c r="F1826">
        <v>49.577281952</v>
      </c>
      <c r="G1826">
        <v>1340.0898437999999</v>
      </c>
      <c r="H1826">
        <v>1337.3903809000001</v>
      </c>
      <c r="I1826">
        <v>1326.979126</v>
      </c>
      <c r="J1826">
        <v>1325.25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1102.638193</v>
      </c>
      <c r="B1827" s="1">
        <f>DATE(2013,5,7) + TIME(15,18,59)</f>
        <v>41401.638182870367</v>
      </c>
      <c r="C1827">
        <v>80</v>
      </c>
      <c r="D1827">
        <v>79.978401184000006</v>
      </c>
      <c r="E1827">
        <v>50</v>
      </c>
      <c r="F1827">
        <v>49.56703186</v>
      </c>
      <c r="G1827">
        <v>1340.0836182</v>
      </c>
      <c r="H1827">
        <v>1337.3874512</v>
      </c>
      <c r="I1827">
        <v>1326.9782714999999</v>
      </c>
      <c r="J1827">
        <v>1325.2487793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1102.8415170000001</v>
      </c>
      <c r="B1828" s="1">
        <f>DATE(2013,5,7) + TIME(20,11,47)</f>
        <v>41401.841516203705</v>
      </c>
      <c r="C1828">
        <v>80</v>
      </c>
      <c r="D1828">
        <v>79.978385924999998</v>
      </c>
      <c r="E1828">
        <v>50</v>
      </c>
      <c r="F1828">
        <v>49.556583404999998</v>
      </c>
      <c r="G1828">
        <v>1340.0772704999999</v>
      </c>
      <c r="H1828">
        <v>1337.3845214999999</v>
      </c>
      <c r="I1828">
        <v>1326.9772949000001</v>
      </c>
      <c r="J1828">
        <v>1325.2475586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1103.048507</v>
      </c>
      <c r="B1829" s="1">
        <f>DATE(2013,5,8) + TIME(1,9,51)</f>
        <v>41402.048506944448</v>
      </c>
      <c r="C1829">
        <v>80</v>
      </c>
      <c r="D1829">
        <v>79.978378296000002</v>
      </c>
      <c r="E1829">
        <v>50</v>
      </c>
      <c r="F1829">
        <v>49.545997620000001</v>
      </c>
      <c r="G1829">
        <v>1340.0709228999999</v>
      </c>
      <c r="H1829">
        <v>1337.3814697</v>
      </c>
      <c r="I1829">
        <v>1326.9763184000001</v>
      </c>
      <c r="J1829">
        <v>1325.2462158000001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1103.257865</v>
      </c>
      <c r="B1830" s="1">
        <f>DATE(2013,5,8) + TIME(6,11,19)</f>
        <v>41402.2578587963</v>
      </c>
      <c r="C1830">
        <v>80</v>
      </c>
      <c r="D1830">
        <v>79.978363036999994</v>
      </c>
      <c r="E1830">
        <v>50</v>
      </c>
      <c r="F1830">
        <v>49.535320282000001</v>
      </c>
      <c r="G1830">
        <v>1340.0645752</v>
      </c>
      <c r="H1830">
        <v>1337.3785399999999</v>
      </c>
      <c r="I1830">
        <v>1326.9753418</v>
      </c>
      <c r="J1830">
        <v>1325.2448730000001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1103.470006</v>
      </c>
      <c r="B1831" s="1">
        <f>DATE(2013,5,8) + TIME(11,16,48)</f>
        <v>41402.47</v>
      </c>
      <c r="C1831">
        <v>80</v>
      </c>
      <c r="D1831">
        <v>79.978347778</v>
      </c>
      <c r="E1831">
        <v>50</v>
      </c>
      <c r="F1831">
        <v>49.524539947999997</v>
      </c>
      <c r="G1831">
        <v>1340.0581055</v>
      </c>
      <c r="H1831">
        <v>1337.3754882999999</v>
      </c>
      <c r="I1831">
        <v>1326.9743652</v>
      </c>
      <c r="J1831">
        <v>1325.2435303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1103.6853639999999</v>
      </c>
      <c r="B1832" s="1">
        <f>DATE(2013,5,8) + TIME(16,26,55)</f>
        <v>41402.685358796298</v>
      </c>
      <c r="C1832">
        <v>80</v>
      </c>
      <c r="D1832">
        <v>79.978324889999996</v>
      </c>
      <c r="E1832">
        <v>50</v>
      </c>
      <c r="F1832">
        <v>49.513648987000003</v>
      </c>
      <c r="G1832">
        <v>1340.0517577999999</v>
      </c>
      <c r="H1832">
        <v>1337.3725586</v>
      </c>
      <c r="I1832">
        <v>1326.9733887</v>
      </c>
      <c r="J1832">
        <v>1325.2421875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1103.904419</v>
      </c>
      <c r="B1833" s="1">
        <f>DATE(2013,5,8) + TIME(21,42,21)</f>
        <v>41402.904409722221</v>
      </c>
      <c r="C1833">
        <v>80</v>
      </c>
      <c r="D1833">
        <v>79.978309631000002</v>
      </c>
      <c r="E1833">
        <v>50</v>
      </c>
      <c r="F1833">
        <v>49.502620696999998</v>
      </c>
      <c r="G1833">
        <v>1340.0454102000001</v>
      </c>
      <c r="H1833">
        <v>1337.3696289</v>
      </c>
      <c r="I1833">
        <v>1326.9724120999999</v>
      </c>
      <c r="J1833">
        <v>1325.2407227000001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1104.127671</v>
      </c>
      <c r="B1834" s="1">
        <f>DATE(2013,5,9) + TIME(3,3,50)</f>
        <v>41403.127662037034</v>
      </c>
      <c r="C1834">
        <v>80</v>
      </c>
      <c r="D1834">
        <v>79.978286742999998</v>
      </c>
      <c r="E1834">
        <v>50</v>
      </c>
      <c r="F1834">
        <v>49.491443633999999</v>
      </c>
      <c r="G1834">
        <v>1340.0390625</v>
      </c>
      <c r="H1834">
        <v>1337.3666992000001</v>
      </c>
      <c r="I1834">
        <v>1326.9713135</v>
      </c>
      <c r="J1834">
        <v>1325.2392577999999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1104.3556619999999</v>
      </c>
      <c r="B1835" s="1">
        <f>DATE(2013,5,9) + TIME(8,32,9)</f>
        <v>41403.35565972222</v>
      </c>
      <c r="C1835">
        <v>80</v>
      </c>
      <c r="D1835">
        <v>79.978263854999994</v>
      </c>
      <c r="E1835">
        <v>50</v>
      </c>
      <c r="F1835">
        <v>49.480091094999999</v>
      </c>
      <c r="G1835">
        <v>1340.0325928</v>
      </c>
      <c r="H1835">
        <v>1337.3637695</v>
      </c>
      <c r="I1835">
        <v>1326.9702147999999</v>
      </c>
      <c r="J1835">
        <v>1325.237793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1104.5889749999999</v>
      </c>
      <c r="B1836" s="1">
        <f>DATE(2013,5,9) + TIME(14,8,7)</f>
        <v>41403.588969907411</v>
      </c>
      <c r="C1836">
        <v>80</v>
      </c>
      <c r="D1836">
        <v>79.978240967000005</v>
      </c>
      <c r="E1836">
        <v>50</v>
      </c>
      <c r="F1836">
        <v>49.468544006000002</v>
      </c>
      <c r="G1836">
        <v>1340.0262451000001</v>
      </c>
      <c r="H1836">
        <v>1337.3608397999999</v>
      </c>
      <c r="I1836">
        <v>1326.9691161999999</v>
      </c>
      <c r="J1836">
        <v>1325.2362060999999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1104.8282469999999</v>
      </c>
      <c r="B1837" s="1">
        <f>DATE(2013,5,9) + TIME(19,52,40)</f>
        <v>41403.828240740739</v>
      </c>
      <c r="C1837">
        <v>80</v>
      </c>
      <c r="D1837">
        <v>79.978218079000001</v>
      </c>
      <c r="E1837">
        <v>50</v>
      </c>
      <c r="F1837">
        <v>49.456779480000002</v>
      </c>
      <c r="G1837">
        <v>1340.0197754000001</v>
      </c>
      <c r="H1837">
        <v>1337.3580322</v>
      </c>
      <c r="I1837">
        <v>1326.9678954999999</v>
      </c>
      <c r="J1837">
        <v>1325.2346190999999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1105.0741800000001</v>
      </c>
      <c r="B1838" s="1">
        <f>DATE(2013,5,10) + TIME(1,46,49)</f>
        <v>41404.074178240742</v>
      </c>
      <c r="C1838">
        <v>80</v>
      </c>
      <c r="D1838">
        <v>79.978195189999994</v>
      </c>
      <c r="E1838">
        <v>50</v>
      </c>
      <c r="F1838">
        <v>49.444763184000003</v>
      </c>
      <c r="G1838">
        <v>1340.0133057</v>
      </c>
      <c r="H1838">
        <v>1337.3551024999999</v>
      </c>
      <c r="I1838">
        <v>1326.9666748</v>
      </c>
      <c r="J1838">
        <v>1325.2330322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1105.327552</v>
      </c>
      <c r="B1839" s="1">
        <f>DATE(2013,5,10) + TIME(7,51,40)</f>
        <v>41404.327546296299</v>
      </c>
      <c r="C1839">
        <v>80</v>
      </c>
      <c r="D1839">
        <v>79.978172302000004</v>
      </c>
      <c r="E1839">
        <v>50</v>
      </c>
      <c r="F1839">
        <v>49.432472228999998</v>
      </c>
      <c r="G1839">
        <v>1340.0067139</v>
      </c>
      <c r="H1839">
        <v>1337.3521728999999</v>
      </c>
      <c r="I1839">
        <v>1326.9654541</v>
      </c>
      <c r="J1839">
        <v>1325.2313231999999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1105.5868379999999</v>
      </c>
      <c r="B1840" s="1">
        <f>DATE(2013,5,10) + TIME(14,5,2)</f>
        <v>41404.586828703701</v>
      </c>
      <c r="C1840">
        <v>80</v>
      </c>
      <c r="D1840">
        <v>79.978141785000005</v>
      </c>
      <c r="E1840">
        <v>50</v>
      </c>
      <c r="F1840">
        <v>49.419956206999998</v>
      </c>
      <c r="G1840">
        <v>1340</v>
      </c>
      <c r="H1840">
        <v>1337.3492432</v>
      </c>
      <c r="I1840">
        <v>1326.9642334</v>
      </c>
      <c r="J1840">
        <v>1325.2294922000001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1105.850948</v>
      </c>
      <c r="B1841" s="1">
        <f>DATE(2013,5,10) + TIME(20,25,21)</f>
        <v>41404.850937499999</v>
      </c>
      <c r="C1841">
        <v>80</v>
      </c>
      <c r="D1841">
        <v>79.978118895999998</v>
      </c>
      <c r="E1841">
        <v>50</v>
      </c>
      <c r="F1841">
        <v>49.407260895</v>
      </c>
      <c r="G1841">
        <v>1339.9934082</v>
      </c>
      <c r="H1841">
        <v>1337.3463135</v>
      </c>
      <c r="I1841">
        <v>1326.9628906</v>
      </c>
      <c r="J1841">
        <v>1325.2276611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1106.1205030000001</v>
      </c>
      <c r="B1842" s="1">
        <f>DATE(2013,5,11) + TIME(2,53,31)</f>
        <v>41405.120497685188</v>
      </c>
      <c r="C1842">
        <v>80</v>
      </c>
      <c r="D1842">
        <v>79.978096007999994</v>
      </c>
      <c r="E1842">
        <v>50</v>
      </c>
      <c r="F1842">
        <v>49.394367217999999</v>
      </c>
      <c r="G1842">
        <v>1339.9866943</v>
      </c>
      <c r="H1842">
        <v>1337.3433838000001</v>
      </c>
      <c r="I1842">
        <v>1326.9614257999999</v>
      </c>
      <c r="J1842">
        <v>1325.2257079999999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1106.3961200000001</v>
      </c>
      <c r="B1843" s="1">
        <f>DATE(2013,5,11) + TIME(9,30,24)</f>
        <v>41405.396111111113</v>
      </c>
      <c r="C1843">
        <v>80</v>
      </c>
      <c r="D1843">
        <v>79.978065490999995</v>
      </c>
      <c r="E1843">
        <v>50</v>
      </c>
      <c r="F1843">
        <v>49.381256104000002</v>
      </c>
      <c r="G1843">
        <v>1339.9801024999999</v>
      </c>
      <c r="H1843">
        <v>1337.3404541</v>
      </c>
      <c r="I1843">
        <v>1326.9600829999999</v>
      </c>
      <c r="J1843">
        <v>1325.2237548999999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1106.6784829999999</v>
      </c>
      <c r="B1844" s="1">
        <f>DATE(2013,5,11) + TIME(16,17,0)</f>
        <v>41405.678472222222</v>
      </c>
      <c r="C1844">
        <v>80</v>
      </c>
      <c r="D1844">
        <v>79.978042603000006</v>
      </c>
      <c r="E1844">
        <v>50</v>
      </c>
      <c r="F1844">
        <v>49.367904662999997</v>
      </c>
      <c r="G1844">
        <v>1339.9733887</v>
      </c>
      <c r="H1844">
        <v>1337.3376464999999</v>
      </c>
      <c r="I1844">
        <v>1326.9586182</v>
      </c>
      <c r="J1844">
        <v>1325.2216797000001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1106.968349</v>
      </c>
      <c r="B1845" s="1">
        <f>DATE(2013,5,11) + TIME(23,14,25)</f>
        <v>41405.968344907407</v>
      </c>
      <c r="C1845">
        <v>80</v>
      </c>
      <c r="D1845">
        <v>79.978012085000003</v>
      </c>
      <c r="E1845">
        <v>50</v>
      </c>
      <c r="F1845">
        <v>49.354286193999997</v>
      </c>
      <c r="G1845">
        <v>1339.9666748</v>
      </c>
      <c r="H1845">
        <v>1337.3347168</v>
      </c>
      <c r="I1845">
        <v>1326.9570312000001</v>
      </c>
      <c r="J1845">
        <v>1325.2196045000001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1107.266552</v>
      </c>
      <c r="B1846" s="1">
        <f>DATE(2013,5,12) + TIME(6,23,50)</f>
        <v>41406.266550925924</v>
      </c>
      <c r="C1846">
        <v>80</v>
      </c>
      <c r="D1846">
        <v>79.977981567</v>
      </c>
      <c r="E1846">
        <v>50</v>
      </c>
      <c r="F1846">
        <v>49.340373993</v>
      </c>
      <c r="G1846">
        <v>1339.9599608999999</v>
      </c>
      <c r="H1846">
        <v>1337.3319091999999</v>
      </c>
      <c r="I1846">
        <v>1326.9554443</v>
      </c>
      <c r="J1846">
        <v>1325.2174072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1107.572598</v>
      </c>
      <c r="B1847" s="1">
        <f>DATE(2013,5,12) + TIME(13,44,32)</f>
        <v>41406.572592592594</v>
      </c>
      <c r="C1847">
        <v>80</v>
      </c>
      <c r="D1847">
        <v>79.977958678999997</v>
      </c>
      <c r="E1847">
        <v>50</v>
      </c>
      <c r="F1847">
        <v>49.326179504000002</v>
      </c>
      <c r="G1847">
        <v>1339.9532471</v>
      </c>
      <c r="H1847">
        <v>1337.3289795000001</v>
      </c>
      <c r="I1847">
        <v>1326.9538574000001</v>
      </c>
      <c r="J1847">
        <v>1325.2150879000001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1107.8840170000001</v>
      </c>
      <c r="B1848" s="1">
        <f>DATE(2013,5,12) + TIME(21,12,59)</f>
        <v>41406.884016203701</v>
      </c>
      <c r="C1848">
        <v>80</v>
      </c>
      <c r="D1848">
        <v>79.977928161999998</v>
      </c>
      <c r="E1848">
        <v>50</v>
      </c>
      <c r="F1848">
        <v>49.311790465999998</v>
      </c>
      <c r="G1848">
        <v>1339.9464111</v>
      </c>
      <c r="H1848">
        <v>1337.3261719</v>
      </c>
      <c r="I1848">
        <v>1326.9520264</v>
      </c>
      <c r="J1848">
        <v>1325.2127685999999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1108.200744</v>
      </c>
      <c r="B1849" s="1">
        <f>DATE(2013,5,13) + TIME(4,49,4)</f>
        <v>41407.200740740744</v>
      </c>
      <c r="C1849">
        <v>80</v>
      </c>
      <c r="D1849">
        <v>79.977897643999995</v>
      </c>
      <c r="E1849">
        <v>50</v>
      </c>
      <c r="F1849">
        <v>49.297218323000003</v>
      </c>
      <c r="G1849">
        <v>1339.9395752</v>
      </c>
      <c r="H1849">
        <v>1337.3233643000001</v>
      </c>
      <c r="I1849">
        <v>1326.9503173999999</v>
      </c>
      <c r="J1849">
        <v>1325.2103271000001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1108.5196920000001</v>
      </c>
      <c r="B1850" s="1">
        <f>DATE(2013,5,13) + TIME(12,28,21)</f>
        <v>41407.519687499997</v>
      </c>
      <c r="C1850">
        <v>80</v>
      </c>
      <c r="D1850">
        <v>79.977867126000007</v>
      </c>
      <c r="E1850">
        <v>50</v>
      </c>
      <c r="F1850">
        <v>49.282569885000001</v>
      </c>
      <c r="G1850">
        <v>1339.9328613</v>
      </c>
      <c r="H1850">
        <v>1337.3205565999999</v>
      </c>
      <c r="I1850">
        <v>1326.9484863</v>
      </c>
      <c r="J1850">
        <v>1325.2077637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1108.8416729999999</v>
      </c>
      <c r="B1851" s="1">
        <f>DATE(2013,5,13) + TIME(20,12,0)</f>
        <v>41407.841666666667</v>
      </c>
      <c r="C1851">
        <v>80</v>
      </c>
      <c r="D1851">
        <v>79.977844238000003</v>
      </c>
      <c r="E1851">
        <v>50</v>
      </c>
      <c r="F1851">
        <v>49.267841339</v>
      </c>
      <c r="G1851">
        <v>1339.9262695</v>
      </c>
      <c r="H1851">
        <v>1337.317749</v>
      </c>
      <c r="I1851">
        <v>1326.9466553</v>
      </c>
      <c r="J1851">
        <v>1325.2050781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1109.167418</v>
      </c>
      <c r="B1852" s="1">
        <f>DATE(2013,5,14) + TIME(4,1,4)</f>
        <v>41408.167407407411</v>
      </c>
      <c r="C1852">
        <v>80</v>
      </c>
      <c r="D1852">
        <v>79.977813721000004</v>
      </c>
      <c r="E1852">
        <v>50</v>
      </c>
      <c r="F1852">
        <v>49.253009796000001</v>
      </c>
      <c r="G1852">
        <v>1339.9196777</v>
      </c>
      <c r="H1852">
        <v>1337.3150635</v>
      </c>
      <c r="I1852">
        <v>1326.9447021000001</v>
      </c>
      <c r="J1852">
        <v>1325.2025146000001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1109.4977369999999</v>
      </c>
      <c r="B1853" s="1">
        <f>DATE(2013,5,14) + TIME(11,56,44)</f>
        <v>41408.497731481482</v>
      </c>
      <c r="C1853">
        <v>80</v>
      </c>
      <c r="D1853">
        <v>79.977783203000001</v>
      </c>
      <c r="E1853">
        <v>50</v>
      </c>
      <c r="F1853">
        <v>49.238056182999998</v>
      </c>
      <c r="G1853">
        <v>1339.9130858999999</v>
      </c>
      <c r="H1853">
        <v>1337.3125</v>
      </c>
      <c r="I1853">
        <v>1326.942749</v>
      </c>
      <c r="J1853">
        <v>1325.199707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1109.833474</v>
      </c>
      <c r="B1854" s="1">
        <f>DATE(2013,5,14) + TIME(20,0,12)</f>
        <v>41408.833472222221</v>
      </c>
      <c r="C1854">
        <v>80</v>
      </c>
      <c r="D1854">
        <v>79.977760314999998</v>
      </c>
      <c r="E1854">
        <v>50</v>
      </c>
      <c r="F1854">
        <v>49.222953795999999</v>
      </c>
      <c r="G1854">
        <v>1339.9066161999999</v>
      </c>
      <c r="H1854">
        <v>1337.3098144999999</v>
      </c>
      <c r="I1854">
        <v>1326.9407959</v>
      </c>
      <c r="J1854">
        <v>1325.1968993999999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1110.1754430000001</v>
      </c>
      <c r="B1855" s="1">
        <f>DATE(2013,5,15) + TIME(4,12,38)</f>
        <v>41409.175439814811</v>
      </c>
      <c r="C1855">
        <v>80</v>
      </c>
      <c r="D1855">
        <v>79.977729796999995</v>
      </c>
      <c r="E1855">
        <v>50</v>
      </c>
      <c r="F1855">
        <v>49.207679749</v>
      </c>
      <c r="G1855">
        <v>1339.9001464999999</v>
      </c>
      <c r="H1855">
        <v>1337.307251</v>
      </c>
      <c r="I1855">
        <v>1326.9387207</v>
      </c>
      <c r="J1855">
        <v>1325.1940918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1110.523271</v>
      </c>
      <c r="B1856" s="1">
        <f>DATE(2013,5,15) + TIME(12,33,30)</f>
        <v>41409.523263888892</v>
      </c>
      <c r="C1856">
        <v>80</v>
      </c>
      <c r="D1856">
        <v>79.977699279999996</v>
      </c>
      <c r="E1856">
        <v>50</v>
      </c>
      <c r="F1856">
        <v>49.192237853999998</v>
      </c>
      <c r="G1856">
        <v>1339.8937988</v>
      </c>
      <c r="H1856">
        <v>1337.3046875</v>
      </c>
      <c r="I1856">
        <v>1326.9366454999999</v>
      </c>
      <c r="J1856">
        <v>1325.1910399999999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1110.8778620000001</v>
      </c>
      <c r="B1857" s="1">
        <f>DATE(2013,5,15) + TIME(21,4,7)</f>
        <v>41409.877858796295</v>
      </c>
      <c r="C1857">
        <v>80</v>
      </c>
      <c r="D1857">
        <v>79.977676392000006</v>
      </c>
      <c r="E1857">
        <v>50</v>
      </c>
      <c r="F1857">
        <v>49.176605225000003</v>
      </c>
      <c r="G1857">
        <v>1339.8873291</v>
      </c>
      <c r="H1857">
        <v>1337.302124</v>
      </c>
      <c r="I1857">
        <v>1326.9344481999999</v>
      </c>
      <c r="J1857">
        <v>1325.1879882999999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1111.240211</v>
      </c>
      <c r="B1858" s="1">
        <f>DATE(2013,5,16) + TIME(5,45,54)</f>
        <v>41410.240208333336</v>
      </c>
      <c r="C1858">
        <v>80</v>
      </c>
      <c r="D1858">
        <v>79.977645874000004</v>
      </c>
      <c r="E1858">
        <v>50</v>
      </c>
      <c r="F1858">
        <v>49.160747528000002</v>
      </c>
      <c r="G1858">
        <v>1339.8809814000001</v>
      </c>
      <c r="H1858">
        <v>1337.2996826000001</v>
      </c>
      <c r="I1858">
        <v>1326.9321289</v>
      </c>
      <c r="J1858">
        <v>1325.1848144999999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1111.6113769999999</v>
      </c>
      <c r="B1859" s="1">
        <f>DATE(2013,5,16) + TIME(14,40,22)</f>
        <v>41410.61136574074</v>
      </c>
      <c r="C1859">
        <v>80</v>
      </c>
      <c r="D1859">
        <v>79.977615356000001</v>
      </c>
      <c r="E1859">
        <v>50</v>
      </c>
      <c r="F1859">
        <v>49.144630432</v>
      </c>
      <c r="G1859">
        <v>1339.8745117000001</v>
      </c>
      <c r="H1859">
        <v>1337.2971190999999</v>
      </c>
      <c r="I1859">
        <v>1326.9298096</v>
      </c>
      <c r="J1859">
        <v>1325.1815185999999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1111.9924840000001</v>
      </c>
      <c r="B1860" s="1">
        <f>DATE(2013,5,16) + TIME(23,49,10)</f>
        <v>41410.992476851854</v>
      </c>
      <c r="C1860">
        <v>80</v>
      </c>
      <c r="D1860">
        <v>79.977584839000002</v>
      </c>
      <c r="E1860">
        <v>50</v>
      </c>
      <c r="F1860">
        <v>49.128219604000002</v>
      </c>
      <c r="G1860">
        <v>1339.8681641000001</v>
      </c>
      <c r="H1860">
        <v>1337.2946777</v>
      </c>
      <c r="I1860">
        <v>1326.9274902</v>
      </c>
      <c r="J1860">
        <v>1325.1781006000001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1112.385841</v>
      </c>
      <c r="B1861" s="1">
        <f>DATE(2013,5,17) + TIME(9,15,36)</f>
        <v>41411.385833333334</v>
      </c>
      <c r="C1861">
        <v>80</v>
      </c>
      <c r="D1861">
        <v>79.977561950999998</v>
      </c>
      <c r="E1861">
        <v>50</v>
      </c>
      <c r="F1861">
        <v>49.111434936999999</v>
      </c>
      <c r="G1861">
        <v>1339.8616943</v>
      </c>
      <c r="H1861">
        <v>1337.2921143000001</v>
      </c>
      <c r="I1861">
        <v>1326.9249268000001</v>
      </c>
      <c r="J1861">
        <v>1325.1745605000001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1112.791761</v>
      </c>
      <c r="B1862" s="1">
        <f>DATE(2013,5,17) + TIME(19,0,8)</f>
        <v>41411.791759259257</v>
      </c>
      <c r="C1862">
        <v>80</v>
      </c>
      <c r="D1862">
        <v>79.977531432999996</v>
      </c>
      <c r="E1862">
        <v>50</v>
      </c>
      <c r="F1862">
        <v>49.094261168999999</v>
      </c>
      <c r="G1862">
        <v>1339.8551024999999</v>
      </c>
      <c r="H1862">
        <v>1337.2895507999999</v>
      </c>
      <c r="I1862">
        <v>1326.9222411999999</v>
      </c>
      <c r="J1862">
        <v>1325.1708983999999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1113.2016080000001</v>
      </c>
      <c r="B1863" s="1">
        <f>DATE(2013,5,18) + TIME(4,50,18)</f>
        <v>41412.201597222222</v>
      </c>
      <c r="C1863">
        <v>80</v>
      </c>
      <c r="D1863">
        <v>79.977500915999997</v>
      </c>
      <c r="E1863">
        <v>50</v>
      </c>
      <c r="F1863">
        <v>49.076938628999997</v>
      </c>
      <c r="G1863">
        <v>1339.8485106999999</v>
      </c>
      <c r="H1863">
        <v>1337.2871094</v>
      </c>
      <c r="I1863">
        <v>1326.9195557</v>
      </c>
      <c r="J1863">
        <v>1325.1669922000001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1113.6165370000001</v>
      </c>
      <c r="B1864" s="1">
        <f>DATE(2013,5,18) + TIME(14,47,48)</f>
        <v>41412.616527777776</v>
      </c>
      <c r="C1864">
        <v>80</v>
      </c>
      <c r="D1864">
        <v>79.977470397999994</v>
      </c>
      <c r="E1864">
        <v>50</v>
      </c>
      <c r="F1864">
        <v>49.059467316000003</v>
      </c>
      <c r="G1864">
        <v>1339.8420410000001</v>
      </c>
      <c r="H1864">
        <v>1337.284668</v>
      </c>
      <c r="I1864">
        <v>1326.9167480000001</v>
      </c>
      <c r="J1864">
        <v>1325.1629639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1114.037319</v>
      </c>
      <c r="B1865" s="1">
        <f>DATE(2013,5,19) + TIME(0,53,44)</f>
        <v>41413.037314814814</v>
      </c>
      <c r="C1865">
        <v>80</v>
      </c>
      <c r="D1865">
        <v>79.977439880000006</v>
      </c>
      <c r="E1865">
        <v>50</v>
      </c>
      <c r="F1865">
        <v>49.041839600000003</v>
      </c>
      <c r="G1865">
        <v>1339.8355713000001</v>
      </c>
      <c r="H1865">
        <v>1337.2822266000001</v>
      </c>
      <c r="I1865">
        <v>1326.9139404</v>
      </c>
      <c r="J1865">
        <v>1325.1589355000001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1114.464915</v>
      </c>
      <c r="B1866" s="1">
        <f>DATE(2013,5,19) + TIME(11,9,28)</f>
        <v>41413.464907407404</v>
      </c>
      <c r="C1866">
        <v>80</v>
      </c>
      <c r="D1866">
        <v>79.977416992000002</v>
      </c>
      <c r="E1866">
        <v>50</v>
      </c>
      <c r="F1866">
        <v>49.024040221999996</v>
      </c>
      <c r="G1866">
        <v>1339.8291016000001</v>
      </c>
      <c r="H1866">
        <v>1337.2797852000001</v>
      </c>
      <c r="I1866">
        <v>1326.9108887</v>
      </c>
      <c r="J1866">
        <v>1325.1547852000001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1114.9003580000001</v>
      </c>
      <c r="B1867" s="1">
        <f>DATE(2013,5,19) + TIME(21,36,30)</f>
        <v>41413.900347222225</v>
      </c>
      <c r="C1867">
        <v>80</v>
      </c>
      <c r="D1867">
        <v>79.977386475000003</v>
      </c>
      <c r="E1867">
        <v>50</v>
      </c>
      <c r="F1867">
        <v>49.006042479999998</v>
      </c>
      <c r="G1867">
        <v>1339.8227539</v>
      </c>
      <c r="H1867">
        <v>1337.2774658000001</v>
      </c>
      <c r="I1867">
        <v>1326.9079589999999</v>
      </c>
      <c r="J1867">
        <v>1325.1503906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1115.340598</v>
      </c>
      <c r="B1868" s="1">
        <f>DATE(2013,5,20) + TIME(8,10,27)</f>
        <v>41414.340590277781</v>
      </c>
      <c r="C1868">
        <v>80</v>
      </c>
      <c r="D1868">
        <v>79.977355957</v>
      </c>
      <c r="E1868">
        <v>50</v>
      </c>
      <c r="F1868">
        <v>48.987934113000001</v>
      </c>
      <c r="G1868">
        <v>1339.8164062000001</v>
      </c>
      <c r="H1868">
        <v>1337.2750243999999</v>
      </c>
      <c r="I1868">
        <v>1326.9047852000001</v>
      </c>
      <c r="J1868">
        <v>1325.1459961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1115.7834989999999</v>
      </c>
      <c r="B1869" s="1">
        <f>DATE(2013,5,20) + TIME(18,48,14)</f>
        <v>41414.783495370371</v>
      </c>
      <c r="C1869">
        <v>80</v>
      </c>
      <c r="D1869">
        <v>79.977325438999998</v>
      </c>
      <c r="E1869">
        <v>50</v>
      </c>
      <c r="F1869">
        <v>48.969783782999997</v>
      </c>
      <c r="G1869">
        <v>1339.8100586</v>
      </c>
      <c r="H1869">
        <v>1337.2727050999999</v>
      </c>
      <c r="I1869">
        <v>1326.9016113</v>
      </c>
      <c r="J1869">
        <v>1325.1413574000001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1116.2303420000001</v>
      </c>
      <c r="B1870" s="1">
        <f>DATE(2013,5,21) + TIME(5,31,41)</f>
        <v>41415.23033564815</v>
      </c>
      <c r="C1870">
        <v>80</v>
      </c>
      <c r="D1870">
        <v>79.977302550999994</v>
      </c>
      <c r="E1870">
        <v>50</v>
      </c>
      <c r="F1870">
        <v>48.951576232999997</v>
      </c>
      <c r="G1870">
        <v>1339.8039550999999</v>
      </c>
      <c r="H1870">
        <v>1337.2705077999999</v>
      </c>
      <c r="I1870">
        <v>1326.8983154</v>
      </c>
      <c r="J1870">
        <v>1325.1367187999999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1116.682172</v>
      </c>
      <c r="B1871" s="1">
        <f>DATE(2013,5,21) + TIME(16,22,19)</f>
        <v>41415.682164351849</v>
      </c>
      <c r="C1871">
        <v>80</v>
      </c>
      <c r="D1871">
        <v>79.977272033999995</v>
      </c>
      <c r="E1871">
        <v>50</v>
      </c>
      <c r="F1871">
        <v>48.933292389000002</v>
      </c>
      <c r="G1871">
        <v>1339.7978516000001</v>
      </c>
      <c r="H1871">
        <v>1337.2683105000001</v>
      </c>
      <c r="I1871">
        <v>1326.8950195</v>
      </c>
      <c r="J1871">
        <v>1325.1319579999999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1117.140275</v>
      </c>
      <c r="B1872" s="1">
        <f>DATE(2013,5,22) + TIME(3,21,59)</f>
        <v>41416.140266203707</v>
      </c>
      <c r="C1872">
        <v>80</v>
      </c>
      <c r="D1872">
        <v>79.977241516000007</v>
      </c>
      <c r="E1872">
        <v>50</v>
      </c>
      <c r="F1872">
        <v>48.914894103999998</v>
      </c>
      <c r="G1872">
        <v>1339.7917480000001</v>
      </c>
      <c r="H1872">
        <v>1337.2661132999999</v>
      </c>
      <c r="I1872">
        <v>1326.8916016000001</v>
      </c>
      <c r="J1872">
        <v>1325.1270752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1117.60599</v>
      </c>
      <c r="B1873" s="1">
        <f>DATE(2013,5,22) + TIME(14,32,37)</f>
        <v>41416.605983796297</v>
      </c>
      <c r="C1873">
        <v>80</v>
      </c>
      <c r="D1873">
        <v>79.977218628000003</v>
      </c>
      <c r="E1873">
        <v>50</v>
      </c>
      <c r="F1873">
        <v>48.896350861000002</v>
      </c>
      <c r="G1873">
        <v>1339.7857666</v>
      </c>
      <c r="H1873">
        <v>1337.2639160000001</v>
      </c>
      <c r="I1873">
        <v>1326.8880615</v>
      </c>
      <c r="J1873">
        <v>1325.1220702999999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1118.080745</v>
      </c>
      <c r="B1874" s="1">
        <f>DATE(2013,5,23) + TIME(1,56,16)</f>
        <v>41417.080740740741</v>
      </c>
      <c r="C1874">
        <v>80</v>
      </c>
      <c r="D1874">
        <v>79.97718811</v>
      </c>
      <c r="E1874">
        <v>50</v>
      </c>
      <c r="F1874">
        <v>48.877613068000002</v>
      </c>
      <c r="G1874">
        <v>1339.7796631000001</v>
      </c>
      <c r="H1874">
        <v>1337.2617187999999</v>
      </c>
      <c r="I1874">
        <v>1326.8845214999999</v>
      </c>
      <c r="J1874">
        <v>1325.1168213000001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1118.566055</v>
      </c>
      <c r="B1875" s="1">
        <f>DATE(2013,5,23) + TIME(13,35,7)</f>
        <v>41417.566053240742</v>
      </c>
      <c r="C1875">
        <v>80</v>
      </c>
      <c r="D1875">
        <v>79.977157593000001</v>
      </c>
      <c r="E1875">
        <v>50</v>
      </c>
      <c r="F1875">
        <v>48.858638763000002</v>
      </c>
      <c r="G1875">
        <v>1339.7736815999999</v>
      </c>
      <c r="H1875">
        <v>1337.2596435999999</v>
      </c>
      <c r="I1875">
        <v>1326.8807373</v>
      </c>
      <c r="J1875">
        <v>1325.1115723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1119.0636750000001</v>
      </c>
      <c r="B1876" s="1">
        <f>DATE(2013,5,24) + TIME(1,31,41)</f>
        <v>41418.063668981478</v>
      </c>
      <c r="C1876">
        <v>80</v>
      </c>
      <c r="D1876">
        <v>79.977134704999997</v>
      </c>
      <c r="E1876">
        <v>50</v>
      </c>
      <c r="F1876">
        <v>48.839366912999999</v>
      </c>
      <c r="G1876">
        <v>1339.7677002</v>
      </c>
      <c r="H1876">
        <v>1337.2574463000001</v>
      </c>
      <c r="I1876">
        <v>1326.8769531</v>
      </c>
      <c r="J1876">
        <v>1325.105957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1119.578487</v>
      </c>
      <c r="B1877" s="1">
        <f>DATE(2013,5,24) + TIME(13,53,1)</f>
        <v>41418.578483796293</v>
      </c>
      <c r="C1877">
        <v>80</v>
      </c>
      <c r="D1877">
        <v>79.977104186999995</v>
      </c>
      <c r="E1877">
        <v>50</v>
      </c>
      <c r="F1877">
        <v>48.819675445999998</v>
      </c>
      <c r="G1877">
        <v>1339.7617187999999</v>
      </c>
      <c r="H1877">
        <v>1337.2553711</v>
      </c>
      <c r="I1877">
        <v>1326.8729248</v>
      </c>
      <c r="J1877">
        <v>1325.1003418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1120.1129530000001</v>
      </c>
      <c r="B1878" s="1">
        <f>DATE(2013,5,25) + TIME(2,42,39)</f>
        <v>41419.112951388888</v>
      </c>
      <c r="C1878">
        <v>80</v>
      </c>
      <c r="D1878">
        <v>79.977081299000005</v>
      </c>
      <c r="E1878">
        <v>50</v>
      </c>
      <c r="F1878">
        <v>48.799468994000001</v>
      </c>
      <c r="G1878">
        <v>1339.7554932</v>
      </c>
      <c r="H1878">
        <v>1337.2531738</v>
      </c>
      <c r="I1878">
        <v>1326.8688964999999</v>
      </c>
      <c r="J1878">
        <v>1325.0943603999999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1120.6700780000001</v>
      </c>
      <c r="B1879" s="1">
        <f>DATE(2013,5,25) + TIME(16,4,54)</f>
        <v>41419.670069444444</v>
      </c>
      <c r="C1879">
        <v>80</v>
      </c>
      <c r="D1879">
        <v>79.977050781000003</v>
      </c>
      <c r="E1879">
        <v>50</v>
      </c>
      <c r="F1879">
        <v>48.778663635000001</v>
      </c>
      <c r="G1879">
        <v>1339.7492675999999</v>
      </c>
      <c r="H1879">
        <v>1337.2510986</v>
      </c>
      <c r="I1879">
        <v>1326.8645019999999</v>
      </c>
      <c r="J1879">
        <v>1325.0880127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1121.2413799999999</v>
      </c>
      <c r="B1880" s="1">
        <f>DATE(2013,5,26) + TIME(5,47,35)</f>
        <v>41420.241377314815</v>
      </c>
      <c r="C1880">
        <v>80</v>
      </c>
      <c r="D1880">
        <v>79.977020264000004</v>
      </c>
      <c r="E1880">
        <v>50</v>
      </c>
      <c r="F1880">
        <v>48.757411957000002</v>
      </c>
      <c r="G1880">
        <v>1339.7429199000001</v>
      </c>
      <c r="H1880">
        <v>1337.2487793</v>
      </c>
      <c r="I1880">
        <v>1326.8599853999999</v>
      </c>
      <c r="J1880">
        <v>1325.0814209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1121.534026</v>
      </c>
      <c r="B1881" s="1">
        <f>DATE(2013,5,26) + TIME(12,48,59)</f>
        <v>41420.534016203703</v>
      </c>
      <c r="C1881">
        <v>80</v>
      </c>
      <c r="D1881">
        <v>79.976997374999996</v>
      </c>
      <c r="E1881">
        <v>50</v>
      </c>
      <c r="F1881">
        <v>48.743877411</v>
      </c>
      <c r="G1881">
        <v>1339.7369385</v>
      </c>
      <c r="H1881">
        <v>1337.2469481999999</v>
      </c>
      <c r="I1881">
        <v>1326.8555908000001</v>
      </c>
      <c r="J1881">
        <v>1325.0753173999999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1121.8266719999999</v>
      </c>
      <c r="B1882" s="1">
        <f>DATE(2013,5,26) + TIME(19,50,24)</f>
        <v>41420.826666666668</v>
      </c>
      <c r="C1882">
        <v>80</v>
      </c>
      <c r="D1882">
        <v>79.976974487000007</v>
      </c>
      <c r="E1882">
        <v>50</v>
      </c>
      <c r="F1882">
        <v>48.730998993</v>
      </c>
      <c r="G1882">
        <v>1339.7335204999999</v>
      </c>
      <c r="H1882">
        <v>1337.2456055</v>
      </c>
      <c r="I1882">
        <v>1326.8529053</v>
      </c>
      <c r="J1882">
        <v>1325.0714111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1122.119318</v>
      </c>
      <c r="B1883" s="1">
        <f>DATE(2013,5,27) + TIME(2,51,49)</f>
        <v>41421.119317129633</v>
      </c>
      <c r="C1883">
        <v>80</v>
      </c>
      <c r="D1883">
        <v>79.976959229000002</v>
      </c>
      <c r="E1883">
        <v>50</v>
      </c>
      <c r="F1883">
        <v>48.718616486000002</v>
      </c>
      <c r="G1883">
        <v>1339.7302245999999</v>
      </c>
      <c r="H1883">
        <v>1337.2445068</v>
      </c>
      <c r="I1883">
        <v>1326.8502197</v>
      </c>
      <c r="J1883">
        <v>1325.0675048999999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1122.4119639999999</v>
      </c>
      <c r="B1884" s="1">
        <f>DATE(2013,5,27) + TIME(9,53,13)</f>
        <v>41421.411956018521</v>
      </c>
      <c r="C1884">
        <v>80</v>
      </c>
      <c r="D1884">
        <v>79.976943969999994</v>
      </c>
      <c r="E1884">
        <v>50</v>
      </c>
      <c r="F1884">
        <v>48.706619263</v>
      </c>
      <c r="G1884">
        <v>1339.7270507999999</v>
      </c>
      <c r="H1884">
        <v>1337.2432861</v>
      </c>
      <c r="I1884">
        <v>1326.8476562000001</v>
      </c>
      <c r="J1884">
        <v>1325.0637207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1122.70461</v>
      </c>
      <c r="B1885" s="1">
        <f>DATE(2013,5,27) + TIME(16,54,38)</f>
        <v>41421.704606481479</v>
      </c>
      <c r="C1885">
        <v>80</v>
      </c>
      <c r="D1885">
        <v>79.976928710999999</v>
      </c>
      <c r="E1885">
        <v>50</v>
      </c>
      <c r="F1885">
        <v>48.694923400999997</v>
      </c>
      <c r="G1885">
        <v>1339.723999</v>
      </c>
      <c r="H1885">
        <v>1337.2421875</v>
      </c>
      <c r="I1885">
        <v>1326.8450928</v>
      </c>
      <c r="J1885">
        <v>1325.0599365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1122.997255</v>
      </c>
      <c r="B1886" s="1">
        <f>DATE(2013,5,27) + TIME(23,56,2)</f>
        <v>41421.997245370374</v>
      </c>
      <c r="C1886">
        <v>80</v>
      </c>
      <c r="D1886">
        <v>79.976913452000005</v>
      </c>
      <c r="E1886">
        <v>50</v>
      </c>
      <c r="F1886">
        <v>48.683460236000002</v>
      </c>
      <c r="G1886">
        <v>1339.7208252</v>
      </c>
      <c r="H1886">
        <v>1337.2410889</v>
      </c>
      <c r="I1886">
        <v>1326.8425293</v>
      </c>
      <c r="J1886">
        <v>1325.0561522999999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1123.582547</v>
      </c>
      <c r="B1887" s="1">
        <f>DATE(2013,5,28) + TIME(13,58,52)</f>
        <v>41422.582546296297</v>
      </c>
      <c r="C1887">
        <v>80</v>
      </c>
      <c r="D1887">
        <v>79.976898192999997</v>
      </c>
      <c r="E1887">
        <v>50</v>
      </c>
      <c r="F1887">
        <v>48.665424346999998</v>
      </c>
      <c r="G1887">
        <v>1339.7172852000001</v>
      </c>
      <c r="H1887">
        <v>1337.2397461</v>
      </c>
      <c r="I1887">
        <v>1326.8395995999999</v>
      </c>
      <c r="J1887">
        <v>1325.0517577999999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1124.169435</v>
      </c>
      <c r="B1888" s="1">
        <f>DATE(2013,5,29) + TIME(4,3,59)</f>
        <v>41423.169432870367</v>
      </c>
      <c r="C1888">
        <v>80</v>
      </c>
      <c r="D1888">
        <v>79.976875304999993</v>
      </c>
      <c r="E1888">
        <v>50</v>
      </c>
      <c r="F1888">
        <v>48.646041869999998</v>
      </c>
      <c r="G1888">
        <v>1339.7111815999999</v>
      </c>
      <c r="H1888">
        <v>1337.2375488</v>
      </c>
      <c r="I1888">
        <v>1326.8347168</v>
      </c>
      <c r="J1888">
        <v>1325.0447998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1124.7621650000001</v>
      </c>
      <c r="B1889" s="1">
        <f>DATE(2013,5,29) + TIME(18,17,31)</f>
        <v>41423.762164351851</v>
      </c>
      <c r="C1889">
        <v>80</v>
      </c>
      <c r="D1889">
        <v>79.976844787999994</v>
      </c>
      <c r="E1889">
        <v>50</v>
      </c>
      <c r="F1889">
        <v>48.625808716000002</v>
      </c>
      <c r="G1889">
        <v>1339.7049560999999</v>
      </c>
      <c r="H1889">
        <v>1337.2353516000001</v>
      </c>
      <c r="I1889">
        <v>1326.8298339999999</v>
      </c>
      <c r="J1889">
        <v>1325.0375977000001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1125.362609</v>
      </c>
      <c r="B1890" s="1">
        <f>DATE(2013,5,30) + TIME(8,42,9)</f>
        <v>41424.362604166665</v>
      </c>
      <c r="C1890">
        <v>80</v>
      </c>
      <c r="D1890">
        <v>79.976821899000001</v>
      </c>
      <c r="E1890">
        <v>50</v>
      </c>
      <c r="F1890">
        <v>48.605003357000001</v>
      </c>
      <c r="G1890">
        <v>1339.6987305</v>
      </c>
      <c r="H1890">
        <v>1337.2331543</v>
      </c>
      <c r="I1890">
        <v>1326.8245850000001</v>
      </c>
      <c r="J1890">
        <v>1325.0301514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1125.9726330000001</v>
      </c>
      <c r="B1891" s="1">
        <f>DATE(2013,5,30) + TIME(23,20,35)</f>
        <v>41424.972627314812</v>
      </c>
      <c r="C1891">
        <v>80</v>
      </c>
      <c r="D1891">
        <v>79.976791382000002</v>
      </c>
      <c r="E1891">
        <v>50</v>
      </c>
      <c r="F1891">
        <v>48.583774566999999</v>
      </c>
      <c r="G1891">
        <v>1339.6926269999999</v>
      </c>
      <c r="H1891">
        <v>1337.230957</v>
      </c>
      <c r="I1891">
        <v>1326.8193358999999</v>
      </c>
      <c r="J1891">
        <v>1325.0223389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1126.5942030000001</v>
      </c>
      <c r="B1892" s="1">
        <f>DATE(2013,5,31) + TIME(14,15,39)</f>
        <v>41425.594201388885</v>
      </c>
      <c r="C1892">
        <v>80</v>
      </c>
      <c r="D1892">
        <v>79.976768493999998</v>
      </c>
      <c r="E1892">
        <v>50</v>
      </c>
      <c r="F1892">
        <v>48.562187195</v>
      </c>
      <c r="G1892">
        <v>1339.6865233999999</v>
      </c>
      <c r="H1892">
        <v>1337.2288818</v>
      </c>
      <c r="I1892">
        <v>1326.8138428</v>
      </c>
      <c r="J1892">
        <v>1325.0144043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1127</v>
      </c>
      <c r="B1893" s="1">
        <f>DATE(2013,6,1) + TIME(0,0,0)</f>
        <v>41426</v>
      </c>
      <c r="C1893">
        <v>80</v>
      </c>
      <c r="D1893">
        <v>79.976737975999995</v>
      </c>
      <c r="E1893">
        <v>50</v>
      </c>
      <c r="F1893">
        <v>48.545654296999999</v>
      </c>
      <c r="G1893">
        <v>1339.6806641000001</v>
      </c>
      <c r="H1893">
        <v>1337.2269286999999</v>
      </c>
      <c r="I1893">
        <v>1326.8084716999999</v>
      </c>
      <c r="J1893">
        <v>1325.0067139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1127.6352400000001</v>
      </c>
      <c r="B1894" s="1">
        <f>DATE(2013,6,1) + TIME(15,14,44)</f>
        <v>41426.635231481479</v>
      </c>
      <c r="C1894">
        <v>80</v>
      </c>
      <c r="D1894">
        <v>79.976722717000001</v>
      </c>
      <c r="E1894">
        <v>50</v>
      </c>
      <c r="F1894">
        <v>48.524745940999999</v>
      </c>
      <c r="G1894">
        <v>1339.6763916</v>
      </c>
      <c r="H1894">
        <v>1337.2252197</v>
      </c>
      <c r="I1894">
        <v>1326.8043213000001</v>
      </c>
      <c r="J1894">
        <v>1325.0003661999999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1128.29944</v>
      </c>
      <c r="B1895" s="1">
        <f>DATE(2013,6,2) + TIME(7,11,11)</f>
        <v>41427.299432870372</v>
      </c>
      <c r="C1895">
        <v>80</v>
      </c>
      <c r="D1895">
        <v>79.976692200000002</v>
      </c>
      <c r="E1895">
        <v>50</v>
      </c>
      <c r="F1895">
        <v>48.502845764</v>
      </c>
      <c r="G1895">
        <v>1339.6705322</v>
      </c>
      <c r="H1895">
        <v>1337.2231445</v>
      </c>
      <c r="I1895">
        <v>1326.7984618999999</v>
      </c>
      <c r="J1895">
        <v>1324.9919434000001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1128.977296</v>
      </c>
      <c r="B1896" s="1">
        <f>DATE(2013,6,2) + TIME(23,27,18)</f>
        <v>41427.97729166667</v>
      </c>
      <c r="C1896">
        <v>80</v>
      </c>
      <c r="D1896">
        <v>79.976669311999999</v>
      </c>
      <c r="E1896">
        <v>50</v>
      </c>
      <c r="F1896">
        <v>48.480319977000001</v>
      </c>
      <c r="G1896">
        <v>1339.6644286999999</v>
      </c>
      <c r="H1896">
        <v>1337.2210693</v>
      </c>
      <c r="I1896">
        <v>1326.7924805</v>
      </c>
      <c r="J1896">
        <v>1324.9830322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1129.6716469999999</v>
      </c>
      <c r="B1897" s="1">
        <f>DATE(2013,6,3) + TIME(16,7,10)</f>
        <v>41428.671643518515</v>
      </c>
      <c r="C1897">
        <v>80</v>
      </c>
      <c r="D1897">
        <v>79.976638793999996</v>
      </c>
      <c r="E1897">
        <v>50</v>
      </c>
      <c r="F1897">
        <v>48.457263947000001</v>
      </c>
      <c r="G1897">
        <v>1339.6582031</v>
      </c>
      <c r="H1897">
        <v>1337.2188721</v>
      </c>
      <c r="I1897">
        <v>1326.7861327999999</v>
      </c>
      <c r="J1897">
        <v>1324.9737548999999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1130.3906019999999</v>
      </c>
      <c r="B1898" s="1">
        <f>DATE(2013,6,4) + TIME(9,22,27)</f>
        <v>41429.390590277777</v>
      </c>
      <c r="C1898">
        <v>80</v>
      </c>
      <c r="D1898">
        <v>79.976615906000006</v>
      </c>
      <c r="E1898">
        <v>50</v>
      </c>
      <c r="F1898">
        <v>48.433612822999997</v>
      </c>
      <c r="G1898">
        <v>1339.6520995999999</v>
      </c>
      <c r="H1898">
        <v>1337.2166748</v>
      </c>
      <c r="I1898">
        <v>1326.7796631000001</v>
      </c>
      <c r="J1898">
        <v>1324.9642334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1131.1306</v>
      </c>
      <c r="B1899" s="1">
        <f>DATE(2013,6,5) + TIME(3,8,3)</f>
        <v>41430.130590277775</v>
      </c>
      <c r="C1899">
        <v>80</v>
      </c>
      <c r="D1899">
        <v>79.976585388000004</v>
      </c>
      <c r="E1899">
        <v>50</v>
      </c>
      <c r="F1899">
        <v>48.409427643000001</v>
      </c>
      <c r="G1899">
        <v>1339.645874</v>
      </c>
      <c r="H1899">
        <v>1337.2145995999999</v>
      </c>
      <c r="I1899">
        <v>1326.7728271000001</v>
      </c>
      <c r="J1899">
        <v>1324.9541016000001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1131.8869319999999</v>
      </c>
      <c r="B1900" s="1">
        <f>DATE(2013,6,5) + TIME(21,17,10)</f>
        <v>41430.886921296296</v>
      </c>
      <c r="C1900">
        <v>80</v>
      </c>
      <c r="D1900">
        <v>79.9765625</v>
      </c>
      <c r="E1900">
        <v>50</v>
      </c>
      <c r="F1900">
        <v>48.384822845000002</v>
      </c>
      <c r="G1900">
        <v>1339.6396483999999</v>
      </c>
      <c r="H1900">
        <v>1337.2124022999999</v>
      </c>
      <c r="I1900">
        <v>1326.7657471</v>
      </c>
      <c r="J1900">
        <v>1324.9437256000001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1132.6591679999999</v>
      </c>
      <c r="B1901" s="1">
        <f>DATE(2013,6,6) + TIME(15,49,12)</f>
        <v>41431.659166666665</v>
      </c>
      <c r="C1901">
        <v>80</v>
      </c>
      <c r="D1901">
        <v>79.976531981999997</v>
      </c>
      <c r="E1901">
        <v>50</v>
      </c>
      <c r="F1901">
        <v>48.359859467</v>
      </c>
      <c r="G1901">
        <v>1339.6333007999999</v>
      </c>
      <c r="H1901">
        <v>1337.2102050999999</v>
      </c>
      <c r="I1901">
        <v>1326.7584228999999</v>
      </c>
      <c r="J1901">
        <v>1324.9329834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1133.433579</v>
      </c>
      <c r="B1902" s="1">
        <f>DATE(2013,6,7) + TIME(10,24,21)</f>
        <v>41432.433576388888</v>
      </c>
      <c r="C1902">
        <v>80</v>
      </c>
      <c r="D1902">
        <v>79.976509093999994</v>
      </c>
      <c r="E1902">
        <v>50</v>
      </c>
      <c r="F1902">
        <v>48.334804535000004</v>
      </c>
      <c r="G1902">
        <v>1339.6270752</v>
      </c>
      <c r="H1902">
        <v>1337.2080077999999</v>
      </c>
      <c r="I1902">
        <v>1326.7509766000001</v>
      </c>
      <c r="J1902">
        <v>1324.9219971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1134.2121079999999</v>
      </c>
      <c r="B1903" s="1">
        <f>DATE(2013,6,8) + TIME(5,5,26)</f>
        <v>41433.212106481478</v>
      </c>
      <c r="C1903">
        <v>80</v>
      </c>
      <c r="D1903">
        <v>79.976478576999995</v>
      </c>
      <c r="E1903">
        <v>50</v>
      </c>
      <c r="F1903">
        <v>48.309753418</v>
      </c>
      <c r="G1903">
        <v>1339.6208495999999</v>
      </c>
      <c r="H1903">
        <v>1337.2059326000001</v>
      </c>
      <c r="I1903">
        <v>1326.7434082</v>
      </c>
      <c r="J1903">
        <v>1324.9107666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1134.9937870000001</v>
      </c>
      <c r="B1904" s="1">
        <f>DATE(2013,6,8) + TIME(23,51,3)</f>
        <v>41433.993784722225</v>
      </c>
      <c r="C1904">
        <v>80</v>
      </c>
      <c r="D1904">
        <v>79.976455688000001</v>
      </c>
      <c r="E1904">
        <v>50</v>
      </c>
      <c r="F1904">
        <v>48.284770966000004</v>
      </c>
      <c r="G1904">
        <v>1339.6148682</v>
      </c>
      <c r="H1904">
        <v>1337.2038574000001</v>
      </c>
      <c r="I1904">
        <v>1326.7357178</v>
      </c>
      <c r="J1904">
        <v>1324.8992920000001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1135.7817219999999</v>
      </c>
      <c r="B1905" s="1">
        <f>DATE(2013,6,9) + TIME(18,45,40)</f>
        <v>41434.781712962962</v>
      </c>
      <c r="C1905">
        <v>80</v>
      </c>
      <c r="D1905">
        <v>79.976425171000002</v>
      </c>
      <c r="E1905">
        <v>50</v>
      </c>
      <c r="F1905">
        <v>48.259838104000004</v>
      </c>
      <c r="G1905">
        <v>1339.6088867000001</v>
      </c>
      <c r="H1905">
        <v>1337.2017822</v>
      </c>
      <c r="I1905">
        <v>1326.7279053</v>
      </c>
      <c r="J1905">
        <v>1324.8878173999999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1136.5789749999999</v>
      </c>
      <c r="B1906" s="1">
        <f>DATE(2013,6,10) + TIME(13,53,43)</f>
        <v>41435.578969907408</v>
      </c>
      <c r="C1906">
        <v>80</v>
      </c>
      <c r="D1906">
        <v>79.976402282999999</v>
      </c>
      <c r="E1906">
        <v>50</v>
      </c>
      <c r="F1906">
        <v>48.234905243</v>
      </c>
      <c r="G1906">
        <v>1339.6030272999999</v>
      </c>
      <c r="H1906">
        <v>1337.199707</v>
      </c>
      <c r="I1906">
        <v>1326.7199707</v>
      </c>
      <c r="J1906">
        <v>1324.8760986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1137.3880569999999</v>
      </c>
      <c r="B1907" s="1">
        <f>DATE(2013,6,11) + TIME(9,18,48)</f>
        <v>41436.388055555559</v>
      </c>
      <c r="C1907">
        <v>80</v>
      </c>
      <c r="D1907">
        <v>79.976379394999995</v>
      </c>
      <c r="E1907">
        <v>50</v>
      </c>
      <c r="F1907">
        <v>48.209907532000003</v>
      </c>
      <c r="G1907">
        <v>1339.597168</v>
      </c>
      <c r="H1907">
        <v>1337.1976318</v>
      </c>
      <c r="I1907">
        <v>1326.7119141000001</v>
      </c>
      <c r="J1907">
        <v>1324.8641356999999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1138.211933</v>
      </c>
      <c r="B1908" s="1">
        <f>DATE(2013,6,12) + TIME(5,5,11)</f>
        <v>41437.21193287037</v>
      </c>
      <c r="C1908">
        <v>80</v>
      </c>
      <c r="D1908">
        <v>79.976356506000002</v>
      </c>
      <c r="E1908">
        <v>50</v>
      </c>
      <c r="F1908">
        <v>48.184780121000003</v>
      </c>
      <c r="G1908">
        <v>1339.5913086</v>
      </c>
      <c r="H1908">
        <v>1337.1956786999999</v>
      </c>
      <c r="I1908">
        <v>1326.7037353999999</v>
      </c>
      <c r="J1908">
        <v>1324.8519286999999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1139.05376</v>
      </c>
      <c r="B1909" s="1">
        <f>DATE(2013,6,13) + TIME(1,17,24)</f>
        <v>41438.053749999999</v>
      </c>
      <c r="C1909">
        <v>80</v>
      </c>
      <c r="D1909">
        <v>79.976333617999998</v>
      </c>
      <c r="E1909">
        <v>50</v>
      </c>
      <c r="F1909">
        <v>48.159442902000002</v>
      </c>
      <c r="G1909">
        <v>1339.5854492000001</v>
      </c>
      <c r="H1909">
        <v>1337.1936035000001</v>
      </c>
      <c r="I1909">
        <v>1326.6953125</v>
      </c>
      <c r="J1909">
        <v>1324.8393555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1139.9220740000001</v>
      </c>
      <c r="B1910" s="1">
        <f>DATE(2013,6,13) + TIME(22,7,47)</f>
        <v>41438.922071759262</v>
      </c>
      <c r="C1910">
        <v>80</v>
      </c>
      <c r="D1910">
        <v>79.976310729999994</v>
      </c>
      <c r="E1910">
        <v>50</v>
      </c>
      <c r="F1910">
        <v>48.133739470999998</v>
      </c>
      <c r="G1910">
        <v>1339.5797118999999</v>
      </c>
      <c r="H1910">
        <v>1337.1916504000001</v>
      </c>
      <c r="I1910">
        <v>1326.6867675999999</v>
      </c>
      <c r="J1910">
        <v>1324.8265381000001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1140.8239920000001</v>
      </c>
      <c r="B1911" s="1">
        <f>DATE(2013,6,14) + TIME(19,46,32)</f>
        <v>41439.823981481481</v>
      </c>
      <c r="C1911">
        <v>80</v>
      </c>
      <c r="D1911">
        <v>79.976280212000006</v>
      </c>
      <c r="E1911">
        <v>50</v>
      </c>
      <c r="F1911">
        <v>48.107509612999998</v>
      </c>
      <c r="G1911">
        <v>1339.5737305</v>
      </c>
      <c r="H1911">
        <v>1337.1895752</v>
      </c>
      <c r="I1911">
        <v>1326.6778564000001</v>
      </c>
      <c r="J1911">
        <v>1324.8131103999999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1141.7482319999999</v>
      </c>
      <c r="B1912" s="1">
        <f>DATE(2013,6,15) + TIME(17,57,27)</f>
        <v>41440.748229166667</v>
      </c>
      <c r="C1912">
        <v>80</v>
      </c>
      <c r="D1912">
        <v>79.976257324000002</v>
      </c>
      <c r="E1912">
        <v>50</v>
      </c>
      <c r="F1912">
        <v>48.080825806</v>
      </c>
      <c r="G1912">
        <v>1339.567749</v>
      </c>
      <c r="H1912">
        <v>1337.1875</v>
      </c>
      <c r="I1912">
        <v>1326.6685791</v>
      </c>
      <c r="J1912">
        <v>1324.7993164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1142.691448</v>
      </c>
      <c r="B1913" s="1">
        <f>DATE(2013,6,16) + TIME(16,35,41)</f>
        <v>41441.691446759258</v>
      </c>
      <c r="C1913">
        <v>80</v>
      </c>
      <c r="D1913">
        <v>79.976234435999999</v>
      </c>
      <c r="E1913">
        <v>50</v>
      </c>
      <c r="F1913">
        <v>48.053794861</v>
      </c>
      <c r="G1913">
        <v>1339.5617675999999</v>
      </c>
      <c r="H1913">
        <v>1337.1854248</v>
      </c>
      <c r="I1913">
        <v>1326.6590576000001</v>
      </c>
      <c r="J1913">
        <v>1324.7850341999999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1143.6570240000001</v>
      </c>
      <c r="B1914" s="1">
        <f>DATE(2013,6,17) + TIME(15,46,6)</f>
        <v>41442.657013888886</v>
      </c>
      <c r="C1914">
        <v>80</v>
      </c>
      <c r="D1914">
        <v>79.976211547999995</v>
      </c>
      <c r="E1914">
        <v>50</v>
      </c>
      <c r="F1914">
        <v>48.026447296000001</v>
      </c>
      <c r="G1914">
        <v>1339.5557861</v>
      </c>
      <c r="H1914">
        <v>1337.1832274999999</v>
      </c>
      <c r="I1914">
        <v>1326.6491699000001</v>
      </c>
      <c r="J1914">
        <v>1324.7702637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1144.637911</v>
      </c>
      <c r="B1915" s="1">
        <f>DATE(2013,6,18) + TIME(15,18,35)</f>
        <v>41443.63790509259</v>
      </c>
      <c r="C1915">
        <v>80</v>
      </c>
      <c r="D1915">
        <v>79.976188660000005</v>
      </c>
      <c r="E1915">
        <v>50</v>
      </c>
      <c r="F1915">
        <v>47.998886108000001</v>
      </c>
      <c r="G1915">
        <v>1339.5496826000001</v>
      </c>
      <c r="H1915">
        <v>1337.1811522999999</v>
      </c>
      <c r="I1915">
        <v>1326.6391602000001</v>
      </c>
      <c r="J1915">
        <v>1324.7551269999999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1145.620066</v>
      </c>
      <c r="B1916" s="1">
        <f>DATE(2013,6,19) + TIME(14,52,53)</f>
        <v>41444.620057870372</v>
      </c>
      <c r="C1916">
        <v>80</v>
      </c>
      <c r="D1916">
        <v>79.976165770999998</v>
      </c>
      <c r="E1916">
        <v>50</v>
      </c>
      <c r="F1916">
        <v>47.971366881999998</v>
      </c>
      <c r="G1916">
        <v>1339.5437012</v>
      </c>
      <c r="H1916">
        <v>1337.1789550999999</v>
      </c>
      <c r="I1916">
        <v>1326.6289062000001</v>
      </c>
      <c r="J1916">
        <v>1324.7397461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1146.607536</v>
      </c>
      <c r="B1917" s="1">
        <f>DATE(2013,6,20) + TIME(14,34,51)</f>
        <v>41445.607534722221</v>
      </c>
      <c r="C1917">
        <v>80</v>
      </c>
      <c r="D1917">
        <v>79.976142882999994</v>
      </c>
      <c r="E1917">
        <v>50</v>
      </c>
      <c r="F1917">
        <v>47.944000244000001</v>
      </c>
      <c r="G1917">
        <v>1339.5377197</v>
      </c>
      <c r="H1917">
        <v>1337.1768798999999</v>
      </c>
      <c r="I1917">
        <v>1326.6185303</v>
      </c>
      <c r="J1917">
        <v>1324.7241211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1147.604378</v>
      </c>
      <c r="B1918" s="1">
        <f>DATE(2013,6,21) + TIME(14,30,18)</f>
        <v>41446.604375000003</v>
      </c>
      <c r="C1918">
        <v>80</v>
      </c>
      <c r="D1918">
        <v>79.976119995000005</v>
      </c>
      <c r="E1918">
        <v>50</v>
      </c>
      <c r="F1918">
        <v>47.916770935000002</v>
      </c>
      <c r="G1918">
        <v>1339.5319824000001</v>
      </c>
      <c r="H1918">
        <v>1337.1748047000001</v>
      </c>
      <c r="I1918">
        <v>1326.6081543</v>
      </c>
      <c r="J1918">
        <v>1324.7082519999999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1148.6151620000001</v>
      </c>
      <c r="B1919" s="1">
        <f>DATE(2013,6,22) + TIME(14,45,49)</f>
        <v>41447.61515046296</v>
      </c>
      <c r="C1919">
        <v>80</v>
      </c>
      <c r="D1919">
        <v>79.976104735999996</v>
      </c>
      <c r="E1919">
        <v>50</v>
      </c>
      <c r="F1919">
        <v>47.889625549000002</v>
      </c>
      <c r="G1919">
        <v>1339.5261230000001</v>
      </c>
      <c r="H1919">
        <v>1337.1727295000001</v>
      </c>
      <c r="I1919">
        <v>1326.5975341999999</v>
      </c>
      <c r="J1919">
        <v>1324.6922606999999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1149.643804</v>
      </c>
      <c r="B1920" s="1">
        <f>DATE(2013,6,23) + TIME(15,27,4)</f>
        <v>41448.643796296295</v>
      </c>
      <c r="C1920">
        <v>80</v>
      </c>
      <c r="D1920">
        <v>79.976081848000007</v>
      </c>
      <c r="E1920">
        <v>50</v>
      </c>
      <c r="F1920">
        <v>47.862495422000002</v>
      </c>
      <c r="G1920">
        <v>1339.5203856999999</v>
      </c>
      <c r="H1920">
        <v>1337.1706543</v>
      </c>
      <c r="I1920">
        <v>1326.5867920000001</v>
      </c>
      <c r="J1920">
        <v>1324.6760254000001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1150.694786</v>
      </c>
      <c r="B1921" s="1">
        <f>DATE(2013,6,24) + TIME(16,40,29)</f>
        <v>41449.694780092592</v>
      </c>
      <c r="C1921">
        <v>80</v>
      </c>
      <c r="D1921">
        <v>79.976058960000003</v>
      </c>
      <c r="E1921">
        <v>50</v>
      </c>
      <c r="F1921">
        <v>47.835304260000001</v>
      </c>
      <c r="G1921">
        <v>1339.5146483999999</v>
      </c>
      <c r="H1921">
        <v>1337.1685791</v>
      </c>
      <c r="I1921">
        <v>1326.5758057</v>
      </c>
      <c r="J1921">
        <v>1324.6593018000001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1151.783152</v>
      </c>
      <c r="B1922" s="1">
        <f>DATE(2013,6,25) + TIME(18,47,44)</f>
        <v>41450.783148148148</v>
      </c>
      <c r="C1922">
        <v>80</v>
      </c>
      <c r="D1922">
        <v>79.976043700999995</v>
      </c>
      <c r="E1922">
        <v>50</v>
      </c>
      <c r="F1922">
        <v>47.807857513000002</v>
      </c>
      <c r="G1922">
        <v>1339.5089111</v>
      </c>
      <c r="H1922">
        <v>1337.1665039</v>
      </c>
      <c r="I1922">
        <v>1326.5646973</v>
      </c>
      <c r="J1922">
        <v>1324.6423339999999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1152.9028760000001</v>
      </c>
      <c r="B1923" s="1">
        <f>DATE(2013,6,26) + TIME(21,40,8)</f>
        <v>41451.902870370373</v>
      </c>
      <c r="C1923">
        <v>80</v>
      </c>
      <c r="D1923">
        <v>79.976020813000005</v>
      </c>
      <c r="E1923">
        <v>50</v>
      </c>
      <c r="F1923">
        <v>47.780128478999998</v>
      </c>
      <c r="G1923">
        <v>1339.5030518000001</v>
      </c>
      <c r="H1923">
        <v>1337.1644286999999</v>
      </c>
      <c r="I1923">
        <v>1326.5531006000001</v>
      </c>
      <c r="J1923">
        <v>1324.6247559000001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1154.042886</v>
      </c>
      <c r="B1924" s="1">
        <f>DATE(2013,6,28) + TIME(1,1,45)</f>
        <v>41453.042881944442</v>
      </c>
      <c r="C1924">
        <v>80</v>
      </c>
      <c r="D1924">
        <v>79.975997925000001</v>
      </c>
      <c r="E1924">
        <v>50</v>
      </c>
      <c r="F1924">
        <v>47.75226593</v>
      </c>
      <c r="G1924">
        <v>1339.4971923999999</v>
      </c>
      <c r="H1924">
        <v>1337.1622314000001</v>
      </c>
      <c r="I1924">
        <v>1326.5412598</v>
      </c>
      <c r="J1924">
        <v>1324.6065673999999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1155.2078349999999</v>
      </c>
      <c r="B1925" s="1">
        <f>DATE(2013,6,29) + TIME(4,59,16)</f>
        <v>41454.207824074074</v>
      </c>
      <c r="C1925">
        <v>80</v>
      </c>
      <c r="D1925">
        <v>79.975982665999993</v>
      </c>
      <c r="E1925">
        <v>50</v>
      </c>
      <c r="F1925">
        <v>47.724369049000003</v>
      </c>
      <c r="G1925">
        <v>1339.4912108999999</v>
      </c>
      <c r="H1925">
        <v>1337.1600341999999</v>
      </c>
      <c r="I1925">
        <v>1326.5291748</v>
      </c>
      <c r="J1925">
        <v>1324.5880127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1156.4109370000001</v>
      </c>
      <c r="B1926" s="1">
        <f>DATE(2013,6,30) + TIME(9,51,44)</f>
        <v>41455.410925925928</v>
      </c>
      <c r="C1926">
        <v>80</v>
      </c>
      <c r="D1926">
        <v>79.975959778000004</v>
      </c>
      <c r="E1926">
        <v>50</v>
      </c>
      <c r="F1926">
        <v>47.696376801</v>
      </c>
      <c r="G1926">
        <v>1339.4853516000001</v>
      </c>
      <c r="H1926">
        <v>1337.1578368999999</v>
      </c>
      <c r="I1926">
        <v>1326.5167236</v>
      </c>
      <c r="J1926">
        <v>1324.5689697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1157</v>
      </c>
      <c r="B1927" s="1">
        <f>DATE(2013,7,1) + TIME(0,0,0)</f>
        <v>41456</v>
      </c>
      <c r="C1927">
        <v>80</v>
      </c>
      <c r="D1927">
        <v>79.975944518999995</v>
      </c>
      <c r="E1927">
        <v>50</v>
      </c>
      <c r="F1927">
        <v>47.676841736</v>
      </c>
      <c r="G1927">
        <v>1339.4798584</v>
      </c>
      <c r="H1927">
        <v>1337.1560059000001</v>
      </c>
      <c r="I1927">
        <v>1326.5051269999999</v>
      </c>
      <c r="J1927">
        <v>1324.5510254000001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1158.2483689999999</v>
      </c>
      <c r="B1928" s="1">
        <f>DATE(2013,7,2) + TIME(5,57,39)</f>
        <v>41457.248368055552</v>
      </c>
      <c r="C1928">
        <v>80</v>
      </c>
      <c r="D1928">
        <v>79.975929260000001</v>
      </c>
      <c r="E1928">
        <v>50</v>
      </c>
      <c r="F1928">
        <v>47.652519226000003</v>
      </c>
      <c r="G1928">
        <v>1339.4761963000001</v>
      </c>
      <c r="H1928">
        <v>1337.1542969</v>
      </c>
      <c r="I1928">
        <v>1326.4967041</v>
      </c>
      <c r="J1928">
        <v>1324.5378418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1159.5021039999999</v>
      </c>
      <c r="B1929" s="1">
        <f>DATE(2013,7,3) + TIME(12,3,1)</f>
        <v>41458.50209490741</v>
      </c>
      <c r="C1929">
        <v>80</v>
      </c>
      <c r="D1929">
        <v>79.975914001000007</v>
      </c>
      <c r="E1929">
        <v>50</v>
      </c>
      <c r="F1929">
        <v>47.626285553000002</v>
      </c>
      <c r="G1929">
        <v>1339.4703368999999</v>
      </c>
      <c r="H1929">
        <v>1337.1522216999999</v>
      </c>
      <c r="I1929">
        <v>1326.4842529</v>
      </c>
      <c r="J1929">
        <v>1324.5185547000001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1160.766335</v>
      </c>
      <c r="B1930" s="1">
        <f>DATE(2013,7,4) + TIME(18,23,31)</f>
        <v>41459.766331018516</v>
      </c>
      <c r="C1930">
        <v>80</v>
      </c>
      <c r="D1930">
        <v>79.975898743000002</v>
      </c>
      <c r="E1930">
        <v>50</v>
      </c>
      <c r="F1930">
        <v>47.599742888999998</v>
      </c>
      <c r="G1930">
        <v>1339.4644774999999</v>
      </c>
      <c r="H1930">
        <v>1337.1499022999999</v>
      </c>
      <c r="I1930">
        <v>1326.4711914</v>
      </c>
      <c r="J1930">
        <v>1324.4984131000001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1162.047268</v>
      </c>
      <c r="B1931" s="1">
        <f>DATE(2013,7,6) + TIME(1,8,3)</f>
        <v>41461.047256944446</v>
      </c>
      <c r="C1931">
        <v>80</v>
      </c>
      <c r="D1931">
        <v>79.975883483999993</v>
      </c>
      <c r="E1931">
        <v>50</v>
      </c>
      <c r="F1931">
        <v>47.573513030999997</v>
      </c>
      <c r="G1931">
        <v>1339.4584961</v>
      </c>
      <c r="H1931">
        <v>1337.1477050999999</v>
      </c>
      <c r="I1931">
        <v>1326.4580077999999</v>
      </c>
      <c r="J1931">
        <v>1324.4777832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1163.3518140000001</v>
      </c>
      <c r="B1932" s="1">
        <f>DATE(2013,7,7) + TIME(8,26,36)</f>
        <v>41462.351805555554</v>
      </c>
      <c r="C1932">
        <v>80</v>
      </c>
      <c r="D1932">
        <v>79.975868224999999</v>
      </c>
      <c r="E1932">
        <v>50</v>
      </c>
      <c r="F1932">
        <v>47.547828674000002</v>
      </c>
      <c r="G1932">
        <v>1339.4526367000001</v>
      </c>
      <c r="H1932">
        <v>1337.1455077999999</v>
      </c>
      <c r="I1932">
        <v>1326.4445800999999</v>
      </c>
      <c r="J1932">
        <v>1324.4569091999999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1164.6847439999999</v>
      </c>
      <c r="B1933" s="1">
        <f>DATE(2013,7,8) + TIME(16,26,1)</f>
        <v>41463.684733796297</v>
      </c>
      <c r="C1933">
        <v>80</v>
      </c>
      <c r="D1933">
        <v>79.975845336999996</v>
      </c>
      <c r="E1933">
        <v>50</v>
      </c>
      <c r="F1933">
        <v>47.522804260000001</v>
      </c>
      <c r="G1933">
        <v>1339.4467772999999</v>
      </c>
      <c r="H1933">
        <v>1337.1431885</v>
      </c>
      <c r="I1933">
        <v>1326.4309082</v>
      </c>
      <c r="J1933">
        <v>1324.4354248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1166.0353009999999</v>
      </c>
      <c r="B1934" s="1">
        <f>DATE(2013,7,10) + TIME(0,50,49)</f>
        <v>41465.03528935185</v>
      </c>
      <c r="C1934">
        <v>80</v>
      </c>
      <c r="D1934">
        <v>79.975830078000001</v>
      </c>
      <c r="E1934">
        <v>50</v>
      </c>
      <c r="F1934">
        <v>47.498638153000002</v>
      </c>
      <c r="G1934">
        <v>1339.440918</v>
      </c>
      <c r="H1934">
        <v>1337.1408690999999</v>
      </c>
      <c r="I1934">
        <v>1326.4171143000001</v>
      </c>
      <c r="J1934">
        <v>1324.4136963000001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1167.4105500000001</v>
      </c>
      <c r="B1935" s="1">
        <f>DATE(2013,7,11) + TIME(9,51,11)</f>
        <v>41466.410543981481</v>
      </c>
      <c r="C1935">
        <v>80</v>
      </c>
      <c r="D1935">
        <v>79.975814818999993</v>
      </c>
      <c r="E1935">
        <v>50</v>
      </c>
      <c r="F1935">
        <v>47.475517273000001</v>
      </c>
      <c r="G1935">
        <v>1339.4350586</v>
      </c>
      <c r="H1935">
        <v>1337.1385498</v>
      </c>
      <c r="I1935">
        <v>1326.4030762</v>
      </c>
      <c r="J1935">
        <v>1324.3916016000001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1168.8188700000001</v>
      </c>
      <c r="B1936" s="1">
        <f>DATE(2013,7,12) + TIME(19,39,10)</f>
        <v>41467.818865740737</v>
      </c>
      <c r="C1936">
        <v>80</v>
      </c>
      <c r="D1936">
        <v>79.975807189999998</v>
      </c>
      <c r="E1936">
        <v>50</v>
      </c>
      <c r="F1936">
        <v>47.453559875000003</v>
      </c>
      <c r="G1936">
        <v>1339.4291992000001</v>
      </c>
      <c r="H1936">
        <v>1337.1362305</v>
      </c>
      <c r="I1936">
        <v>1326.3889160000001</v>
      </c>
      <c r="J1936">
        <v>1324.3692627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1170.2829099999999</v>
      </c>
      <c r="B1937" s="1">
        <f>DATE(2013,7,14) + TIME(6,47,23)</f>
        <v>41469.282905092594</v>
      </c>
      <c r="C1937">
        <v>80</v>
      </c>
      <c r="D1937">
        <v>79.975791931000003</v>
      </c>
      <c r="E1937">
        <v>50</v>
      </c>
      <c r="F1937">
        <v>47.432842254999997</v>
      </c>
      <c r="G1937">
        <v>1339.4233397999999</v>
      </c>
      <c r="H1937">
        <v>1337.1339111</v>
      </c>
      <c r="I1937">
        <v>1326.3746338000001</v>
      </c>
      <c r="J1937">
        <v>1324.3464355000001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1171.8139920000001</v>
      </c>
      <c r="B1938" s="1">
        <f>DATE(2013,7,15) + TIME(19,32,8)</f>
        <v>41470.813981481479</v>
      </c>
      <c r="C1938">
        <v>80</v>
      </c>
      <c r="D1938">
        <v>79.975776671999995</v>
      </c>
      <c r="E1938">
        <v>50</v>
      </c>
      <c r="F1938">
        <v>47.413520812999998</v>
      </c>
      <c r="G1938">
        <v>1339.4173584</v>
      </c>
      <c r="H1938">
        <v>1337.1314697</v>
      </c>
      <c r="I1938">
        <v>1326.3598632999999</v>
      </c>
      <c r="J1938">
        <v>1324.3227539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1173.4139190000001</v>
      </c>
      <c r="B1939" s="1">
        <f>DATE(2013,7,17) + TIME(9,56,2)</f>
        <v>41472.413912037038</v>
      </c>
      <c r="C1939">
        <v>80</v>
      </c>
      <c r="D1939">
        <v>79.975761414000004</v>
      </c>
      <c r="E1939">
        <v>50</v>
      </c>
      <c r="F1939">
        <v>47.395942687999998</v>
      </c>
      <c r="G1939">
        <v>1339.4112548999999</v>
      </c>
      <c r="H1939">
        <v>1337.1289062000001</v>
      </c>
      <c r="I1939">
        <v>1326.3446045000001</v>
      </c>
      <c r="J1939">
        <v>1324.2983397999999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1175.0197800000001</v>
      </c>
      <c r="B1940" s="1">
        <f>DATE(2013,7,19) + TIME(0,28,28)</f>
        <v>41474.019768518519</v>
      </c>
      <c r="C1940">
        <v>80</v>
      </c>
      <c r="D1940">
        <v>79.975753784000005</v>
      </c>
      <c r="E1940">
        <v>50</v>
      </c>
      <c r="F1940">
        <v>47.380828856999997</v>
      </c>
      <c r="G1940">
        <v>1339.4049072</v>
      </c>
      <c r="H1940">
        <v>1337.1263428</v>
      </c>
      <c r="I1940">
        <v>1326.3289795000001</v>
      </c>
      <c r="J1940">
        <v>1324.2730713000001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1176.640684</v>
      </c>
      <c r="B1941" s="1">
        <f>DATE(2013,7,20) + TIME(15,22,35)</f>
        <v>41475.640682870369</v>
      </c>
      <c r="C1941">
        <v>80</v>
      </c>
      <c r="D1941">
        <v>79.975738524999997</v>
      </c>
      <c r="E1941">
        <v>50</v>
      </c>
      <c r="F1941">
        <v>47.368919372999997</v>
      </c>
      <c r="G1941">
        <v>1339.3986815999999</v>
      </c>
      <c r="H1941">
        <v>1337.1237793</v>
      </c>
      <c r="I1941">
        <v>1326.3133545000001</v>
      </c>
      <c r="J1941">
        <v>1324.2475586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1178.2697250000001</v>
      </c>
      <c r="B1942" s="1">
        <f>DATE(2013,7,22) + TIME(6,28,24)</f>
        <v>41477.26972222222</v>
      </c>
      <c r="C1942">
        <v>80</v>
      </c>
      <c r="D1942">
        <v>79.975723267000006</v>
      </c>
      <c r="E1942">
        <v>50</v>
      </c>
      <c r="F1942">
        <v>47.360763550000001</v>
      </c>
      <c r="G1942">
        <v>1339.3925781</v>
      </c>
      <c r="H1942">
        <v>1337.1210937999999</v>
      </c>
      <c r="I1942">
        <v>1326.2977295000001</v>
      </c>
      <c r="J1942">
        <v>1324.2220459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1179.9114079999999</v>
      </c>
      <c r="B1943" s="1">
        <f>DATE(2013,7,23) + TIME(21,52,25)</f>
        <v>41478.911400462966</v>
      </c>
      <c r="C1943">
        <v>80</v>
      </c>
      <c r="D1943">
        <v>79.975715636999993</v>
      </c>
      <c r="E1943">
        <v>50</v>
      </c>
      <c r="F1943">
        <v>47.356971741000002</v>
      </c>
      <c r="G1943">
        <v>1339.3864745999999</v>
      </c>
      <c r="H1943">
        <v>1337.1185303</v>
      </c>
      <c r="I1943">
        <v>1326.2822266000001</v>
      </c>
      <c r="J1943">
        <v>1324.1965332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1181.575288</v>
      </c>
      <c r="B1944" s="1">
        <f>DATE(2013,7,25) + TIME(13,48,24)</f>
        <v>41480.575277777774</v>
      </c>
      <c r="C1944">
        <v>80</v>
      </c>
      <c r="D1944">
        <v>79.975700377999999</v>
      </c>
      <c r="E1944">
        <v>50</v>
      </c>
      <c r="F1944">
        <v>47.358158111999998</v>
      </c>
      <c r="G1944">
        <v>1339.3804932</v>
      </c>
      <c r="H1944">
        <v>1337.1159668</v>
      </c>
      <c r="I1944">
        <v>1326.2668457</v>
      </c>
      <c r="J1944">
        <v>1324.1710204999999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1183.271074</v>
      </c>
      <c r="B1945" s="1">
        <f>DATE(2013,7,27) + TIME(6,30,20)</f>
        <v>41482.271064814813</v>
      </c>
      <c r="C1945">
        <v>80</v>
      </c>
      <c r="D1945">
        <v>79.975692749000004</v>
      </c>
      <c r="E1945">
        <v>50</v>
      </c>
      <c r="F1945">
        <v>47.365062713999997</v>
      </c>
      <c r="G1945">
        <v>1339.3745117000001</v>
      </c>
      <c r="H1945">
        <v>1337.1134033000001</v>
      </c>
      <c r="I1945">
        <v>1326.2515868999999</v>
      </c>
      <c r="J1945">
        <v>1324.1456298999999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1185.027638</v>
      </c>
      <c r="B1946" s="1">
        <f>DATE(2013,7,29) + TIME(0,39,47)</f>
        <v>41484.027627314812</v>
      </c>
      <c r="C1946">
        <v>80</v>
      </c>
      <c r="D1946">
        <v>79.975685119999994</v>
      </c>
      <c r="E1946">
        <v>50</v>
      </c>
      <c r="F1946">
        <v>47.378726958999998</v>
      </c>
      <c r="G1946">
        <v>1339.3685303</v>
      </c>
      <c r="H1946">
        <v>1337.1107178</v>
      </c>
      <c r="I1946">
        <v>1326.2363281</v>
      </c>
      <c r="J1946">
        <v>1324.1199951000001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1186.8623669999999</v>
      </c>
      <c r="B1947" s="1">
        <f>DATE(2013,7,30) + TIME(20,41,48)</f>
        <v>41485.862361111111</v>
      </c>
      <c r="C1947">
        <v>80</v>
      </c>
      <c r="D1947">
        <v>79.975677489999995</v>
      </c>
      <c r="E1947">
        <v>50</v>
      </c>
      <c r="F1947">
        <v>47.400680542000003</v>
      </c>
      <c r="G1947">
        <v>1339.3625488</v>
      </c>
      <c r="H1947">
        <v>1337.1080322</v>
      </c>
      <c r="I1947">
        <v>1326.2210693</v>
      </c>
      <c r="J1947">
        <v>1324.0939940999999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1188</v>
      </c>
      <c r="B1948" s="1">
        <f>DATE(2013,8,1) + TIME(0,0,0)</f>
        <v>41487</v>
      </c>
      <c r="C1948">
        <v>80</v>
      </c>
      <c r="D1948">
        <v>79.975662231000001</v>
      </c>
      <c r="E1948">
        <v>50</v>
      </c>
      <c r="F1948">
        <v>47.427787780999999</v>
      </c>
      <c r="G1948">
        <v>1339.3565673999999</v>
      </c>
      <c r="H1948">
        <v>1337.1055908000001</v>
      </c>
      <c r="I1948">
        <v>1326.2066649999999</v>
      </c>
      <c r="J1948">
        <v>1324.0688477000001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1189.891572</v>
      </c>
      <c r="B1949" s="1">
        <f>DATE(2013,8,2) + TIME(21,23,51)</f>
        <v>41488.891562500001</v>
      </c>
      <c r="C1949">
        <v>80</v>
      </c>
      <c r="D1949">
        <v>79.975662231000001</v>
      </c>
      <c r="E1949">
        <v>50</v>
      </c>
      <c r="F1949">
        <v>47.461700438999998</v>
      </c>
      <c r="G1949">
        <v>1339.3522949000001</v>
      </c>
      <c r="H1949">
        <v>1337.1033935999999</v>
      </c>
      <c r="I1949">
        <v>1326.1944579999999</v>
      </c>
      <c r="J1949">
        <v>1324.0487060999999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1191.8371420000001</v>
      </c>
      <c r="B1950" s="1">
        <f>DATE(2013,8,4) + TIME(20,5,29)</f>
        <v>41490.837141203701</v>
      </c>
      <c r="C1950">
        <v>80</v>
      </c>
      <c r="D1950">
        <v>79.975662231000001</v>
      </c>
      <c r="E1950">
        <v>50</v>
      </c>
      <c r="F1950">
        <v>47.512748717999997</v>
      </c>
      <c r="G1950">
        <v>1339.3461914</v>
      </c>
      <c r="H1950">
        <v>1337.1007079999999</v>
      </c>
      <c r="I1950">
        <v>1326.1804199000001</v>
      </c>
      <c r="J1950">
        <v>1324.0239257999999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1193.8207030000001</v>
      </c>
      <c r="B1951" s="1">
        <f>DATE(2013,8,6) + TIME(19,41,48)</f>
        <v>41492.820694444446</v>
      </c>
      <c r="C1951">
        <v>80</v>
      </c>
      <c r="D1951">
        <v>79.975654602000006</v>
      </c>
      <c r="E1951">
        <v>50</v>
      </c>
      <c r="F1951">
        <v>47.580814361999998</v>
      </c>
      <c r="G1951">
        <v>1339.3399658000001</v>
      </c>
      <c r="H1951">
        <v>1337.0979004000001</v>
      </c>
      <c r="I1951">
        <v>1326.1656493999999</v>
      </c>
      <c r="J1951">
        <v>1323.9978027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1195.845595</v>
      </c>
      <c r="B1952" s="1">
        <f>DATE(2013,8,8) + TIME(20,17,39)</f>
        <v>41494.845590277779</v>
      </c>
      <c r="C1952">
        <v>80</v>
      </c>
      <c r="D1952">
        <v>79.975646972999996</v>
      </c>
      <c r="E1952">
        <v>50</v>
      </c>
      <c r="F1952">
        <v>47.667770386000001</v>
      </c>
      <c r="G1952">
        <v>1339.3336182</v>
      </c>
      <c r="H1952">
        <v>1337.0949707</v>
      </c>
      <c r="I1952">
        <v>1326.1508789</v>
      </c>
      <c r="J1952">
        <v>1323.9715576000001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1197.9055129999999</v>
      </c>
      <c r="B1953" s="1">
        <f>DATE(2013,8,10) + TIME(21,43,56)</f>
        <v>41496.905509259261</v>
      </c>
      <c r="C1953">
        <v>80</v>
      </c>
      <c r="D1953">
        <v>79.975646972999996</v>
      </c>
      <c r="E1953">
        <v>50</v>
      </c>
      <c r="F1953">
        <v>47.776523589999996</v>
      </c>
      <c r="G1953">
        <v>1339.3273925999999</v>
      </c>
      <c r="H1953">
        <v>1337.0919189000001</v>
      </c>
      <c r="I1953">
        <v>1326.1363524999999</v>
      </c>
      <c r="J1953">
        <v>1323.9455565999999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1199.997026</v>
      </c>
      <c r="B1954" s="1">
        <f>DATE(2013,8,12) + TIME(23,55,43)</f>
        <v>41498.997025462966</v>
      </c>
      <c r="C1954">
        <v>80</v>
      </c>
      <c r="D1954">
        <v>79.975639342999997</v>
      </c>
      <c r="E1954">
        <v>50</v>
      </c>
      <c r="F1954">
        <v>47.910255432</v>
      </c>
      <c r="G1954">
        <v>1339.3210449000001</v>
      </c>
      <c r="H1954">
        <v>1337.0889893000001</v>
      </c>
      <c r="I1954">
        <v>1326.1223144999999</v>
      </c>
      <c r="J1954">
        <v>1323.9201660000001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1201.0781649999999</v>
      </c>
      <c r="B1955" s="1">
        <f>DATE(2013,8,14) + TIME(1,52,33)</f>
        <v>41500.078159722223</v>
      </c>
      <c r="C1955">
        <v>80</v>
      </c>
      <c r="D1955">
        <v>79.975624084000003</v>
      </c>
      <c r="E1955">
        <v>50</v>
      </c>
      <c r="F1955">
        <v>48.040706634999999</v>
      </c>
      <c r="G1955">
        <v>1339.3153076000001</v>
      </c>
      <c r="H1955">
        <v>1337.0863036999999</v>
      </c>
      <c r="I1955">
        <v>1326.1105957</v>
      </c>
      <c r="J1955">
        <v>1323.8972168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1203.025224</v>
      </c>
      <c r="B1956" s="1">
        <f>DATE(2013,8,16) + TIME(0,36,19)</f>
        <v>41502.025219907409</v>
      </c>
      <c r="C1956">
        <v>80</v>
      </c>
      <c r="D1956">
        <v>79.975631714000002</v>
      </c>
      <c r="E1956">
        <v>50</v>
      </c>
      <c r="F1956">
        <v>48.179855347</v>
      </c>
      <c r="G1956">
        <v>1339.3114014</v>
      </c>
      <c r="H1956">
        <v>1337.0842285000001</v>
      </c>
      <c r="I1956">
        <v>1326.1002197</v>
      </c>
      <c r="J1956">
        <v>1323.8806152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1205.111574</v>
      </c>
      <c r="B1957" s="1">
        <f>DATE(2013,8,18) + TIME(2,40,39)</f>
        <v>41504.111562500002</v>
      </c>
      <c r="C1957">
        <v>80</v>
      </c>
      <c r="D1957">
        <v>79.975631714000002</v>
      </c>
      <c r="E1957">
        <v>50</v>
      </c>
      <c r="F1957">
        <v>48.368656158</v>
      </c>
      <c r="G1957">
        <v>1339.3059082</v>
      </c>
      <c r="H1957">
        <v>1337.081543</v>
      </c>
      <c r="I1957">
        <v>1326.0895995999999</v>
      </c>
      <c r="J1957">
        <v>1323.8604736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1207.245643</v>
      </c>
      <c r="B1958" s="1">
        <f>DATE(2013,8,20) + TIME(5,53,43)</f>
        <v>41506.245636574073</v>
      </c>
      <c r="C1958">
        <v>80</v>
      </c>
      <c r="D1958">
        <v>79.975631714000002</v>
      </c>
      <c r="E1958">
        <v>50</v>
      </c>
      <c r="F1958">
        <v>48.602447509999998</v>
      </c>
      <c r="G1958">
        <v>1339.2999268000001</v>
      </c>
      <c r="H1958">
        <v>1337.0786132999999</v>
      </c>
      <c r="I1958">
        <v>1326.0786132999999</v>
      </c>
      <c r="J1958">
        <v>1323.8397216999999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1208.3426260000001</v>
      </c>
      <c r="B1959" s="1">
        <f>DATE(2013,8,21) + TIME(8,13,22)</f>
        <v>41507.342615740738</v>
      </c>
      <c r="C1959">
        <v>80</v>
      </c>
      <c r="D1959">
        <v>79.975616454999994</v>
      </c>
      <c r="E1959">
        <v>50</v>
      </c>
      <c r="F1959">
        <v>48.827735900999997</v>
      </c>
      <c r="G1959">
        <v>1339.2943115</v>
      </c>
      <c r="H1959">
        <v>1337.0760498</v>
      </c>
      <c r="I1959">
        <v>1326.0700684000001</v>
      </c>
      <c r="J1959">
        <v>1323.8211670000001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1210.2316350000001</v>
      </c>
      <c r="B1960" s="1">
        <f>DATE(2013,8,23) + TIME(5,33,33)</f>
        <v>41509.231631944444</v>
      </c>
      <c r="C1960">
        <v>80</v>
      </c>
      <c r="D1960">
        <v>79.975624084000003</v>
      </c>
      <c r="E1960">
        <v>50</v>
      </c>
      <c r="F1960">
        <v>49.053062439000001</v>
      </c>
      <c r="G1960">
        <v>1339.2906493999999</v>
      </c>
      <c r="H1960">
        <v>1337.0739745999999</v>
      </c>
      <c r="I1960">
        <v>1326.0611572</v>
      </c>
      <c r="J1960">
        <v>1323.8079834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1212.3204760000001</v>
      </c>
      <c r="B1961" s="1">
        <f>DATE(2013,8,25) + TIME(7,41,29)</f>
        <v>41511.320474537039</v>
      </c>
      <c r="C1961">
        <v>80</v>
      </c>
      <c r="D1961">
        <v>79.975631714000002</v>
      </c>
      <c r="E1961">
        <v>50</v>
      </c>
      <c r="F1961">
        <v>49.340293883999998</v>
      </c>
      <c r="G1961">
        <v>1339.2856445</v>
      </c>
      <c r="H1961">
        <v>1337.0714111</v>
      </c>
      <c r="I1961">
        <v>1326.0529785000001</v>
      </c>
      <c r="J1961">
        <v>1323.7924805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1214.492872</v>
      </c>
      <c r="B1962" s="1">
        <f>DATE(2013,8,27) + TIME(11,49,44)</f>
        <v>41513.49287037037</v>
      </c>
      <c r="C1962">
        <v>80</v>
      </c>
      <c r="D1962">
        <v>79.975631714000002</v>
      </c>
      <c r="E1962">
        <v>50</v>
      </c>
      <c r="F1962">
        <v>49.695838928000001</v>
      </c>
      <c r="G1962">
        <v>1339.2800293</v>
      </c>
      <c r="H1962">
        <v>1337.0684814000001</v>
      </c>
      <c r="I1962">
        <v>1326.0445557</v>
      </c>
      <c r="J1962">
        <v>1323.7767334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1216.7117659999999</v>
      </c>
      <c r="B1963" s="1">
        <f>DATE(2013,8,29) + TIME(17,4,56)</f>
        <v>41515.711759259262</v>
      </c>
      <c r="C1963">
        <v>80</v>
      </c>
      <c r="D1963">
        <v>79.975631714000002</v>
      </c>
      <c r="E1963">
        <v>50</v>
      </c>
      <c r="F1963">
        <v>50.08203125</v>
      </c>
      <c r="G1963">
        <v>1339.2741699000001</v>
      </c>
      <c r="H1963">
        <v>1337.0655518000001</v>
      </c>
      <c r="I1963">
        <v>1326.036499</v>
      </c>
      <c r="J1963">
        <v>1323.7614745999999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1219</v>
      </c>
      <c r="B1964" s="1">
        <f>DATE(2013,9,1) + TIME(0,0,0)</f>
        <v>41518</v>
      </c>
      <c r="C1964">
        <v>80</v>
      </c>
      <c r="D1964">
        <v>79.975639342999997</v>
      </c>
      <c r="E1964">
        <v>50</v>
      </c>
      <c r="F1964">
        <v>50.511417389000002</v>
      </c>
      <c r="G1964">
        <v>1339.2684326000001</v>
      </c>
      <c r="H1964">
        <v>1337.0625</v>
      </c>
      <c r="I1964">
        <v>1326.0286865</v>
      </c>
      <c r="J1964">
        <v>1323.7471923999999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1221.243958</v>
      </c>
      <c r="B1965" s="1">
        <f>DATE(2013,9,3) + TIME(5,51,17)</f>
        <v>41520.243946759256</v>
      </c>
      <c r="C1965">
        <v>80</v>
      </c>
      <c r="D1965">
        <v>79.975639342999997</v>
      </c>
      <c r="E1965">
        <v>50</v>
      </c>
      <c r="F1965">
        <v>50.980960846000002</v>
      </c>
      <c r="G1965">
        <v>1339.2625731999999</v>
      </c>
      <c r="H1965">
        <v>1337.0594481999999</v>
      </c>
      <c r="I1965">
        <v>1326.0216064000001</v>
      </c>
      <c r="J1965">
        <v>1323.7342529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1223.6214500000001</v>
      </c>
      <c r="B1966" s="1">
        <f>DATE(2013,9,5) + TIME(14,54,53)</f>
        <v>41522.621446759258</v>
      </c>
      <c r="C1966">
        <v>80</v>
      </c>
      <c r="D1966">
        <v>79.975646972999996</v>
      </c>
      <c r="E1966">
        <v>50</v>
      </c>
      <c r="F1966">
        <v>51.476921081999997</v>
      </c>
      <c r="G1966">
        <v>1339.2569579999999</v>
      </c>
      <c r="H1966">
        <v>1337.0565185999999</v>
      </c>
      <c r="I1966">
        <v>1326.0150146000001</v>
      </c>
      <c r="J1966">
        <v>1323.7229004000001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1226.111909</v>
      </c>
      <c r="B1967" s="1">
        <f>DATE(2013,9,8) + TIME(2,41,8)</f>
        <v>41525.111898148149</v>
      </c>
      <c r="C1967">
        <v>80</v>
      </c>
      <c r="D1967">
        <v>79.975654602000006</v>
      </c>
      <c r="E1967">
        <v>50</v>
      </c>
      <c r="F1967">
        <v>52.009326934999997</v>
      </c>
      <c r="G1967">
        <v>1339.2510986</v>
      </c>
      <c r="H1967">
        <v>1337.0533447</v>
      </c>
      <c r="I1967">
        <v>1326.0091553</v>
      </c>
      <c r="J1967">
        <v>1323.7126464999999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1228.7548919999999</v>
      </c>
      <c r="B1968" s="1">
        <f>DATE(2013,9,10) + TIME(18,7,2)</f>
        <v>41527.754884259259</v>
      </c>
      <c r="C1968">
        <v>80</v>
      </c>
      <c r="D1968">
        <v>79.975662231000001</v>
      </c>
      <c r="E1968">
        <v>50</v>
      </c>
      <c r="F1968">
        <v>52.575283051</v>
      </c>
      <c r="G1968">
        <v>1339.2449951000001</v>
      </c>
      <c r="H1968">
        <v>1337.0501709</v>
      </c>
      <c r="I1968">
        <v>1326.0037841999999</v>
      </c>
      <c r="J1968">
        <v>1323.7034911999999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1231.5130790000001</v>
      </c>
      <c r="B1969" s="1">
        <f>DATE(2013,9,13) + TIME(12,18,50)</f>
        <v>41530.513078703705</v>
      </c>
      <c r="C1969">
        <v>80</v>
      </c>
      <c r="D1969">
        <v>79.975669861</v>
      </c>
      <c r="E1969">
        <v>50</v>
      </c>
      <c r="F1969">
        <v>53.172615051000001</v>
      </c>
      <c r="G1969">
        <v>1339.2387695</v>
      </c>
      <c r="H1969">
        <v>1337.0467529</v>
      </c>
      <c r="I1969">
        <v>1325.9989014</v>
      </c>
      <c r="J1969">
        <v>1323.6953125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1234.3629020000001</v>
      </c>
      <c r="B1970" s="1">
        <f>DATE(2013,9,16) + TIME(8,42,34)</f>
        <v>41533.362893518519</v>
      </c>
      <c r="C1970">
        <v>80</v>
      </c>
      <c r="D1970">
        <v>79.975677489999995</v>
      </c>
      <c r="E1970">
        <v>50</v>
      </c>
      <c r="F1970">
        <v>53.789466857999997</v>
      </c>
      <c r="G1970">
        <v>1339.2324219</v>
      </c>
      <c r="H1970">
        <v>1337.0433350000001</v>
      </c>
      <c r="I1970">
        <v>1325.9948730000001</v>
      </c>
      <c r="J1970">
        <v>1323.6883545000001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1237.2959189999999</v>
      </c>
      <c r="B1971" s="1">
        <f>DATE(2013,9,19) + TIME(7,6,7)</f>
        <v>41536.295914351853</v>
      </c>
      <c r="C1971">
        <v>80</v>
      </c>
      <c r="D1971">
        <v>79.975685119999994</v>
      </c>
      <c r="E1971">
        <v>50</v>
      </c>
      <c r="F1971">
        <v>54.409271240000002</v>
      </c>
      <c r="G1971">
        <v>1339.2260742000001</v>
      </c>
      <c r="H1971">
        <v>1337.0399170000001</v>
      </c>
      <c r="I1971">
        <v>1325.9915771000001</v>
      </c>
      <c r="J1971">
        <v>1323.6827393000001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1240.318818</v>
      </c>
      <c r="B1972" s="1">
        <f>DATE(2013,9,22) + TIME(7,39,5)</f>
        <v>41539.318807870368</v>
      </c>
      <c r="C1972">
        <v>80</v>
      </c>
      <c r="D1972">
        <v>79.975700377999999</v>
      </c>
      <c r="E1972">
        <v>50</v>
      </c>
      <c r="F1972">
        <v>55.029518127000003</v>
      </c>
      <c r="G1972">
        <v>1339.2196045000001</v>
      </c>
      <c r="H1972">
        <v>1337.0363769999999</v>
      </c>
      <c r="I1972">
        <v>1325.9890137</v>
      </c>
      <c r="J1972">
        <v>1323.6783447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1243.4988519999999</v>
      </c>
      <c r="B1973" s="1">
        <f>DATE(2013,9,25) + TIME(11,58,20)</f>
        <v>41542.498842592591</v>
      </c>
      <c r="C1973">
        <v>80</v>
      </c>
      <c r="D1973">
        <v>79.975708007999998</v>
      </c>
      <c r="E1973">
        <v>50</v>
      </c>
      <c r="F1973">
        <v>55.648174286</v>
      </c>
      <c r="G1973">
        <v>1339.2131348</v>
      </c>
      <c r="H1973">
        <v>1337.0328368999999</v>
      </c>
      <c r="I1973">
        <v>1325.9873047000001</v>
      </c>
      <c r="J1973">
        <v>1323.6751709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1246.77154</v>
      </c>
      <c r="B1974" s="1">
        <f>DATE(2013,9,28) + TIME(18,31,1)</f>
        <v>41545.771539351852</v>
      </c>
      <c r="C1974">
        <v>80</v>
      </c>
      <c r="D1974">
        <v>79.975723267000006</v>
      </c>
      <c r="E1974">
        <v>50</v>
      </c>
      <c r="F1974">
        <v>56.270225525000001</v>
      </c>
      <c r="G1974">
        <v>1339.2066649999999</v>
      </c>
      <c r="H1974">
        <v>1337.0292969</v>
      </c>
      <c r="I1974">
        <v>1325.9863281</v>
      </c>
      <c r="J1974">
        <v>1323.6729736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1249</v>
      </c>
      <c r="B1975" s="1">
        <f>DATE(2013,10,1) + TIME(0,0,0)</f>
        <v>41548</v>
      </c>
      <c r="C1975">
        <v>80</v>
      </c>
      <c r="D1975">
        <v>79.975723267000006</v>
      </c>
      <c r="E1975">
        <v>50</v>
      </c>
      <c r="F1975">
        <v>56.838382721000002</v>
      </c>
      <c r="G1975">
        <v>1339.2003173999999</v>
      </c>
      <c r="H1975">
        <v>1337.0258789</v>
      </c>
      <c r="I1975">
        <v>1325.9873047000001</v>
      </c>
      <c r="J1975">
        <v>1323.6724853999999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1252.4016449999999</v>
      </c>
      <c r="B1976" s="1">
        <f>DATE(2013,10,4) + TIME(9,38,22)</f>
        <v>41551.401643518519</v>
      </c>
      <c r="C1976">
        <v>80</v>
      </c>
      <c r="D1976">
        <v>79.975746154999996</v>
      </c>
      <c r="E1976">
        <v>50</v>
      </c>
      <c r="F1976">
        <v>57.301826476999999</v>
      </c>
      <c r="G1976">
        <v>1339.1955565999999</v>
      </c>
      <c r="H1976">
        <v>1337.0231934000001</v>
      </c>
      <c r="I1976">
        <v>1325.9864502</v>
      </c>
      <c r="J1976">
        <v>1323.6734618999999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1255.966428</v>
      </c>
      <c r="B1977" s="1">
        <f>DATE(2013,10,7) + TIME(23,11,39)</f>
        <v>41554.966423611113</v>
      </c>
      <c r="C1977">
        <v>80</v>
      </c>
      <c r="D1977">
        <v>79.975769043</v>
      </c>
      <c r="E1977">
        <v>50</v>
      </c>
      <c r="F1977">
        <v>57.864276885999999</v>
      </c>
      <c r="G1977">
        <v>1339.1892089999999</v>
      </c>
      <c r="H1977">
        <v>1337.0197754000001</v>
      </c>
      <c r="I1977">
        <v>1325.9869385</v>
      </c>
      <c r="J1977">
        <v>1323.6723632999999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1259.6171690000001</v>
      </c>
      <c r="B1978" s="1">
        <f>DATE(2013,10,11) + TIME(14,48,43)</f>
        <v>41558.617164351854</v>
      </c>
      <c r="C1978">
        <v>80</v>
      </c>
      <c r="D1978">
        <v>79.975784301999994</v>
      </c>
      <c r="E1978">
        <v>50</v>
      </c>
      <c r="F1978">
        <v>58.439483643000003</v>
      </c>
      <c r="G1978">
        <v>1339.1826172000001</v>
      </c>
      <c r="H1978">
        <v>1337.0161132999999</v>
      </c>
      <c r="I1978">
        <v>1325.9882812000001</v>
      </c>
      <c r="J1978">
        <v>1323.6732178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1263.361502</v>
      </c>
      <c r="B1979" s="1">
        <f>DATE(2013,10,15) + TIME(8,40,33)</f>
        <v>41562.361493055556</v>
      </c>
      <c r="C1979">
        <v>80</v>
      </c>
      <c r="D1979">
        <v>79.975799561000002</v>
      </c>
      <c r="E1979">
        <v>50</v>
      </c>
      <c r="F1979">
        <v>58.989746093999997</v>
      </c>
      <c r="G1979">
        <v>1339.1761475000001</v>
      </c>
      <c r="H1979">
        <v>1337.0125731999999</v>
      </c>
      <c r="I1979">
        <v>1325.9901123</v>
      </c>
      <c r="J1979">
        <v>1323.6749268000001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1267.2700239999999</v>
      </c>
      <c r="B1980" s="1">
        <f>DATE(2013,10,19) + TIME(6,28,50)</f>
        <v>41566.27002314815</v>
      </c>
      <c r="C1980">
        <v>80</v>
      </c>
      <c r="D1980">
        <v>79.975822449000006</v>
      </c>
      <c r="E1980">
        <v>50</v>
      </c>
      <c r="F1980">
        <v>59.531429291000002</v>
      </c>
      <c r="G1980">
        <v>1339.1696777</v>
      </c>
      <c r="H1980">
        <v>1337.0089111</v>
      </c>
      <c r="I1980">
        <v>1325.9923096</v>
      </c>
      <c r="J1980">
        <v>1323.677124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1271.321001</v>
      </c>
      <c r="B1981" s="1">
        <f>DATE(2013,10,23) + TIME(7,42,14)</f>
        <v>41570.32099537037</v>
      </c>
      <c r="C1981">
        <v>80</v>
      </c>
      <c r="D1981">
        <v>79.975837708</v>
      </c>
      <c r="E1981">
        <v>50</v>
      </c>
      <c r="F1981">
        <v>60.040557861000003</v>
      </c>
      <c r="G1981">
        <v>1339.1630858999999</v>
      </c>
      <c r="H1981">
        <v>1337.0053711</v>
      </c>
      <c r="I1981">
        <v>1325.9951172000001</v>
      </c>
      <c r="J1981">
        <v>1323.6795654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1275.455275</v>
      </c>
      <c r="B1982" s="1">
        <f>DATE(2013,10,27) + TIME(10,55,35)</f>
        <v>41574.455266203702</v>
      </c>
      <c r="C1982">
        <v>80</v>
      </c>
      <c r="D1982">
        <v>79.975875853999995</v>
      </c>
      <c r="E1982">
        <v>50</v>
      </c>
      <c r="F1982">
        <v>60.565898894999997</v>
      </c>
      <c r="G1982">
        <v>1339.1564940999999</v>
      </c>
      <c r="H1982">
        <v>1337.0017089999999</v>
      </c>
      <c r="I1982">
        <v>1325.9980469</v>
      </c>
      <c r="J1982">
        <v>1323.6827393000001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1279.7100539999999</v>
      </c>
      <c r="B1983" s="1">
        <f>DATE(2013,10,31) + TIME(17,2,28)</f>
        <v>41578.710046296299</v>
      </c>
      <c r="C1983">
        <v>80</v>
      </c>
      <c r="D1983">
        <v>79.975875853999995</v>
      </c>
      <c r="E1983">
        <v>50</v>
      </c>
      <c r="F1983">
        <v>60.994312286000003</v>
      </c>
      <c r="G1983">
        <v>1339.1501464999999</v>
      </c>
      <c r="H1983">
        <v>1336.9981689000001</v>
      </c>
      <c r="I1983">
        <v>1326.0017089999999</v>
      </c>
      <c r="J1983">
        <v>1323.6860352000001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1280</v>
      </c>
      <c r="B1984" s="1">
        <f>DATE(2013,11,1) + TIME(0,0,0)</f>
        <v>41579</v>
      </c>
      <c r="C1984">
        <v>80</v>
      </c>
      <c r="D1984">
        <v>79.975860596000004</v>
      </c>
      <c r="E1984">
        <v>50</v>
      </c>
      <c r="F1984">
        <v>61.215019226000003</v>
      </c>
      <c r="G1984">
        <v>1339.1466064000001</v>
      </c>
      <c r="H1984">
        <v>1336.9973144999999</v>
      </c>
      <c r="I1984">
        <v>1326.0134277</v>
      </c>
      <c r="J1984">
        <v>1323.692749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1280.0000010000001</v>
      </c>
      <c r="B1985" s="1">
        <f>DATE(2013,11,1) + TIME(0,0,0)</f>
        <v>41579</v>
      </c>
      <c r="C1985">
        <v>80</v>
      </c>
      <c r="D1985">
        <v>79.975830078000001</v>
      </c>
      <c r="E1985">
        <v>50</v>
      </c>
      <c r="F1985">
        <v>61.215030669999997</v>
      </c>
      <c r="G1985">
        <v>1336.9865723</v>
      </c>
      <c r="H1985">
        <v>1336.3880615</v>
      </c>
      <c r="I1985">
        <v>1328.4718018000001</v>
      </c>
      <c r="J1985">
        <v>1326.027832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1280.000004</v>
      </c>
      <c r="B1986" s="1">
        <f>DATE(2013,11,1) + TIME(0,0,0)</f>
        <v>41579</v>
      </c>
      <c r="C1986">
        <v>80</v>
      </c>
      <c r="D1986">
        <v>79.975730896000002</v>
      </c>
      <c r="E1986">
        <v>50</v>
      </c>
      <c r="F1986">
        <v>61.215061188</v>
      </c>
      <c r="G1986">
        <v>1336.9548339999999</v>
      </c>
      <c r="H1986">
        <v>1336.3576660000001</v>
      </c>
      <c r="I1986">
        <v>1328.5030518000001</v>
      </c>
      <c r="J1986">
        <v>1326.0705565999999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1280.0000130000001</v>
      </c>
      <c r="B1987" s="1">
        <f>DATE(2013,11,1) + TIME(0,0,1)</f>
        <v>41579.000011574077</v>
      </c>
      <c r="C1987">
        <v>80</v>
      </c>
      <c r="D1987">
        <v>79.975440978999998</v>
      </c>
      <c r="E1987">
        <v>50</v>
      </c>
      <c r="F1987">
        <v>61.215141295999999</v>
      </c>
      <c r="G1987">
        <v>1336.8656006000001</v>
      </c>
      <c r="H1987">
        <v>1336.2717285000001</v>
      </c>
      <c r="I1987">
        <v>1328.5931396000001</v>
      </c>
      <c r="J1987">
        <v>1326.1917725000001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1280.0000399999999</v>
      </c>
      <c r="B1988" s="1">
        <f>DATE(2013,11,1) + TIME(0,0,3)</f>
        <v>41579.000034722223</v>
      </c>
      <c r="C1988">
        <v>80</v>
      </c>
      <c r="D1988">
        <v>79.974708557</v>
      </c>
      <c r="E1988">
        <v>50</v>
      </c>
      <c r="F1988">
        <v>61.215305327999999</v>
      </c>
      <c r="G1988">
        <v>1336.6392822</v>
      </c>
      <c r="H1988">
        <v>1336.0518798999999</v>
      </c>
      <c r="I1988">
        <v>1328.8363036999999</v>
      </c>
      <c r="J1988">
        <v>1326.5061035000001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1280.000121</v>
      </c>
      <c r="B1989" s="1">
        <f>DATE(2013,11,1) + TIME(0,0,10)</f>
        <v>41579.000115740739</v>
      </c>
      <c r="C1989">
        <v>80</v>
      </c>
      <c r="D1989">
        <v>79.973220824999999</v>
      </c>
      <c r="E1989">
        <v>50</v>
      </c>
      <c r="F1989">
        <v>61.215320587000001</v>
      </c>
      <c r="G1989">
        <v>1336.1781006000001</v>
      </c>
      <c r="H1989">
        <v>1335.5949707</v>
      </c>
      <c r="I1989">
        <v>1329.3972168</v>
      </c>
      <c r="J1989">
        <v>1327.1748047000001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1280.000364</v>
      </c>
      <c r="B1990" s="1">
        <f>DATE(2013,11,1) + TIME(0,0,31)</f>
        <v>41579.000358796293</v>
      </c>
      <c r="C1990">
        <v>80</v>
      </c>
      <c r="D1990">
        <v>79.970993042000003</v>
      </c>
      <c r="E1990">
        <v>50</v>
      </c>
      <c r="F1990">
        <v>61.212947845000002</v>
      </c>
      <c r="G1990">
        <v>1335.4892577999999</v>
      </c>
      <c r="H1990">
        <v>1334.8950195</v>
      </c>
      <c r="I1990">
        <v>1330.3842772999999</v>
      </c>
      <c r="J1990">
        <v>1328.2182617000001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1280.0010930000001</v>
      </c>
      <c r="B1991" s="1">
        <f>DATE(2013,11,1) + TIME(0,1,34)</f>
        <v>41579.001087962963</v>
      </c>
      <c r="C1991">
        <v>80</v>
      </c>
      <c r="D1991">
        <v>79.968383789000001</v>
      </c>
      <c r="E1991">
        <v>50</v>
      </c>
      <c r="F1991">
        <v>61.201675414999997</v>
      </c>
      <c r="G1991">
        <v>1334.6958007999999</v>
      </c>
      <c r="H1991">
        <v>1334.0749512</v>
      </c>
      <c r="I1991">
        <v>1331.6694336</v>
      </c>
      <c r="J1991">
        <v>1329.4825439000001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1280.0032799999999</v>
      </c>
      <c r="B1992" s="1">
        <f>DATE(2013,11,1) + TIME(0,4,43)</f>
        <v>41579.003275462965</v>
      </c>
      <c r="C1992">
        <v>80</v>
      </c>
      <c r="D1992">
        <v>79.965507506999998</v>
      </c>
      <c r="E1992">
        <v>50</v>
      </c>
      <c r="F1992">
        <v>61.162052154999998</v>
      </c>
      <c r="G1992">
        <v>1333.8676757999999</v>
      </c>
      <c r="H1992">
        <v>1333.2114257999999</v>
      </c>
      <c r="I1992">
        <v>1333.041626</v>
      </c>
      <c r="J1992">
        <v>1330.8192139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1280.0098410000001</v>
      </c>
      <c r="B1993" s="1">
        <f>DATE(2013,11,1) + TIME(0,14,10)</f>
        <v>41579.009837962964</v>
      </c>
      <c r="C1993">
        <v>80</v>
      </c>
      <c r="D1993">
        <v>79.962020874000004</v>
      </c>
      <c r="E1993">
        <v>50</v>
      </c>
      <c r="F1993">
        <v>61.037338257000002</v>
      </c>
      <c r="G1993">
        <v>1332.9993896000001</v>
      </c>
      <c r="H1993">
        <v>1332.2945557</v>
      </c>
      <c r="I1993">
        <v>1334.4251709</v>
      </c>
      <c r="J1993">
        <v>1332.1711425999999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1280.029524</v>
      </c>
      <c r="B1994" s="1">
        <f>DATE(2013,11,1) + TIME(0,42,30)</f>
        <v>41579.029513888891</v>
      </c>
      <c r="C1994">
        <v>80</v>
      </c>
      <c r="D1994">
        <v>79.956901549999998</v>
      </c>
      <c r="E1994">
        <v>50</v>
      </c>
      <c r="F1994">
        <v>60.665401459000002</v>
      </c>
      <c r="G1994">
        <v>1332.0798339999999</v>
      </c>
      <c r="H1994">
        <v>1331.3098144999999</v>
      </c>
      <c r="I1994">
        <v>1335.7972411999999</v>
      </c>
      <c r="J1994">
        <v>1333.5003661999999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1280.0563340000001</v>
      </c>
      <c r="B1995" s="1">
        <f>DATE(2013,11,1) + TIME(1,21,7)</f>
        <v>41579.056331018517</v>
      </c>
      <c r="C1995">
        <v>80</v>
      </c>
      <c r="D1995">
        <v>79.951957703000005</v>
      </c>
      <c r="E1995">
        <v>50</v>
      </c>
      <c r="F1995">
        <v>60.176109314000001</v>
      </c>
      <c r="G1995">
        <v>1331.4897461</v>
      </c>
      <c r="H1995">
        <v>1330.6728516000001</v>
      </c>
      <c r="I1995">
        <v>1336.6303711</v>
      </c>
      <c r="J1995">
        <v>1334.2969971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1280.085045</v>
      </c>
      <c r="B1996" s="1">
        <f>DATE(2013,11,1) + TIME(2,2,27)</f>
        <v>41579.085034722222</v>
      </c>
      <c r="C1996">
        <v>80</v>
      </c>
      <c r="D1996">
        <v>79.947479247999993</v>
      </c>
      <c r="E1996">
        <v>50</v>
      </c>
      <c r="F1996">
        <v>59.675205231</v>
      </c>
      <c r="G1996">
        <v>1331.1252440999999</v>
      </c>
      <c r="H1996">
        <v>1330.2785644999999</v>
      </c>
      <c r="I1996">
        <v>1337.1252440999999</v>
      </c>
      <c r="J1996">
        <v>1334.7651367000001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1280.11556</v>
      </c>
      <c r="B1997" s="1">
        <f>DATE(2013,11,1) + TIME(2,46,24)</f>
        <v>41579.115555555552</v>
      </c>
      <c r="C1997">
        <v>80</v>
      </c>
      <c r="D1997">
        <v>79.943153381000002</v>
      </c>
      <c r="E1997">
        <v>50</v>
      </c>
      <c r="F1997">
        <v>59.169906615999999</v>
      </c>
      <c r="G1997">
        <v>1330.8770752</v>
      </c>
      <c r="H1997">
        <v>1330.0102539</v>
      </c>
      <c r="I1997">
        <v>1337.4520264</v>
      </c>
      <c r="J1997">
        <v>1335.0718993999999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1280.1478729999999</v>
      </c>
      <c r="B1998" s="1">
        <f>DATE(2013,11,1) + TIME(3,32,56)</f>
        <v>41579.147870370369</v>
      </c>
      <c r="C1998">
        <v>80</v>
      </c>
      <c r="D1998">
        <v>79.938835143999995</v>
      </c>
      <c r="E1998">
        <v>50</v>
      </c>
      <c r="F1998">
        <v>58.664909363</v>
      </c>
      <c r="G1998">
        <v>1330.6968993999999</v>
      </c>
      <c r="H1998">
        <v>1329.8160399999999</v>
      </c>
      <c r="I1998">
        <v>1337.6818848</v>
      </c>
      <c r="J1998">
        <v>1335.2867432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1280.182014</v>
      </c>
      <c r="B1999" s="1">
        <f>DATE(2013,11,1) + TIME(4,22,6)</f>
        <v>41579.182013888887</v>
      </c>
      <c r="C1999">
        <v>80</v>
      </c>
      <c r="D1999">
        <v>79.934471130000006</v>
      </c>
      <c r="E1999">
        <v>50</v>
      </c>
      <c r="F1999">
        <v>58.163627624999997</v>
      </c>
      <c r="G1999">
        <v>1330.5599365</v>
      </c>
      <c r="H1999">
        <v>1329.6689452999999</v>
      </c>
      <c r="I1999">
        <v>1337.8504639</v>
      </c>
      <c r="J1999">
        <v>1335.4438477000001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1280.21803</v>
      </c>
      <c r="B2000" s="1">
        <f>DATE(2013,11,1) + TIME(5,13,57)</f>
        <v>41579.21802083333</v>
      </c>
      <c r="C2000">
        <v>80</v>
      </c>
      <c r="D2000">
        <v>79.930007935000006</v>
      </c>
      <c r="E2000">
        <v>50</v>
      </c>
      <c r="F2000">
        <v>57.668792725000003</v>
      </c>
      <c r="G2000">
        <v>1330.4522704999999</v>
      </c>
      <c r="H2000">
        <v>1329.5535889</v>
      </c>
      <c r="I2000">
        <v>1337.9777832</v>
      </c>
      <c r="J2000">
        <v>1335.5620117000001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1280.256032</v>
      </c>
      <c r="B2001" s="1">
        <f>DATE(2013,11,1) + TIME(6,8,41)</f>
        <v>41579.256030092591</v>
      </c>
      <c r="C2001">
        <v>80</v>
      </c>
      <c r="D2001">
        <v>79.925430297999995</v>
      </c>
      <c r="E2001">
        <v>50</v>
      </c>
      <c r="F2001">
        <v>57.182037354000002</v>
      </c>
      <c r="G2001">
        <v>1330.3651123</v>
      </c>
      <c r="H2001">
        <v>1329.4603271000001</v>
      </c>
      <c r="I2001">
        <v>1338.0758057</v>
      </c>
      <c r="J2001">
        <v>1335.652832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1280.2961379999999</v>
      </c>
      <c r="B2002" s="1">
        <f>DATE(2013,11,1) + TIME(7,6,26)</f>
        <v>41579.296134259261</v>
      </c>
      <c r="C2002">
        <v>80</v>
      </c>
      <c r="D2002">
        <v>79.920707703000005</v>
      </c>
      <c r="E2002">
        <v>50</v>
      </c>
      <c r="F2002">
        <v>56.704856872999997</v>
      </c>
      <c r="G2002">
        <v>1330.2928466999999</v>
      </c>
      <c r="H2002">
        <v>1329.3833007999999</v>
      </c>
      <c r="I2002">
        <v>1338.1523437999999</v>
      </c>
      <c r="J2002">
        <v>1335.7232666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1280.3384900000001</v>
      </c>
      <c r="B2003" s="1">
        <f>DATE(2013,11,1) + TIME(8,7,25)</f>
        <v>41579.338483796295</v>
      </c>
      <c r="C2003">
        <v>80</v>
      </c>
      <c r="D2003">
        <v>79.915824889999996</v>
      </c>
      <c r="E2003">
        <v>50</v>
      </c>
      <c r="F2003">
        <v>56.238479613999999</v>
      </c>
      <c r="G2003">
        <v>1330.2320557</v>
      </c>
      <c r="H2003">
        <v>1329.3182373</v>
      </c>
      <c r="I2003">
        <v>1338.2122803</v>
      </c>
      <c r="J2003">
        <v>1335.7781981999999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1280.383257</v>
      </c>
      <c r="B2004" s="1">
        <f>DATE(2013,11,1) + TIME(9,11,53)</f>
        <v>41579.383252314816</v>
      </c>
      <c r="C2004">
        <v>80</v>
      </c>
      <c r="D2004">
        <v>79.910758971999996</v>
      </c>
      <c r="E2004">
        <v>50</v>
      </c>
      <c r="F2004">
        <v>55.783924102999997</v>
      </c>
      <c r="G2004">
        <v>1330.1800536999999</v>
      </c>
      <c r="H2004">
        <v>1329.2624512</v>
      </c>
      <c r="I2004">
        <v>1338.2591553</v>
      </c>
      <c r="J2004">
        <v>1335.8208007999999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1280.430629</v>
      </c>
      <c r="B2005" s="1">
        <f>DATE(2013,11,1) + TIME(10,20,6)</f>
        <v>41579.430625000001</v>
      </c>
      <c r="C2005">
        <v>80</v>
      </c>
      <c r="D2005">
        <v>79.905502318999993</v>
      </c>
      <c r="E2005">
        <v>50</v>
      </c>
      <c r="F2005">
        <v>55.342094420999999</v>
      </c>
      <c r="G2005">
        <v>1330.1350098</v>
      </c>
      <c r="H2005">
        <v>1329.2141113</v>
      </c>
      <c r="I2005">
        <v>1338.2955322</v>
      </c>
      <c r="J2005">
        <v>1335.8535156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1280.4808290000001</v>
      </c>
      <c r="B2006" s="1">
        <f>DATE(2013,11,1) + TIME(11,32,23)</f>
        <v>41579.480821759258</v>
      </c>
      <c r="C2006">
        <v>80</v>
      </c>
      <c r="D2006">
        <v>79.900039672999995</v>
      </c>
      <c r="E2006">
        <v>50</v>
      </c>
      <c r="F2006">
        <v>54.913803100999999</v>
      </c>
      <c r="G2006">
        <v>1330.0957031</v>
      </c>
      <c r="H2006">
        <v>1329.1716309000001</v>
      </c>
      <c r="I2006">
        <v>1338.3232422000001</v>
      </c>
      <c r="J2006">
        <v>1335.8780518000001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1280.5341069999999</v>
      </c>
      <c r="B2007" s="1">
        <f>DATE(2013,11,1) + TIME(12,49,6)</f>
        <v>41579.534097222226</v>
      </c>
      <c r="C2007">
        <v>80</v>
      </c>
      <c r="D2007">
        <v>79.894340514999996</v>
      </c>
      <c r="E2007">
        <v>50</v>
      </c>
      <c r="F2007">
        <v>54.499816895000002</v>
      </c>
      <c r="G2007">
        <v>1330.0610352000001</v>
      </c>
      <c r="H2007">
        <v>1329.1339111</v>
      </c>
      <c r="I2007">
        <v>1338.3438721</v>
      </c>
      <c r="J2007">
        <v>1335.8957519999999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1280.5907500000001</v>
      </c>
      <c r="B2008" s="1">
        <f>DATE(2013,11,1) + TIME(14,10,40)</f>
        <v>41579.590740740743</v>
      </c>
      <c r="C2008">
        <v>80</v>
      </c>
      <c r="D2008">
        <v>79.888389587000006</v>
      </c>
      <c r="E2008">
        <v>50</v>
      </c>
      <c r="F2008">
        <v>54.100860595999997</v>
      </c>
      <c r="G2008">
        <v>1330.0302733999999</v>
      </c>
      <c r="H2008">
        <v>1329.1003418</v>
      </c>
      <c r="I2008">
        <v>1338.3585204999999</v>
      </c>
      <c r="J2008">
        <v>1335.9078368999999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1280.651081</v>
      </c>
      <c r="B2009" s="1">
        <f>DATE(2013,11,1) + TIME(15,37,33)</f>
        <v>41579.651076388887</v>
      </c>
      <c r="C2009">
        <v>80</v>
      </c>
      <c r="D2009">
        <v>79.882164001000007</v>
      </c>
      <c r="E2009">
        <v>50</v>
      </c>
      <c r="F2009">
        <v>53.717636108000001</v>
      </c>
      <c r="G2009">
        <v>1330.0028076000001</v>
      </c>
      <c r="H2009">
        <v>1329.0699463000001</v>
      </c>
      <c r="I2009">
        <v>1338.3682861</v>
      </c>
      <c r="J2009">
        <v>1335.9152832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1280.7154519999999</v>
      </c>
      <c r="B2010" s="1">
        <f>DATE(2013,11,1) + TIME(17,10,15)</f>
        <v>41579.715451388889</v>
      </c>
      <c r="C2010">
        <v>80</v>
      </c>
      <c r="D2010">
        <v>79.875640868999994</v>
      </c>
      <c r="E2010">
        <v>50</v>
      </c>
      <c r="F2010">
        <v>53.35093689</v>
      </c>
      <c r="G2010">
        <v>1329.9780272999999</v>
      </c>
      <c r="H2010">
        <v>1329.0423584</v>
      </c>
      <c r="I2010">
        <v>1338.3739014</v>
      </c>
      <c r="J2010">
        <v>1335.9189452999999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1280.784285</v>
      </c>
      <c r="B2011" s="1">
        <f>DATE(2013,11,1) + TIME(18,49,22)</f>
        <v>41579.784282407411</v>
      </c>
      <c r="C2011">
        <v>80</v>
      </c>
      <c r="D2011">
        <v>79.868797302000004</v>
      </c>
      <c r="E2011">
        <v>50</v>
      </c>
      <c r="F2011">
        <v>53.001407622999999</v>
      </c>
      <c r="G2011">
        <v>1329.9556885</v>
      </c>
      <c r="H2011">
        <v>1329.0172118999999</v>
      </c>
      <c r="I2011">
        <v>1338.3763428</v>
      </c>
      <c r="J2011">
        <v>1335.9195557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1280.858076</v>
      </c>
      <c r="B2012" s="1">
        <f>DATE(2013,11,1) + TIME(20,35,37)</f>
        <v>41579.858067129629</v>
      </c>
      <c r="C2012">
        <v>80</v>
      </c>
      <c r="D2012">
        <v>79.861595154</v>
      </c>
      <c r="E2012">
        <v>50</v>
      </c>
      <c r="F2012">
        <v>52.669647216999998</v>
      </c>
      <c r="G2012">
        <v>1329.9354248</v>
      </c>
      <c r="H2012">
        <v>1328.9940185999999</v>
      </c>
      <c r="I2012">
        <v>1338.3760986</v>
      </c>
      <c r="J2012">
        <v>1335.9176024999999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1280.937377</v>
      </c>
      <c r="B2013" s="1">
        <f>DATE(2013,11,1) + TIME(22,29,49)</f>
        <v>41579.937372685185</v>
      </c>
      <c r="C2013">
        <v>80</v>
      </c>
      <c r="D2013">
        <v>79.854003906000003</v>
      </c>
      <c r="E2013">
        <v>50</v>
      </c>
      <c r="F2013">
        <v>52.356296538999999</v>
      </c>
      <c r="G2013">
        <v>1329.9167480000001</v>
      </c>
      <c r="H2013">
        <v>1328.9724120999999</v>
      </c>
      <c r="I2013">
        <v>1338.3739014</v>
      </c>
      <c r="J2013">
        <v>1335.9139404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1281.0228279999999</v>
      </c>
      <c r="B2014" s="1">
        <f>DATE(2013,11,2) + TIME(0,32,52)</f>
        <v>41580.022824074076</v>
      </c>
      <c r="C2014">
        <v>80</v>
      </c>
      <c r="D2014">
        <v>79.845970154</v>
      </c>
      <c r="E2014">
        <v>50</v>
      </c>
      <c r="F2014">
        <v>52.061981201000002</v>
      </c>
      <c r="G2014">
        <v>1329.8996582</v>
      </c>
      <c r="H2014">
        <v>1328.9522704999999</v>
      </c>
      <c r="I2014">
        <v>1338.3703613</v>
      </c>
      <c r="J2014">
        <v>1335.9090576000001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1281.1151649999999</v>
      </c>
      <c r="B2015" s="1">
        <f>DATE(2013,11,2) + TIME(2,45,50)</f>
        <v>41580.115162037036</v>
      </c>
      <c r="C2015">
        <v>80</v>
      </c>
      <c r="D2015">
        <v>79.837463378999999</v>
      </c>
      <c r="E2015">
        <v>50</v>
      </c>
      <c r="F2015">
        <v>51.787292479999998</v>
      </c>
      <c r="G2015">
        <v>1329.8836670000001</v>
      </c>
      <c r="H2015">
        <v>1328.9331055</v>
      </c>
      <c r="I2015">
        <v>1338.3657227000001</v>
      </c>
      <c r="J2015">
        <v>1335.9031981999999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1281.215244</v>
      </c>
      <c r="B2016" s="1">
        <f>DATE(2013,11,2) + TIME(5,9,57)</f>
        <v>41580.215243055558</v>
      </c>
      <c r="C2016">
        <v>80</v>
      </c>
      <c r="D2016">
        <v>79.828414917000003</v>
      </c>
      <c r="E2016">
        <v>50</v>
      </c>
      <c r="F2016">
        <v>51.532756804999998</v>
      </c>
      <c r="G2016">
        <v>1329.8686522999999</v>
      </c>
      <c r="H2016">
        <v>1328.9149170000001</v>
      </c>
      <c r="I2016">
        <v>1338.3604736</v>
      </c>
      <c r="J2016">
        <v>1335.8969727000001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1281.323222</v>
      </c>
      <c r="B2017" s="1">
        <f>DATE(2013,11,2) + TIME(7,45,26)</f>
        <v>41580.323217592595</v>
      </c>
      <c r="C2017">
        <v>80</v>
      </c>
      <c r="D2017">
        <v>79.818840026999993</v>
      </c>
      <c r="E2017">
        <v>50</v>
      </c>
      <c r="F2017">
        <v>51.300365448000001</v>
      </c>
      <c r="G2017">
        <v>1329.8544922000001</v>
      </c>
      <c r="H2017">
        <v>1328.8974608999999</v>
      </c>
      <c r="I2017">
        <v>1338.3552245999999</v>
      </c>
      <c r="J2017">
        <v>1335.8907471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1281.440047</v>
      </c>
      <c r="B2018" s="1">
        <f>DATE(2013,11,2) + TIME(10,33,40)</f>
        <v>41580.440046296295</v>
      </c>
      <c r="C2018">
        <v>80</v>
      </c>
      <c r="D2018">
        <v>79.808677673000005</v>
      </c>
      <c r="E2018">
        <v>50</v>
      </c>
      <c r="F2018">
        <v>51.090000152999998</v>
      </c>
      <c r="G2018">
        <v>1329.8410644999999</v>
      </c>
      <c r="H2018">
        <v>1328.8806152</v>
      </c>
      <c r="I2018">
        <v>1338.3498535000001</v>
      </c>
      <c r="J2018">
        <v>1335.8847656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1281.5669789999999</v>
      </c>
      <c r="B2019" s="1">
        <f>DATE(2013,11,2) + TIME(13,36,27)</f>
        <v>41580.566979166666</v>
      </c>
      <c r="C2019">
        <v>80</v>
      </c>
      <c r="D2019">
        <v>79.797836304</v>
      </c>
      <c r="E2019">
        <v>50</v>
      </c>
      <c r="F2019">
        <v>50.901229858000001</v>
      </c>
      <c r="G2019">
        <v>1329.8282471</v>
      </c>
      <c r="H2019">
        <v>1328.8641356999999</v>
      </c>
      <c r="I2019">
        <v>1338.3447266000001</v>
      </c>
      <c r="J2019">
        <v>1335.8791504000001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1281.7055499999999</v>
      </c>
      <c r="B2020" s="1">
        <f>DATE(2013,11,2) + TIME(16,55,59)</f>
        <v>41580.705543981479</v>
      </c>
      <c r="C2020">
        <v>80</v>
      </c>
      <c r="D2020">
        <v>79.786231994999994</v>
      </c>
      <c r="E2020">
        <v>50</v>
      </c>
      <c r="F2020">
        <v>50.733520507999998</v>
      </c>
      <c r="G2020">
        <v>1329.8156738</v>
      </c>
      <c r="H2020">
        <v>1328.8479004000001</v>
      </c>
      <c r="I2020">
        <v>1338.3399658000001</v>
      </c>
      <c r="J2020">
        <v>1335.8740233999999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1281.8578399999999</v>
      </c>
      <c r="B2021" s="1">
        <f>DATE(2013,11,2) + TIME(20,35,17)</f>
        <v>41580.857835648145</v>
      </c>
      <c r="C2021">
        <v>80</v>
      </c>
      <c r="D2021">
        <v>79.773712157999995</v>
      </c>
      <c r="E2021">
        <v>50</v>
      </c>
      <c r="F2021">
        <v>50.586074828999998</v>
      </c>
      <c r="G2021">
        <v>1329.8033447</v>
      </c>
      <c r="H2021">
        <v>1328.831543</v>
      </c>
      <c r="I2021">
        <v>1338.3354492000001</v>
      </c>
      <c r="J2021">
        <v>1335.8695068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1282.0264589999999</v>
      </c>
      <c r="B2022" s="1">
        <f>DATE(2013,11,3) + TIME(0,38,6)</f>
        <v>41581.026458333334</v>
      </c>
      <c r="C2022">
        <v>80</v>
      </c>
      <c r="D2022">
        <v>79.760108947999996</v>
      </c>
      <c r="E2022">
        <v>50</v>
      </c>
      <c r="F2022">
        <v>50.458076476999999</v>
      </c>
      <c r="G2022">
        <v>1329.7910156</v>
      </c>
      <c r="H2022">
        <v>1328.8149414</v>
      </c>
      <c r="I2022">
        <v>1338.3312988</v>
      </c>
      <c r="J2022">
        <v>1335.8654785000001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1282.1986830000001</v>
      </c>
      <c r="B2023" s="1">
        <f>DATE(2013,11,3) + TIME(4,46,6)</f>
        <v>41581.198680555557</v>
      </c>
      <c r="C2023">
        <v>80</v>
      </c>
      <c r="D2023">
        <v>79.746299743999998</v>
      </c>
      <c r="E2023">
        <v>50</v>
      </c>
      <c r="F2023">
        <v>50.355941772000001</v>
      </c>
      <c r="G2023">
        <v>1329.7786865</v>
      </c>
      <c r="H2023">
        <v>1328.7982178</v>
      </c>
      <c r="I2023">
        <v>1338.3283690999999</v>
      </c>
      <c r="J2023">
        <v>1335.862793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1282.3741070000001</v>
      </c>
      <c r="B2024" s="1">
        <f>DATE(2013,11,3) + TIME(8,58,42)</f>
        <v>41581.374097222222</v>
      </c>
      <c r="C2024">
        <v>80</v>
      </c>
      <c r="D2024">
        <v>79.732299804999997</v>
      </c>
      <c r="E2024">
        <v>50</v>
      </c>
      <c r="F2024">
        <v>50.274921417000002</v>
      </c>
      <c r="G2024">
        <v>1329.7669678</v>
      </c>
      <c r="H2024">
        <v>1328.7819824000001</v>
      </c>
      <c r="I2024">
        <v>1338.3256836</v>
      </c>
      <c r="J2024">
        <v>1335.8605957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1282.5531430000001</v>
      </c>
      <c r="B2025" s="1">
        <f>DATE(2013,11,3) + TIME(13,16,31)</f>
        <v>41581.553136574075</v>
      </c>
      <c r="C2025">
        <v>80</v>
      </c>
      <c r="D2025">
        <v>79.718070983999993</v>
      </c>
      <c r="E2025">
        <v>50</v>
      </c>
      <c r="F2025">
        <v>50.210765838999997</v>
      </c>
      <c r="G2025">
        <v>1329.7554932</v>
      </c>
      <c r="H2025">
        <v>1328.7662353999999</v>
      </c>
      <c r="I2025">
        <v>1338.3231201000001</v>
      </c>
      <c r="J2025">
        <v>1335.8587646000001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1282.736161</v>
      </c>
      <c r="B2026" s="1">
        <f>DATE(2013,11,3) + TIME(17,40,4)</f>
        <v>41581.736157407409</v>
      </c>
      <c r="C2026">
        <v>80</v>
      </c>
      <c r="D2026">
        <v>79.703575134000005</v>
      </c>
      <c r="E2026">
        <v>50</v>
      </c>
      <c r="F2026">
        <v>50.160087584999999</v>
      </c>
      <c r="G2026">
        <v>1329.7442627</v>
      </c>
      <c r="H2026">
        <v>1328.7506103999999</v>
      </c>
      <c r="I2026">
        <v>1338.3205565999999</v>
      </c>
      <c r="J2026">
        <v>1335.8570557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1282.923487</v>
      </c>
      <c r="B2027" s="1">
        <f>DATE(2013,11,3) + TIME(22,9,49)</f>
        <v>41581.923483796294</v>
      </c>
      <c r="C2027">
        <v>80</v>
      </c>
      <c r="D2027">
        <v>79.688796996999997</v>
      </c>
      <c r="E2027">
        <v>50</v>
      </c>
      <c r="F2027">
        <v>50.120189666999998</v>
      </c>
      <c r="G2027">
        <v>1329.7332764</v>
      </c>
      <c r="H2027">
        <v>1328.7352295000001</v>
      </c>
      <c r="I2027">
        <v>1338.3179932</v>
      </c>
      <c r="J2027">
        <v>1335.8554687999999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1283.1156269999999</v>
      </c>
      <c r="B2028" s="1">
        <f>DATE(2013,11,4) + TIME(2,46,30)</f>
        <v>41582.115624999999</v>
      </c>
      <c r="C2028">
        <v>80</v>
      </c>
      <c r="D2028">
        <v>79.673683166999993</v>
      </c>
      <c r="E2028">
        <v>50</v>
      </c>
      <c r="F2028">
        <v>50.088871001999998</v>
      </c>
      <c r="G2028">
        <v>1329.7224120999999</v>
      </c>
      <c r="H2028">
        <v>1328.7198486</v>
      </c>
      <c r="I2028">
        <v>1338.3153076000001</v>
      </c>
      <c r="J2028">
        <v>1335.8540039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1283.313005</v>
      </c>
      <c r="B2029" s="1">
        <f>DATE(2013,11,4) + TIME(7,30,43)</f>
        <v>41582.312997685185</v>
      </c>
      <c r="C2029">
        <v>80</v>
      </c>
      <c r="D2029">
        <v>79.658210753999995</v>
      </c>
      <c r="E2029">
        <v>50</v>
      </c>
      <c r="F2029">
        <v>50.064376830999997</v>
      </c>
      <c r="G2029">
        <v>1329.7114257999999</v>
      </c>
      <c r="H2029">
        <v>1328.7044678</v>
      </c>
      <c r="I2029">
        <v>1338.3125</v>
      </c>
      <c r="J2029">
        <v>1335.8525391000001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1283.516067</v>
      </c>
      <c r="B2030" s="1">
        <f>DATE(2013,11,4) + TIME(12,23,8)</f>
        <v>41582.516064814816</v>
      </c>
      <c r="C2030">
        <v>80</v>
      </c>
      <c r="D2030">
        <v>79.642341614000003</v>
      </c>
      <c r="E2030">
        <v>50</v>
      </c>
      <c r="F2030">
        <v>50.045307158999996</v>
      </c>
      <c r="G2030">
        <v>1329.7005615</v>
      </c>
      <c r="H2030">
        <v>1328.6890868999999</v>
      </c>
      <c r="I2030">
        <v>1338.3095702999999</v>
      </c>
      <c r="J2030">
        <v>1335.8510742000001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1283.7252840000001</v>
      </c>
      <c r="B2031" s="1">
        <f>DATE(2013,11,4) + TIME(17,24,24)</f>
        <v>41582.725277777776</v>
      </c>
      <c r="C2031">
        <v>80</v>
      </c>
      <c r="D2031">
        <v>79.626037597999996</v>
      </c>
      <c r="E2031">
        <v>50</v>
      </c>
      <c r="F2031">
        <v>50.030529022000003</v>
      </c>
      <c r="G2031">
        <v>1329.6894531</v>
      </c>
      <c r="H2031">
        <v>1328.6734618999999</v>
      </c>
      <c r="I2031">
        <v>1338.3063964999999</v>
      </c>
      <c r="J2031">
        <v>1335.8494873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1283.941155</v>
      </c>
      <c r="B2032" s="1">
        <f>DATE(2013,11,4) + TIME(22,35,15)</f>
        <v>41582.941145833334</v>
      </c>
      <c r="C2032">
        <v>80</v>
      </c>
      <c r="D2032">
        <v>79.609275818</v>
      </c>
      <c r="E2032">
        <v>50</v>
      </c>
      <c r="F2032">
        <v>50.019126892000003</v>
      </c>
      <c r="G2032">
        <v>1329.6783447</v>
      </c>
      <c r="H2032">
        <v>1328.6578368999999</v>
      </c>
      <c r="I2032">
        <v>1338.3032227000001</v>
      </c>
      <c r="J2032">
        <v>1335.8479004000001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1284.164209</v>
      </c>
      <c r="B2033" s="1">
        <f>DATE(2013,11,5) + TIME(3,56,27)</f>
        <v>41583.164201388892</v>
      </c>
      <c r="C2033">
        <v>80</v>
      </c>
      <c r="D2033">
        <v>79.592018127000003</v>
      </c>
      <c r="E2033">
        <v>50</v>
      </c>
      <c r="F2033">
        <v>50.010383605999998</v>
      </c>
      <c r="G2033">
        <v>1329.6671143000001</v>
      </c>
      <c r="H2033">
        <v>1328.6418457</v>
      </c>
      <c r="I2033">
        <v>1338.2999268000001</v>
      </c>
      <c r="J2033">
        <v>1335.8461914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1284.395019</v>
      </c>
      <c r="B2034" s="1">
        <f>DATE(2013,11,5) + TIME(9,28,49)</f>
        <v>41583.395011574074</v>
      </c>
      <c r="C2034">
        <v>80</v>
      </c>
      <c r="D2034">
        <v>79.57421875</v>
      </c>
      <c r="E2034">
        <v>50</v>
      </c>
      <c r="F2034">
        <v>50.003707886000001</v>
      </c>
      <c r="G2034">
        <v>1329.6556396000001</v>
      </c>
      <c r="H2034">
        <v>1328.6257324000001</v>
      </c>
      <c r="I2034">
        <v>1338.2963867000001</v>
      </c>
      <c r="J2034">
        <v>1335.8444824000001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1284.634202</v>
      </c>
      <c r="B2035" s="1">
        <f>DATE(2013,11,5) + TIME(15,13,15)</f>
        <v>41583.634201388886</v>
      </c>
      <c r="C2035">
        <v>80</v>
      </c>
      <c r="D2035">
        <v>79.555847168</v>
      </c>
      <c r="E2035">
        <v>50</v>
      </c>
      <c r="F2035">
        <v>49.998641968000001</v>
      </c>
      <c r="G2035">
        <v>1329.6439209</v>
      </c>
      <c r="H2035">
        <v>1328.6092529</v>
      </c>
      <c r="I2035">
        <v>1338.2927245999999</v>
      </c>
      <c r="J2035">
        <v>1335.8426514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1284.8824279999999</v>
      </c>
      <c r="B2036" s="1">
        <f>DATE(2013,11,5) + TIME(21,10,41)</f>
        <v>41583.882418981484</v>
      </c>
      <c r="C2036">
        <v>80</v>
      </c>
      <c r="D2036">
        <v>79.536865234000004</v>
      </c>
      <c r="E2036">
        <v>50</v>
      </c>
      <c r="F2036">
        <v>49.994812011999997</v>
      </c>
      <c r="G2036">
        <v>1329.6319579999999</v>
      </c>
      <c r="H2036">
        <v>1328.5924072</v>
      </c>
      <c r="I2036">
        <v>1338.2890625</v>
      </c>
      <c r="J2036">
        <v>1335.8406981999999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1285.140316</v>
      </c>
      <c r="B2037" s="1">
        <f>DATE(2013,11,6) + TIME(3,22,3)</f>
        <v>41584.1403125</v>
      </c>
      <c r="C2037">
        <v>80</v>
      </c>
      <c r="D2037">
        <v>79.517227172999995</v>
      </c>
      <c r="E2037">
        <v>50</v>
      </c>
      <c r="F2037">
        <v>49.991939545000001</v>
      </c>
      <c r="G2037">
        <v>1329.6198730000001</v>
      </c>
      <c r="H2037">
        <v>1328.5751952999999</v>
      </c>
      <c r="I2037">
        <v>1338.2851562000001</v>
      </c>
      <c r="J2037">
        <v>1335.8386230000001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1285.4087500000001</v>
      </c>
      <c r="B2038" s="1">
        <f>DATE(2013,11,6) + TIME(9,48,35)</f>
        <v>41584.408738425926</v>
      </c>
      <c r="C2038">
        <v>80</v>
      </c>
      <c r="D2038">
        <v>79.496879578000005</v>
      </c>
      <c r="E2038">
        <v>50</v>
      </c>
      <c r="F2038">
        <v>49.989788054999998</v>
      </c>
      <c r="G2038">
        <v>1329.6072998</v>
      </c>
      <c r="H2038">
        <v>1328.5576172000001</v>
      </c>
      <c r="I2038">
        <v>1338.28125</v>
      </c>
      <c r="J2038">
        <v>1335.8365478999999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1285.688617</v>
      </c>
      <c r="B2039" s="1">
        <f>DATE(2013,11,6) + TIME(16,31,36)</f>
        <v>41584.688611111109</v>
      </c>
      <c r="C2039">
        <v>80</v>
      </c>
      <c r="D2039">
        <v>79.475784301999994</v>
      </c>
      <c r="E2039">
        <v>50</v>
      </c>
      <c r="F2039">
        <v>49.988189697000003</v>
      </c>
      <c r="G2039">
        <v>1329.5944824000001</v>
      </c>
      <c r="H2039">
        <v>1328.5395507999999</v>
      </c>
      <c r="I2039">
        <v>1338.2772216999999</v>
      </c>
      <c r="J2039">
        <v>1335.8343506000001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1285.980888</v>
      </c>
      <c r="B2040" s="1">
        <f>DATE(2013,11,6) + TIME(23,32,28)</f>
        <v>41584.980879629627</v>
      </c>
      <c r="C2040">
        <v>80</v>
      </c>
      <c r="D2040">
        <v>79.453872681000007</v>
      </c>
      <c r="E2040">
        <v>50</v>
      </c>
      <c r="F2040">
        <v>49.987003326</v>
      </c>
      <c r="G2040">
        <v>1329.5812988</v>
      </c>
      <c r="H2040">
        <v>1328.5211182</v>
      </c>
      <c r="I2040">
        <v>1338.2730713000001</v>
      </c>
      <c r="J2040">
        <v>1335.8320312000001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1286.286642</v>
      </c>
      <c r="B2041" s="1">
        <f>DATE(2013,11,7) + TIME(6,52,45)</f>
        <v>41585.286631944444</v>
      </c>
      <c r="C2041">
        <v>80</v>
      </c>
      <c r="D2041">
        <v>79.431098938000005</v>
      </c>
      <c r="E2041">
        <v>50</v>
      </c>
      <c r="F2041">
        <v>49.986122131000002</v>
      </c>
      <c r="G2041">
        <v>1329.567749</v>
      </c>
      <c r="H2041">
        <v>1328.5019531</v>
      </c>
      <c r="I2041">
        <v>1338.2687988</v>
      </c>
      <c r="J2041">
        <v>1335.8295897999999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1286.6070810000001</v>
      </c>
      <c r="B2042" s="1">
        <f>DATE(2013,11,7) + TIME(14,34,11)</f>
        <v>41585.607071759259</v>
      </c>
      <c r="C2042">
        <v>80</v>
      </c>
      <c r="D2042">
        <v>79.407394409000005</v>
      </c>
      <c r="E2042">
        <v>50</v>
      </c>
      <c r="F2042">
        <v>49.985473632999998</v>
      </c>
      <c r="G2042">
        <v>1329.5537108999999</v>
      </c>
      <c r="H2042">
        <v>1328.4822998</v>
      </c>
      <c r="I2042">
        <v>1338.2644043</v>
      </c>
      <c r="J2042">
        <v>1335.8271483999999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1286.9435470000001</v>
      </c>
      <c r="B2043" s="1">
        <f>DATE(2013,11,7) + TIME(22,38,42)</f>
        <v>41585.943541666667</v>
      </c>
      <c r="C2043">
        <v>80</v>
      </c>
      <c r="D2043">
        <v>79.382690429999997</v>
      </c>
      <c r="E2043">
        <v>50</v>
      </c>
      <c r="F2043">
        <v>49.984989165999998</v>
      </c>
      <c r="G2043">
        <v>1329.5391846</v>
      </c>
      <c r="H2043">
        <v>1328.4619141000001</v>
      </c>
      <c r="I2043">
        <v>1338.2600098</v>
      </c>
      <c r="J2043">
        <v>1335.824707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1287.297552</v>
      </c>
      <c r="B2044" s="1">
        <f>DATE(2013,11,8) + TIME(7,8,28)</f>
        <v>41586.297546296293</v>
      </c>
      <c r="C2044">
        <v>80</v>
      </c>
      <c r="D2044">
        <v>79.356895446999999</v>
      </c>
      <c r="E2044">
        <v>50</v>
      </c>
      <c r="F2044">
        <v>49.984634399000001</v>
      </c>
      <c r="G2044">
        <v>1329.5241699000001</v>
      </c>
      <c r="H2044">
        <v>1328.4407959</v>
      </c>
      <c r="I2044">
        <v>1338.2556152</v>
      </c>
      <c r="J2044">
        <v>1335.8221435999999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1287.670803</v>
      </c>
      <c r="B2045" s="1">
        <f>DATE(2013,11,8) + TIME(16,5,57)</f>
        <v>41586.670798611114</v>
      </c>
      <c r="C2045">
        <v>80</v>
      </c>
      <c r="D2045">
        <v>79.329933166999993</v>
      </c>
      <c r="E2045">
        <v>50</v>
      </c>
      <c r="F2045">
        <v>49.984363555999998</v>
      </c>
      <c r="G2045">
        <v>1329.5085449000001</v>
      </c>
      <c r="H2045">
        <v>1328.4189452999999</v>
      </c>
      <c r="I2045">
        <v>1338.2509766000001</v>
      </c>
      <c r="J2045">
        <v>1335.8194579999999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1288.0652399999999</v>
      </c>
      <c r="B2046" s="1">
        <f>DATE(2013,11,9) + TIME(1,33,56)</f>
        <v>41587.06523148148</v>
      </c>
      <c r="C2046">
        <v>80</v>
      </c>
      <c r="D2046">
        <v>79.301712035999998</v>
      </c>
      <c r="E2046">
        <v>50</v>
      </c>
      <c r="F2046">
        <v>49.984165191999999</v>
      </c>
      <c r="G2046">
        <v>1329.4921875</v>
      </c>
      <c r="H2046">
        <v>1328.3962402</v>
      </c>
      <c r="I2046">
        <v>1338.2463379000001</v>
      </c>
      <c r="J2046">
        <v>1335.8166504000001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1288.483119</v>
      </c>
      <c r="B2047" s="1">
        <f>DATE(2013,11,9) + TIME(11,35,41)</f>
        <v>41587.483113425929</v>
      </c>
      <c r="C2047">
        <v>80</v>
      </c>
      <c r="D2047">
        <v>79.272102356000005</v>
      </c>
      <c r="E2047">
        <v>50</v>
      </c>
      <c r="F2047">
        <v>49.984008789000001</v>
      </c>
      <c r="G2047">
        <v>1329.4752197</v>
      </c>
      <c r="H2047">
        <v>1328.3725586</v>
      </c>
      <c r="I2047">
        <v>1338.2415771000001</v>
      </c>
      <c r="J2047">
        <v>1335.8138428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1288.927003</v>
      </c>
      <c r="B2048" s="1">
        <f>DATE(2013,11,9) + TIME(22,14,53)</f>
        <v>41587.927002314813</v>
      </c>
      <c r="C2048">
        <v>80</v>
      </c>
      <c r="D2048">
        <v>79.240997313999998</v>
      </c>
      <c r="E2048">
        <v>50</v>
      </c>
      <c r="F2048">
        <v>49.983894348</v>
      </c>
      <c r="G2048">
        <v>1329.4575195</v>
      </c>
      <c r="H2048">
        <v>1328.3477783000001</v>
      </c>
      <c r="I2048">
        <v>1338.2368164</v>
      </c>
      <c r="J2048">
        <v>1335.8110352000001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1289.3985210000001</v>
      </c>
      <c r="B2049" s="1">
        <f>DATE(2013,11,10) + TIME(9,33,52)</f>
        <v>41588.398518518516</v>
      </c>
      <c r="C2049">
        <v>80</v>
      </c>
      <c r="D2049">
        <v>79.208290099999999</v>
      </c>
      <c r="E2049">
        <v>50</v>
      </c>
      <c r="F2049">
        <v>49.983802795000003</v>
      </c>
      <c r="G2049">
        <v>1329.4389647999999</v>
      </c>
      <c r="H2049">
        <v>1328.3218993999999</v>
      </c>
      <c r="I2049">
        <v>1338.2319336</v>
      </c>
      <c r="J2049">
        <v>1335.8081055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1289.8862099999999</v>
      </c>
      <c r="B2050" s="1">
        <f>DATE(2013,11,10) + TIME(21,16,8)</f>
        <v>41588.886203703703</v>
      </c>
      <c r="C2050">
        <v>80</v>
      </c>
      <c r="D2050">
        <v>79.174507141000007</v>
      </c>
      <c r="E2050">
        <v>50</v>
      </c>
      <c r="F2050">
        <v>49.983730315999999</v>
      </c>
      <c r="G2050">
        <v>1329.4195557</v>
      </c>
      <c r="H2050">
        <v>1328.2947998</v>
      </c>
      <c r="I2050">
        <v>1338.2269286999999</v>
      </c>
      <c r="J2050">
        <v>1335.8050536999999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1290.394198</v>
      </c>
      <c r="B2051" s="1">
        <f>DATE(2013,11,11) + TIME(9,27,38)</f>
        <v>41589.394189814811</v>
      </c>
      <c r="C2051">
        <v>80</v>
      </c>
      <c r="D2051">
        <v>79.139549255000006</v>
      </c>
      <c r="E2051">
        <v>50</v>
      </c>
      <c r="F2051">
        <v>49.98367691</v>
      </c>
      <c r="G2051">
        <v>1329.3995361</v>
      </c>
      <c r="H2051">
        <v>1328.2670897999999</v>
      </c>
      <c r="I2051">
        <v>1338.2219238</v>
      </c>
      <c r="J2051">
        <v>1335.8020019999999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1290.9160240000001</v>
      </c>
      <c r="B2052" s="1">
        <f>DATE(2013,11,11) + TIME(21,59,4)</f>
        <v>41589.916018518517</v>
      </c>
      <c r="C2052">
        <v>80</v>
      </c>
      <c r="D2052">
        <v>79.103744507000002</v>
      </c>
      <c r="E2052">
        <v>50</v>
      </c>
      <c r="F2052">
        <v>49.983631133999999</v>
      </c>
      <c r="G2052">
        <v>1329.3790283000001</v>
      </c>
      <c r="H2052">
        <v>1328.2385254000001</v>
      </c>
      <c r="I2052">
        <v>1338.2170410000001</v>
      </c>
      <c r="J2052">
        <v>1335.7989502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1291.447398</v>
      </c>
      <c r="B2053" s="1">
        <f>DATE(2013,11,12) + TIME(10,44,15)</f>
        <v>41590.447395833333</v>
      </c>
      <c r="C2053">
        <v>80</v>
      </c>
      <c r="D2053">
        <v>79.067359924000002</v>
      </c>
      <c r="E2053">
        <v>50</v>
      </c>
      <c r="F2053">
        <v>49.983596802000001</v>
      </c>
      <c r="G2053">
        <v>1329.3581543</v>
      </c>
      <c r="H2053">
        <v>1328.2094727000001</v>
      </c>
      <c r="I2053">
        <v>1338.2121582</v>
      </c>
      <c r="J2053">
        <v>1335.7958983999999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1291.987498</v>
      </c>
      <c r="B2054" s="1">
        <f>DATE(2013,11,12) + TIME(23,41,59)</f>
        <v>41590.987488425926</v>
      </c>
      <c r="C2054">
        <v>80</v>
      </c>
      <c r="D2054">
        <v>79.030555724999999</v>
      </c>
      <c r="E2054">
        <v>50</v>
      </c>
      <c r="F2054">
        <v>49.983570098999998</v>
      </c>
      <c r="G2054">
        <v>1329.3370361</v>
      </c>
      <c r="H2054">
        <v>1328.1801757999999</v>
      </c>
      <c r="I2054">
        <v>1338.2073975000001</v>
      </c>
      <c r="J2054">
        <v>1335.7929687999999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1292.5376040000001</v>
      </c>
      <c r="B2055" s="1">
        <f>DATE(2013,11,13) + TIME(12,54,9)</f>
        <v>41591.537604166668</v>
      </c>
      <c r="C2055">
        <v>80</v>
      </c>
      <c r="D2055">
        <v>78.993354796999995</v>
      </c>
      <c r="E2055">
        <v>50</v>
      </c>
      <c r="F2055">
        <v>49.983547211000001</v>
      </c>
      <c r="G2055">
        <v>1329.3157959</v>
      </c>
      <c r="H2055">
        <v>1328.1506348</v>
      </c>
      <c r="I2055">
        <v>1338.2027588000001</v>
      </c>
      <c r="J2055">
        <v>1335.7900391000001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1293.098978</v>
      </c>
      <c r="B2056" s="1">
        <f>DATE(2013,11,14) + TIME(2,22,31)</f>
        <v>41592.098969907405</v>
      </c>
      <c r="C2056">
        <v>80</v>
      </c>
      <c r="D2056">
        <v>78.955741881999998</v>
      </c>
      <c r="E2056">
        <v>50</v>
      </c>
      <c r="F2056">
        <v>49.983528137</v>
      </c>
      <c r="G2056">
        <v>1329.2943115</v>
      </c>
      <c r="H2056">
        <v>1328.1209716999999</v>
      </c>
      <c r="I2056">
        <v>1338.1983643000001</v>
      </c>
      <c r="J2056">
        <v>1335.7872314000001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1293.6729330000001</v>
      </c>
      <c r="B2057" s="1">
        <f>DATE(2013,11,14) + TIME(16,9,1)</f>
        <v>41592.67292824074</v>
      </c>
      <c r="C2057">
        <v>80</v>
      </c>
      <c r="D2057">
        <v>78.917694092000005</v>
      </c>
      <c r="E2057">
        <v>50</v>
      </c>
      <c r="F2057">
        <v>49.983512877999999</v>
      </c>
      <c r="G2057">
        <v>1329.2727050999999</v>
      </c>
      <c r="H2057">
        <v>1328.0909423999999</v>
      </c>
      <c r="I2057">
        <v>1338.1939697</v>
      </c>
      <c r="J2057">
        <v>1335.7844238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1294.2608479999999</v>
      </c>
      <c r="B2058" s="1">
        <f>DATE(2013,11,15) + TIME(6,15,37)</f>
        <v>41593.260844907411</v>
      </c>
      <c r="C2058">
        <v>80</v>
      </c>
      <c r="D2058">
        <v>78.879158020000006</v>
      </c>
      <c r="E2058">
        <v>50</v>
      </c>
      <c r="F2058">
        <v>49.983497620000001</v>
      </c>
      <c r="G2058">
        <v>1329.2508545000001</v>
      </c>
      <c r="H2058">
        <v>1328.0606689000001</v>
      </c>
      <c r="I2058">
        <v>1338.1895752</v>
      </c>
      <c r="J2058">
        <v>1335.7817382999999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1294.8641869999999</v>
      </c>
      <c r="B2059" s="1">
        <f>DATE(2013,11,15) + TIME(20,44,25)</f>
        <v>41593.864178240743</v>
      </c>
      <c r="C2059">
        <v>80</v>
      </c>
      <c r="D2059">
        <v>78.840080260999997</v>
      </c>
      <c r="E2059">
        <v>50</v>
      </c>
      <c r="F2059">
        <v>49.983486176</v>
      </c>
      <c r="G2059">
        <v>1329.2287598</v>
      </c>
      <c r="H2059">
        <v>1328.0300293</v>
      </c>
      <c r="I2059">
        <v>1338.1854248</v>
      </c>
      <c r="J2059">
        <v>1335.7790527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1295.4845230000001</v>
      </c>
      <c r="B2060" s="1">
        <f>DATE(2013,11,16) + TIME(11,37,42)</f>
        <v>41594.484513888892</v>
      </c>
      <c r="C2060">
        <v>80</v>
      </c>
      <c r="D2060">
        <v>78.800376892000003</v>
      </c>
      <c r="E2060">
        <v>50</v>
      </c>
      <c r="F2060">
        <v>49.983474731000001</v>
      </c>
      <c r="G2060">
        <v>1329.2062988</v>
      </c>
      <c r="H2060">
        <v>1327.9990233999999</v>
      </c>
      <c r="I2060">
        <v>1338.1812743999999</v>
      </c>
      <c r="J2060">
        <v>1335.7763672000001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1296.123499</v>
      </c>
      <c r="B2061" s="1">
        <f>DATE(2013,11,17) + TIME(2,57,50)</f>
        <v>41595.123495370368</v>
      </c>
      <c r="C2061">
        <v>80</v>
      </c>
      <c r="D2061">
        <v>78.759971618999998</v>
      </c>
      <c r="E2061">
        <v>50</v>
      </c>
      <c r="F2061">
        <v>49.983463286999999</v>
      </c>
      <c r="G2061">
        <v>1329.1834716999999</v>
      </c>
      <c r="H2061">
        <v>1327.9675293</v>
      </c>
      <c r="I2061">
        <v>1338.177124</v>
      </c>
      <c r="J2061">
        <v>1335.7736815999999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1296.782921</v>
      </c>
      <c r="B2062" s="1">
        <f>DATE(2013,11,17) + TIME(18,47,24)</f>
        <v>41595.782916666663</v>
      </c>
      <c r="C2062">
        <v>80</v>
      </c>
      <c r="D2062">
        <v>78.718788146999998</v>
      </c>
      <c r="E2062">
        <v>50</v>
      </c>
      <c r="F2062">
        <v>49.983455657999997</v>
      </c>
      <c r="G2062">
        <v>1329.1602783000001</v>
      </c>
      <c r="H2062">
        <v>1327.9355469</v>
      </c>
      <c r="I2062">
        <v>1338.1729736</v>
      </c>
      <c r="J2062">
        <v>1335.7711182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1297.4645</v>
      </c>
      <c r="B2063" s="1">
        <f>DATE(2013,11,18) + TIME(11,8,52)</f>
        <v>41596.464490740742</v>
      </c>
      <c r="C2063">
        <v>80</v>
      </c>
      <c r="D2063">
        <v>78.676750182999996</v>
      </c>
      <c r="E2063">
        <v>50</v>
      </c>
      <c r="F2063">
        <v>49.983444214000002</v>
      </c>
      <c r="G2063">
        <v>1329.1365966999999</v>
      </c>
      <c r="H2063">
        <v>1327.902832</v>
      </c>
      <c r="I2063">
        <v>1338.1689452999999</v>
      </c>
      <c r="J2063">
        <v>1335.7685547000001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1298.170361</v>
      </c>
      <c r="B2064" s="1">
        <f>DATE(2013,11,19) + TIME(4,5,19)</f>
        <v>41597.170358796298</v>
      </c>
      <c r="C2064">
        <v>80</v>
      </c>
      <c r="D2064">
        <v>78.633750915999997</v>
      </c>
      <c r="E2064">
        <v>50</v>
      </c>
      <c r="F2064">
        <v>49.983436584000003</v>
      </c>
      <c r="G2064">
        <v>1329.1124268000001</v>
      </c>
      <c r="H2064">
        <v>1327.8695068</v>
      </c>
      <c r="I2064">
        <v>1338.1649170000001</v>
      </c>
      <c r="J2064">
        <v>1335.7659911999999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1298.9028920000001</v>
      </c>
      <c r="B2065" s="1">
        <f>DATE(2013,11,19) + TIME(21,40,9)</f>
        <v>41597.902881944443</v>
      </c>
      <c r="C2065">
        <v>80</v>
      </c>
      <c r="D2065">
        <v>78.589683532999999</v>
      </c>
      <c r="E2065">
        <v>50</v>
      </c>
      <c r="F2065">
        <v>49.983428955000001</v>
      </c>
      <c r="G2065">
        <v>1329.0876464999999</v>
      </c>
      <c r="H2065">
        <v>1327.8354492000001</v>
      </c>
      <c r="I2065">
        <v>1338.1608887</v>
      </c>
      <c r="J2065">
        <v>1335.7634277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1299.664651</v>
      </c>
      <c r="B2066" s="1">
        <f>DATE(2013,11,20) + TIME(15,57,5)</f>
        <v>41598.664641203701</v>
      </c>
      <c r="C2066">
        <v>80</v>
      </c>
      <c r="D2066">
        <v>78.544448853000006</v>
      </c>
      <c r="E2066">
        <v>50</v>
      </c>
      <c r="F2066">
        <v>49.983421325999998</v>
      </c>
      <c r="G2066">
        <v>1329.0622559000001</v>
      </c>
      <c r="H2066">
        <v>1327.8006591999999</v>
      </c>
      <c r="I2066">
        <v>1338.1568603999999</v>
      </c>
      <c r="J2066">
        <v>1335.7608643000001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1300.458482</v>
      </c>
      <c r="B2067" s="1">
        <f>DATE(2013,11,21) + TIME(11,0,12)</f>
        <v>41599.458472222221</v>
      </c>
      <c r="C2067">
        <v>80</v>
      </c>
      <c r="D2067">
        <v>78.497924804999997</v>
      </c>
      <c r="E2067">
        <v>50</v>
      </c>
      <c r="F2067">
        <v>49.983413696</v>
      </c>
      <c r="G2067">
        <v>1329.0362548999999</v>
      </c>
      <c r="H2067">
        <v>1327.7647704999999</v>
      </c>
      <c r="I2067">
        <v>1338.1529541</v>
      </c>
      <c r="J2067">
        <v>1335.7583007999999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1301.2875469999999</v>
      </c>
      <c r="B2068" s="1">
        <f>DATE(2013,11,22) + TIME(6,54,4)</f>
        <v>41600.287546296298</v>
      </c>
      <c r="C2068">
        <v>80</v>
      </c>
      <c r="D2068">
        <v>78.449966431000007</v>
      </c>
      <c r="E2068">
        <v>50</v>
      </c>
      <c r="F2068">
        <v>49.983406066999997</v>
      </c>
      <c r="G2068">
        <v>1329.0093993999999</v>
      </c>
      <c r="H2068">
        <v>1327.7279053</v>
      </c>
      <c r="I2068">
        <v>1338.1489257999999</v>
      </c>
      <c r="J2068">
        <v>1335.7557373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1302.1554189999999</v>
      </c>
      <c r="B2069" s="1">
        <f>DATE(2013,11,23) + TIME(3,43,48)</f>
        <v>41601.155416666668</v>
      </c>
      <c r="C2069">
        <v>80</v>
      </c>
      <c r="D2069">
        <v>78.400428771999998</v>
      </c>
      <c r="E2069">
        <v>50</v>
      </c>
      <c r="F2069">
        <v>49.983398438000002</v>
      </c>
      <c r="G2069">
        <v>1328.9816894999999</v>
      </c>
      <c r="H2069">
        <v>1327.6900635</v>
      </c>
      <c r="I2069">
        <v>1338.1448975000001</v>
      </c>
      <c r="J2069">
        <v>1335.7531738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1303.0661230000001</v>
      </c>
      <c r="B2070" s="1">
        <f>DATE(2013,11,24) + TIME(1,35,13)</f>
        <v>41602.066122685188</v>
      </c>
      <c r="C2070">
        <v>80</v>
      </c>
      <c r="D2070">
        <v>78.349143982000001</v>
      </c>
      <c r="E2070">
        <v>50</v>
      </c>
      <c r="F2070">
        <v>49.983394623000002</v>
      </c>
      <c r="G2070">
        <v>1328.953125</v>
      </c>
      <c r="H2070">
        <v>1327.6508789</v>
      </c>
      <c r="I2070">
        <v>1338.1408690999999</v>
      </c>
      <c r="J2070">
        <v>1335.7506103999999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1303.999382</v>
      </c>
      <c r="B2071" s="1">
        <f>DATE(2013,11,24) + TIME(23,59,6)</f>
        <v>41602.999374999999</v>
      </c>
      <c r="C2071">
        <v>80</v>
      </c>
      <c r="D2071">
        <v>78.296554564999994</v>
      </c>
      <c r="E2071">
        <v>50</v>
      </c>
      <c r="F2071">
        <v>49.983386993000003</v>
      </c>
      <c r="G2071">
        <v>1328.9235839999999</v>
      </c>
      <c r="H2071">
        <v>1327.6103516000001</v>
      </c>
      <c r="I2071">
        <v>1338.1367187999999</v>
      </c>
      <c r="J2071">
        <v>1335.7480469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1304.9521380000001</v>
      </c>
      <c r="B2072" s="1">
        <f>DATE(2013,11,25) + TIME(22,51,4)</f>
        <v>41603.95212962963</v>
      </c>
      <c r="C2072">
        <v>80</v>
      </c>
      <c r="D2072">
        <v>78.243041992000002</v>
      </c>
      <c r="E2072">
        <v>50</v>
      </c>
      <c r="F2072">
        <v>49.983379364000001</v>
      </c>
      <c r="G2072">
        <v>1328.8934326000001</v>
      </c>
      <c r="H2072">
        <v>1327.5690918</v>
      </c>
      <c r="I2072">
        <v>1338.1326904</v>
      </c>
      <c r="J2072">
        <v>1335.7454834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1305.931505</v>
      </c>
      <c r="B2073" s="1">
        <f>DATE(2013,11,26) + TIME(22,21,22)</f>
        <v>41604.931504629632</v>
      </c>
      <c r="C2073">
        <v>80</v>
      </c>
      <c r="D2073">
        <v>78.188659668</v>
      </c>
      <c r="E2073">
        <v>50</v>
      </c>
      <c r="F2073">
        <v>49.983371734999999</v>
      </c>
      <c r="G2073">
        <v>1328.8629149999999</v>
      </c>
      <c r="H2073">
        <v>1327.5273437999999</v>
      </c>
      <c r="I2073">
        <v>1338.1287841999999</v>
      </c>
      <c r="J2073">
        <v>1335.7430420000001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1306.945037</v>
      </c>
      <c r="B2074" s="1">
        <f>DATE(2013,11,27) + TIME(22,40,51)</f>
        <v>41605.945034722223</v>
      </c>
      <c r="C2074">
        <v>80</v>
      </c>
      <c r="D2074">
        <v>78.133186339999995</v>
      </c>
      <c r="E2074">
        <v>50</v>
      </c>
      <c r="F2074">
        <v>49.983367919999999</v>
      </c>
      <c r="G2074">
        <v>1328.8319091999999</v>
      </c>
      <c r="H2074">
        <v>1327.4849853999999</v>
      </c>
      <c r="I2074">
        <v>1338.1248779</v>
      </c>
      <c r="J2074">
        <v>1335.7406006000001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1308.001227</v>
      </c>
      <c r="B2075" s="1">
        <f>DATE(2013,11,29) + TIME(0,1,46)</f>
        <v>41607.001226851855</v>
      </c>
      <c r="C2075">
        <v>80</v>
      </c>
      <c r="D2075">
        <v>78.076309203999998</v>
      </c>
      <c r="E2075">
        <v>50</v>
      </c>
      <c r="F2075">
        <v>49.983360290999997</v>
      </c>
      <c r="G2075">
        <v>1328.8001709</v>
      </c>
      <c r="H2075">
        <v>1327.4417725000001</v>
      </c>
      <c r="I2075">
        <v>1338.1209716999999</v>
      </c>
      <c r="J2075">
        <v>1335.7381591999999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1309.1024319999999</v>
      </c>
      <c r="B2076" s="1">
        <f>DATE(2013,11,30) + TIME(2,27,30)</f>
        <v>41608.102430555555</v>
      </c>
      <c r="C2076">
        <v>80</v>
      </c>
      <c r="D2076">
        <v>78.017761230000005</v>
      </c>
      <c r="E2076">
        <v>50</v>
      </c>
      <c r="F2076">
        <v>49.983356475999997</v>
      </c>
      <c r="G2076">
        <v>1328.7677002</v>
      </c>
      <c r="H2076">
        <v>1327.3974608999999</v>
      </c>
      <c r="I2076">
        <v>1338.1170654</v>
      </c>
      <c r="J2076">
        <v>1335.7358397999999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1310</v>
      </c>
      <c r="B2077" s="1">
        <f>DATE(2013,12,1) + TIME(0,0,0)</f>
        <v>41609</v>
      </c>
      <c r="C2077">
        <v>80</v>
      </c>
      <c r="D2077">
        <v>77.963287354000002</v>
      </c>
      <c r="E2077">
        <v>50</v>
      </c>
      <c r="F2077">
        <v>49.983348845999998</v>
      </c>
      <c r="G2077">
        <v>1328.7348632999999</v>
      </c>
      <c r="H2077">
        <v>1327.3527832</v>
      </c>
      <c r="I2077">
        <v>1338.1131591999999</v>
      </c>
      <c r="J2077">
        <v>1335.7333983999999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1311.1237860000001</v>
      </c>
      <c r="B2078" s="1">
        <f>DATE(2013,12,2) + TIME(2,58,15)</f>
        <v>41610.123784722222</v>
      </c>
      <c r="C2078">
        <v>80</v>
      </c>
      <c r="D2078">
        <v>77.907035828000005</v>
      </c>
      <c r="E2078">
        <v>50</v>
      </c>
      <c r="F2078">
        <v>49.983345032000003</v>
      </c>
      <c r="G2078">
        <v>1328.7055664</v>
      </c>
      <c r="H2078">
        <v>1327.3123779</v>
      </c>
      <c r="I2078">
        <v>1338.1101074000001</v>
      </c>
      <c r="J2078">
        <v>1335.7315673999999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1312.3084650000001</v>
      </c>
      <c r="B2079" s="1">
        <f>DATE(2013,12,3) + TIME(7,24,11)</f>
        <v>41611.30846064815</v>
      </c>
      <c r="C2079">
        <v>80</v>
      </c>
      <c r="D2079">
        <v>77.847122192</v>
      </c>
      <c r="E2079">
        <v>50</v>
      </c>
      <c r="F2079">
        <v>49.983337401999997</v>
      </c>
      <c r="G2079">
        <v>1328.6729736</v>
      </c>
      <c r="H2079">
        <v>1327.2681885</v>
      </c>
      <c r="I2079">
        <v>1338.1064452999999</v>
      </c>
      <c r="J2079">
        <v>1335.7293701000001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1313.511941</v>
      </c>
      <c r="B2080" s="1">
        <f>DATE(2013,12,4) + TIME(12,17,11)</f>
        <v>41612.511932870373</v>
      </c>
      <c r="C2080">
        <v>80</v>
      </c>
      <c r="D2080">
        <v>77.784873962000006</v>
      </c>
      <c r="E2080">
        <v>50</v>
      </c>
      <c r="F2080">
        <v>49.983333588000001</v>
      </c>
      <c r="G2080">
        <v>1328.6386719</v>
      </c>
      <c r="H2080">
        <v>1327.2218018000001</v>
      </c>
      <c r="I2080">
        <v>1338.1026611</v>
      </c>
      <c r="J2080">
        <v>1335.7270507999999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1314.7397229999999</v>
      </c>
      <c r="B2081" s="1">
        <f>DATE(2013,12,5) + TIME(17,45,12)</f>
        <v>41613.739722222221</v>
      </c>
      <c r="C2081">
        <v>80</v>
      </c>
      <c r="D2081">
        <v>77.721267699999999</v>
      </c>
      <c r="E2081">
        <v>50</v>
      </c>
      <c r="F2081">
        <v>49.983325958000002</v>
      </c>
      <c r="G2081">
        <v>1328.6038818</v>
      </c>
      <c r="H2081">
        <v>1327.1744385</v>
      </c>
      <c r="I2081">
        <v>1338.098999</v>
      </c>
      <c r="J2081">
        <v>1335.7248535000001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1316.0014200000001</v>
      </c>
      <c r="B2082" s="1">
        <f>DATE(2013,12,7) + TIME(0,2,2)</f>
        <v>41615.00141203704</v>
      </c>
      <c r="C2082">
        <v>80</v>
      </c>
      <c r="D2082">
        <v>77.656417847</v>
      </c>
      <c r="E2082">
        <v>50</v>
      </c>
      <c r="F2082">
        <v>49.983322143999999</v>
      </c>
      <c r="G2082">
        <v>1328.5686035000001</v>
      </c>
      <c r="H2082">
        <v>1327.1265868999999</v>
      </c>
      <c r="I2082">
        <v>1338.0953368999999</v>
      </c>
      <c r="J2082">
        <v>1335.7227783000001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1317.3073770000001</v>
      </c>
      <c r="B2083" s="1">
        <f>DATE(2013,12,8) + TIME(7,22,37)</f>
        <v>41616.307372685187</v>
      </c>
      <c r="C2083">
        <v>80</v>
      </c>
      <c r="D2083">
        <v>77.590019225999995</v>
      </c>
      <c r="E2083">
        <v>50</v>
      </c>
      <c r="F2083">
        <v>49.983314514</v>
      </c>
      <c r="G2083">
        <v>1328.5328368999999</v>
      </c>
      <c r="H2083">
        <v>1327.078125</v>
      </c>
      <c r="I2083">
        <v>1338.0916748</v>
      </c>
      <c r="J2083">
        <v>1335.7205810999999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1318.657111</v>
      </c>
      <c r="B2084" s="1">
        <f>DATE(2013,12,9) + TIME(15,46,14)</f>
        <v>41617.657106481478</v>
      </c>
      <c r="C2084">
        <v>80</v>
      </c>
      <c r="D2084">
        <v>77.521781920999999</v>
      </c>
      <c r="E2084">
        <v>50</v>
      </c>
      <c r="F2084">
        <v>49.983310699</v>
      </c>
      <c r="G2084">
        <v>1328.4964600000001</v>
      </c>
      <c r="H2084">
        <v>1327.0288086</v>
      </c>
      <c r="I2084">
        <v>1338.0881348</v>
      </c>
      <c r="J2084">
        <v>1335.7185059000001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1320.0566329999999</v>
      </c>
      <c r="B2085" s="1">
        <f>DATE(2013,12,11) + TIME(1,21,33)</f>
        <v>41619.056631944448</v>
      </c>
      <c r="C2085">
        <v>80</v>
      </c>
      <c r="D2085">
        <v>77.451477050999998</v>
      </c>
      <c r="E2085">
        <v>50</v>
      </c>
      <c r="F2085">
        <v>49.983306884999998</v>
      </c>
      <c r="G2085">
        <v>1328.4593506000001</v>
      </c>
      <c r="H2085">
        <v>1326.9786377</v>
      </c>
      <c r="I2085">
        <v>1338.0844727000001</v>
      </c>
      <c r="J2085">
        <v>1335.7165527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1321.5183469999999</v>
      </c>
      <c r="B2086" s="1">
        <f>DATE(2013,12,12) + TIME(12,26,25)</f>
        <v>41620.51834490741</v>
      </c>
      <c r="C2086">
        <v>80</v>
      </c>
      <c r="D2086">
        <v>77.378684997999997</v>
      </c>
      <c r="E2086">
        <v>50</v>
      </c>
      <c r="F2086">
        <v>49.983299254999999</v>
      </c>
      <c r="G2086">
        <v>1328.4215088000001</v>
      </c>
      <c r="H2086">
        <v>1326.9273682</v>
      </c>
      <c r="I2086">
        <v>1338.0809326000001</v>
      </c>
      <c r="J2086">
        <v>1335.7144774999999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1323.0061840000001</v>
      </c>
      <c r="B2087" s="1">
        <f>DATE(2013,12,14) + TIME(0,8,54)</f>
        <v>41622.006180555552</v>
      </c>
      <c r="C2087">
        <v>80</v>
      </c>
      <c r="D2087">
        <v>77.303550720000004</v>
      </c>
      <c r="E2087">
        <v>50</v>
      </c>
      <c r="F2087">
        <v>49.983295441000003</v>
      </c>
      <c r="G2087">
        <v>1328.3825684000001</v>
      </c>
      <c r="H2087">
        <v>1326.8748779</v>
      </c>
      <c r="I2087">
        <v>1338.0772704999999</v>
      </c>
      <c r="J2087">
        <v>1335.7125243999999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1324.5184939999999</v>
      </c>
      <c r="B2088" s="1">
        <f>DATE(2013,12,15) + TIME(12,26,37)</f>
        <v>41623.518483796295</v>
      </c>
      <c r="C2088">
        <v>80</v>
      </c>
      <c r="D2088">
        <v>77.226768493999998</v>
      </c>
      <c r="E2088">
        <v>50</v>
      </c>
      <c r="F2088">
        <v>49.983291626000003</v>
      </c>
      <c r="G2088">
        <v>1328.3433838000001</v>
      </c>
      <c r="H2088">
        <v>1326.8217772999999</v>
      </c>
      <c r="I2088">
        <v>1338.0737305</v>
      </c>
      <c r="J2088">
        <v>1335.7105713000001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1326.04872</v>
      </c>
      <c r="B2089" s="1">
        <f>DATE(2013,12,17) + TIME(1,10,9)</f>
        <v>41625.048715277779</v>
      </c>
      <c r="C2089">
        <v>80</v>
      </c>
      <c r="D2089">
        <v>77.148658752000003</v>
      </c>
      <c r="E2089">
        <v>50</v>
      </c>
      <c r="F2089">
        <v>49.983283997000001</v>
      </c>
      <c r="G2089">
        <v>1328.3038329999999</v>
      </c>
      <c r="H2089">
        <v>1326.7685547000001</v>
      </c>
      <c r="I2089">
        <v>1338.0701904</v>
      </c>
      <c r="J2089">
        <v>1335.7086182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1327.607573</v>
      </c>
      <c r="B2090" s="1">
        <f>DATE(2013,12,18) + TIME(14,34,54)</f>
        <v>41626.607569444444</v>
      </c>
      <c r="C2090">
        <v>80</v>
      </c>
      <c r="D2090">
        <v>77.069213867000002</v>
      </c>
      <c r="E2090">
        <v>50</v>
      </c>
      <c r="F2090">
        <v>49.983280182000001</v>
      </c>
      <c r="G2090">
        <v>1328.2644043</v>
      </c>
      <c r="H2090">
        <v>1326.7152100000001</v>
      </c>
      <c r="I2090">
        <v>1338.0667725000001</v>
      </c>
      <c r="J2090">
        <v>1335.7069091999999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1329.2071350000001</v>
      </c>
      <c r="B2091" s="1">
        <f>DATE(2013,12,20) + TIME(4,58,16)</f>
        <v>41628.207129629627</v>
      </c>
      <c r="C2091">
        <v>80</v>
      </c>
      <c r="D2091">
        <v>76.987968445000007</v>
      </c>
      <c r="E2091">
        <v>50</v>
      </c>
      <c r="F2091">
        <v>49.983276367000002</v>
      </c>
      <c r="G2091">
        <v>1328.2248535000001</v>
      </c>
      <c r="H2091">
        <v>1326.6618652</v>
      </c>
      <c r="I2091">
        <v>1338.0633545000001</v>
      </c>
      <c r="J2091">
        <v>1335.7050781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1330.8603720000001</v>
      </c>
      <c r="B2092" s="1">
        <f>DATE(2013,12,21) + TIME(20,38,56)</f>
        <v>41629.86037037037</v>
      </c>
      <c r="C2092">
        <v>80</v>
      </c>
      <c r="D2092">
        <v>76.904273986999996</v>
      </c>
      <c r="E2092">
        <v>50</v>
      </c>
      <c r="F2092">
        <v>49.983268738</v>
      </c>
      <c r="G2092">
        <v>1328.1849365</v>
      </c>
      <c r="H2092">
        <v>1326.6081543</v>
      </c>
      <c r="I2092">
        <v>1338.0599365</v>
      </c>
      <c r="J2092">
        <v>1335.7033690999999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1332.5818469999999</v>
      </c>
      <c r="B2093" s="1">
        <f>DATE(2013,12,23) + TIME(13,57,51)</f>
        <v>41631.58184027778</v>
      </c>
      <c r="C2093">
        <v>80</v>
      </c>
      <c r="D2093">
        <v>76.817352295000006</v>
      </c>
      <c r="E2093">
        <v>50</v>
      </c>
      <c r="F2093">
        <v>49.983264923</v>
      </c>
      <c r="G2093">
        <v>1328.1444091999999</v>
      </c>
      <c r="H2093">
        <v>1326.5537108999999</v>
      </c>
      <c r="I2093">
        <v>1338.0566406</v>
      </c>
      <c r="J2093">
        <v>1335.7016602000001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1334.3781719999999</v>
      </c>
      <c r="B2094" s="1">
        <f>DATE(2013,12,25) + TIME(9,4,34)</f>
        <v>41633.378171296295</v>
      </c>
      <c r="C2094">
        <v>80</v>
      </c>
      <c r="D2094">
        <v>76.726448059000006</v>
      </c>
      <c r="E2094">
        <v>50</v>
      </c>
      <c r="F2094">
        <v>49.983261108000001</v>
      </c>
      <c r="G2094">
        <v>1328.1030272999999</v>
      </c>
      <c r="H2094">
        <v>1326.4981689000001</v>
      </c>
      <c r="I2094">
        <v>1338.0532227000001</v>
      </c>
      <c r="J2094">
        <v>1335.6999512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1336.202501</v>
      </c>
      <c r="B2095" s="1">
        <f>DATE(2013,12,27) + TIME(4,51,36)</f>
        <v>41635.202499999999</v>
      </c>
      <c r="C2095">
        <v>80</v>
      </c>
      <c r="D2095">
        <v>76.631683350000003</v>
      </c>
      <c r="E2095">
        <v>50</v>
      </c>
      <c r="F2095">
        <v>49.983253478999998</v>
      </c>
      <c r="G2095">
        <v>1328.0606689000001</v>
      </c>
      <c r="H2095">
        <v>1326.4412841999999</v>
      </c>
      <c r="I2095">
        <v>1338.0496826000001</v>
      </c>
      <c r="J2095">
        <v>1335.6983643000001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1338.0419199999999</v>
      </c>
      <c r="B2096" s="1">
        <f>DATE(2013,12,29) + TIME(1,0,21)</f>
        <v>41637.041909722226</v>
      </c>
      <c r="C2096">
        <v>80</v>
      </c>
      <c r="D2096">
        <v>76.534362793</v>
      </c>
      <c r="E2096">
        <v>50</v>
      </c>
      <c r="F2096">
        <v>49.983249663999999</v>
      </c>
      <c r="G2096">
        <v>1328.0179443</v>
      </c>
      <c r="H2096">
        <v>1326.3839111</v>
      </c>
      <c r="I2096">
        <v>1338.0462646000001</v>
      </c>
      <c r="J2096">
        <v>1335.6966553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1339.911294</v>
      </c>
      <c r="B2097" s="1">
        <f>DATE(2013,12,30) + TIME(21,52,15)</f>
        <v>41638.91128472222</v>
      </c>
      <c r="C2097">
        <v>80</v>
      </c>
      <c r="D2097">
        <v>76.434898376000007</v>
      </c>
      <c r="E2097">
        <v>50</v>
      </c>
      <c r="F2097">
        <v>49.983245850000003</v>
      </c>
      <c r="G2097">
        <v>1327.9754639</v>
      </c>
      <c r="H2097">
        <v>1326.3267822</v>
      </c>
      <c r="I2097">
        <v>1338.0429687999999</v>
      </c>
      <c r="J2097">
        <v>1335.6951904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1341</v>
      </c>
      <c r="B2098" s="1">
        <f>DATE(2014,1,1) + TIME(0,0,0)</f>
        <v>41640</v>
      </c>
      <c r="C2098">
        <v>80</v>
      </c>
      <c r="D2098">
        <v>76.348785399999997</v>
      </c>
      <c r="E2098">
        <v>50</v>
      </c>
      <c r="F2098">
        <v>49.983238219999997</v>
      </c>
      <c r="G2098">
        <v>1327.9337158000001</v>
      </c>
      <c r="H2098">
        <v>1326.2714844</v>
      </c>
      <c r="I2098">
        <v>1338.0395507999999</v>
      </c>
      <c r="J2098">
        <v>1335.6934814000001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1342.914491</v>
      </c>
      <c r="B2099" s="1">
        <f>DATE(2014,1,2) + TIME(21,56,52)</f>
        <v>41641.914490740739</v>
      </c>
      <c r="C2099">
        <v>80</v>
      </c>
      <c r="D2099">
        <v>76.266151428000001</v>
      </c>
      <c r="E2099">
        <v>50</v>
      </c>
      <c r="F2099">
        <v>49.983238219999997</v>
      </c>
      <c r="G2099">
        <v>1327.9033202999999</v>
      </c>
      <c r="H2099">
        <v>1326.2285156</v>
      </c>
      <c r="I2099">
        <v>1338.0377197</v>
      </c>
      <c r="J2099">
        <v>1335.692749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1344.9297349999999</v>
      </c>
      <c r="B2100" s="1">
        <f>DATE(2014,1,4) + TIME(22,18,49)</f>
        <v>41643.9297337963</v>
      </c>
      <c r="C2100">
        <v>80</v>
      </c>
      <c r="D2100">
        <v>76.164291382000002</v>
      </c>
      <c r="E2100">
        <v>50</v>
      </c>
      <c r="F2100">
        <v>49.983234406000001</v>
      </c>
      <c r="G2100">
        <v>1327.8647461</v>
      </c>
      <c r="H2100">
        <v>1326.1779785000001</v>
      </c>
      <c r="I2100">
        <v>1338.0345459</v>
      </c>
      <c r="J2100">
        <v>1335.6914062000001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1347.0120549999999</v>
      </c>
      <c r="B2101" s="1">
        <f>DATE(2014,1,7) + TIME(0,17,21)</f>
        <v>41646.012048611112</v>
      </c>
      <c r="C2101">
        <v>80</v>
      </c>
      <c r="D2101">
        <v>76.052772521999998</v>
      </c>
      <c r="E2101">
        <v>50</v>
      </c>
      <c r="F2101">
        <v>49.983226776000002</v>
      </c>
      <c r="G2101">
        <v>1327.8223877</v>
      </c>
      <c r="H2101">
        <v>1326.1217041</v>
      </c>
      <c r="I2101">
        <v>1338.0311279</v>
      </c>
      <c r="J2101">
        <v>1335.6899414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1349.1799149999999</v>
      </c>
      <c r="B2102" s="1">
        <f>DATE(2014,1,9) + TIME(4,19,4)</f>
        <v>41648.179907407408</v>
      </c>
      <c r="C2102">
        <v>80</v>
      </c>
      <c r="D2102">
        <v>75.934753418</v>
      </c>
      <c r="E2102">
        <v>50</v>
      </c>
      <c r="F2102">
        <v>49.983222961000003</v>
      </c>
      <c r="G2102">
        <v>1327.7785644999999</v>
      </c>
      <c r="H2102">
        <v>1326.0631103999999</v>
      </c>
      <c r="I2102">
        <v>1338.027832</v>
      </c>
      <c r="J2102">
        <v>1335.6884766000001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1351.388923</v>
      </c>
      <c r="B2103" s="1">
        <f>DATE(2014,1,11) + TIME(9,20,2)</f>
        <v>41650.388912037037</v>
      </c>
      <c r="C2103">
        <v>80</v>
      </c>
      <c r="D2103">
        <v>75.810806274000001</v>
      </c>
      <c r="E2103">
        <v>50</v>
      </c>
      <c r="F2103">
        <v>49.983219147</v>
      </c>
      <c r="G2103">
        <v>1327.7335204999999</v>
      </c>
      <c r="H2103">
        <v>1326.0031738</v>
      </c>
      <c r="I2103">
        <v>1338.0244141000001</v>
      </c>
      <c r="J2103">
        <v>1335.6871338000001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1353.624832</v>
      </c>
      <c r="B2104" s="1">
        <f>DATE(2014,1,13) + TIME(14,59,45)</f>
        <v>41652.624826388892</v>
      </c>
      <c r="C2104">
        <v>80</v>
      </c>
      <c r="D2104">
        <v>75.682548522999994</v>
      </c>
      <c r="E2104">
        <v>50</v>
      </c>
      <c r="F2104">
        <v>49.983211517000001</v>
      </c>
      <c r="G2104">
        <v>1327.6882324000001</v>
      </c>
      <c r="H2104">
        <v>1325.942749</v>
      </c>
      <c r="I2104">
        <v>1338.0209961</v>
      </c>
      <c r="J2104">
        <v>1335.6857910000001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1355.9068119999999</v>
      </c>
      <c r="B2105" s="1">
        <f>DATE(2014,1,15) + TIME(21,45,48)</f>
        <v>41654.906805555554</v>
      </c>
      <c r="C2105">
        <v>80</v>
      </c>
      <c r="D2105">
        <v>75.550521850999999</v>
      </c>
      <c r="E2105">
        <v>50</v>
      </c>
      <c r="F2105">
        <v>49.983207702999998</v>
      </c>
      <c r="G2105">
        <v>1327.6430664</v>
      </c>
      <c r="H2105">
        <v>1325.8823242000001</v>
      </c>
      <c r="I2105">
        <v>1338.0175781</v>
      </c>
      <c r="J2105">
        <v>1335.6844481999999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1358.2548019999999</v>
      </c>
      <c r="B2106" s="1">
        <f>DATE(2014,1,18) + TIME(6,6,54)</f>
        <v>41657.254791666666</v>
      </c>
      <c r="C2106">
        <v>80</v>
      </c>
      <c r="D2106">
        <v>75.413871764999996</v>
      </c>
      <c r="E2106">
        <v>50</v>
      </c>
      <c r="F2106">
        <v>49.983203887999998</v>
      </c>
      <c r="G2106">
        <v>1327.5979004000001</v>
      </c>
      <c r="H2106">
        <v>1325.8221435999999</v>
      </c>
      <c r="I2106">
        <v>1338.0142822</v>
      </c>
      <c r="J2106">
        <v>1335.6831055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1360.672262</v>
      </c>
      <c r="B2107" s="1">
        <f>DATE(2014,1,20) + TIME(16,8,3)</f>
        <v>41659.672256944446</v>
      </c>
      <c r="C2107">
        <v>80</v>
      </c>
      <c r="D2107">
        <v>75.271575928000004</v>
      </c>
      <c r="E2107">
        <v>50</v>
      </c>
      <c r="F2107">
        <v>49.983200072999999</v>
      </c>
      <c r="G2107">
        <v>1327.5523682</v>
      </c>
      <c r="H2107">
        <v>1325.7614745999999</v>
      </c>
      <c r="I2107">
        <v>1338.0108643000001</v>
      </c>
      <c r="J2107">
        <v>1335.6818848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1363.13625</v>
      </c>
      <c r="B2108" s="1">
        <f>DATE(2014,1,23) + TIME(3,16,12)</f>
        <v>41662.136250000003</v>
      </c>
      <c r="C2108">
        <v>80</v>
      </c>
      <c r="D2108">
        <v>75.123481749999996</v>
      </c>
      <c r="E2108">
        <v>50</v>
      </c>
      <c r="F2108">
        <v>49.983192443999997</v>
      </c>
      <c r="G2108">
        <v>1327.5065918</v>
      </c>
      <c r="H2108">
        <v>1325.7005615</v>
      </c>
      <c r="I2108">
        <v>1338.0075684000001</v>
      </c>
      <c r="J2108">
        <v>1335.6805420000001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1365.65425</v>
      </c>
      <c r="B2109" s="1">
        <f>DATE(2014,1,25) + TIME(15,42,7)</f>
        <v>41664.654247685183</v>
      </c>
      <c r="C2109">
        <v>80</v>
      </c>
      <c r="D2109">
        <v>74.970153808999996</v>
      </c>
      <c r="E2109">
        <v>50</v>
      </c>
      <c r="F2109">
        <v>49.983188628999997</v>
      </c>
      <c r="G2109">
        <v>1327.4606934000001</v>
      </c>
      <c r="H2109">
        <v>1325.6394043</v>
      </c>
      <c r="I2109">
        <v>1338.0041504000001</v>
      </c>
      <c r="J2109">
        <v>1335.6793213000001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1368.245602</v>
      </c>
      <c r="B2110" s="1">
        <f>DATE(2014,1,28) + TIME(5,53,40)</f>
        <v>41667.24560185185</v>
      </c>
      <c r="C2110">
        <v>80</v>
      </c>
      <c r="D2110">
        <v>74.811004639000004</v>
      </c>
      <c r="E2110">
        <v>50</v>
      </c>
      <c r="F2110">
        <v>49.983184813999998</v>
      </c>
      <c r="G2110">
        <v>1327.4146728999999</v>
      </c>
      <c r="H2110">
        <v>1325.578125</v>
      </c>
      <c r="I2110">
        <v>1338.0007324000001</v>
      </c>
      <c r="J2110">
        <v>1335.6781006000001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1370.931368</v>
      </c>
      <c r="B2111" s="1">
        <f>DATE(2014,1,30) + TIME(22,21,10)</f>
        <v>41669.93136574074</v>
      </c>
      <c r="C2111">
        <v>80</v>
      </c>
      <c r="D2111">
        <v>74.644943237000007</v>
      </c>
      <c r="E2111">
        <v>50</v>
      </c>
      <c r="F2111">
        <v>49.983181000000002</v>
      </c>
      <c r="G2111">
        <v>1327.3684082</v>
      </c>
      <c r="H2111">
        <v>1325.5167236</v>
      </c>
      <c r="I2111">
        <v>1337.9973144999999</v>
      </c>
      <c r="J2111">
        <v>1335.6770019999999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1372</v>
      </c>
      <c r="B2112" s="1">
        <f>DATE(2014,2,1) + TIME(0,0,0)</f>
        <v>41671</v>
      </c>
      <c r="C2112">
        <v>80</v>
      </c>
      <c r="D2112">
        <v>74.508071899000001</v>
      </c>
      <c r="E2112">
        <v>50</v>
      </c>
      <c r="F2112">
        <v>49.983173370000003</v>
      </c>
      <c r="G2112">
        <v>1327.3226318</v>
      </c>
      <c r="H2112">
        <v>1325.4571533000001</v>
      </c>
      <c r="I2112">
        <v>1337.9937743999999</v>
      </c>
      <c r="J2112">
        <v>1335.6756591999999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1374.738468</v>
      </c>
      <c r="B2113" s="1">
        <f>DATE(2014,2,3) + TIME(17,43,23)</f>
        <v>41673.73846064815</v>
      </c>
      <c r="C2113">
        <v>80</v>
      </c>
      <c r="D2113">
        <v>74.389366150000001</v>
      </c>
      <c r="E2113">
        <v>50</v>
      </c>
      <c r="F2113">
        <v>49.983173370000003</v>
      </c>
      <c r="G2113">
        <v>1327.2952881000001</v>
      </c>
      <c r="H2113">
        <v>1325.4168701000001</v>
      </c>
      <c r="I2113">
        <v>1337.9925536999999</v>
      </c>
      <c r="J2113">
        <v>1335.675293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1377.5685840000001</v>
      </c>
      <c r="B2114" s="1">
        <f>DATE(2014,2,6) + TIME(13,38,45)</f>
        <v>41676.568576388891</v>
      </c>
      <c r="C2114">
        <v>80</v>
      </c>
      <c r="D2114">
        <v>74.217864989999995</v>
      </c>
      <c r="E2114">
        <v>50</v>
      </c>
      <c r="F2114">
        <v>49.983169556</v>
      </c>
      <c r="G2114">
        <v>1327.2548827999999</v>
      </c>
      <c r="H2114">
        <v>1325.3654785000001</v>
      </c>
      <c r="I2114">
        <v>1337.9890137</v>
      </c>
      <c r="J2114">
        <v>1335.6740723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1380.492485</v>
      </c>
      <c r="B2115" s="1">
        <f>DATE(2014,2,9) + TIME(11,49,10)</f>
        <v>41679.492476851854</v>
      </c>
      <c r="C2115">
        <v>80</v>
      </c>
      <c r="D2115">
        <v>74.030082703000005</v>
      </c>
      <c r="E2115">
        <v>50</v>
      </c>
      <c r="F2115">
        <v>49.983165741000001</v>
      </c>
      <c r="G2115">
        <v>1327.2092285000001</v>
      </c>
      <c r="H2115">
        <v>1325.3051757999999</v>
      </c>
      <c r="I2115">
        <v>1337.9854736</v>
      </c>
      <c r="J2115">
        <v>1335.6729736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1383.5136259999999</v>
      </c>
      <c r="B2116" s="1">
        <f>DATE(2014,2,12) + TIME(12,19,37)</f>
        <v>41682.513622685183</v>
      </c>
      <c r="C2116">
        <v>80</v>
      </c>
      <c r="D2116">
        <v>73.832374572999996</v>
      </c>
      <c r="E2116">
        <v>50</v>
      </c>
      <c r="F2116">
        <v>49.983161926000001</v>
      </c>
      <c r="G2116">
        <v>1327.1621094</v>
      </c>
      <c r="H2116">
        <v>1325.2427978999999</v>
      </c>
      <c r="I2116">
        <v>1337.9819336</v>
      </c>
      <c r="J2116">
        <v>1335.6717529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1386.553862</v>
      </c>
      <c r="B2117" s="1">
        <f>DATE(2014,2,15) + TIME(13,17,33)</f>
        <v>41685.553854166668</v>
      </c>
      <c r="C2117">
        <v>80</v>
      </c>
      <c r="D2117">
        <v>73.626106261999993</v>
      </c>
      <c r="E2117">
        <v>50</v>
      </c>
      <c r="F2117">
        <v>49.983158111999998</v>
      </c>
      <c r="G2117">
        <v>1327.1142577999999</v>
      </c>
      <c r="H2117">
        <v>1325.1796875</v>
      </c>
      <c r="I2117">
        <v>1337.9782714999999</v>
      </c>
      <c r="J2117">
        <v>1335.6705322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1389.635342</v>
      </c>
      <c r="B2118" s="1">
        <f>DATE(2014,2,18) + TIME(15,14,53)</f>
        <v>41688.635335648149</v>
      </c>
      <c r="C2118">
        <v>80</v>
      </c>
      <c r="D2118">
        <v>73.415084839000002</v>
      </c>
      <c r="E2118">
        <v>50</v>
      </c>
      <c r="F2118">
        <v>49.983154296999999</v>
      </c>
      <c r="G2118">
        <v>1327.0668945</v>
      </c>
      <c r="H2118">
        <v>1325.1166992000001</v>
      </c>
      <c r="I2118">
        <v>1337.9747314000001</v>
      </c>
      <c r="J2118">
        <v>1335.6694336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1392.8006720000001</v>
      </c>
      <c r="B2119" s="1">
        <f>DATE(2014,2,21) + TIME(19,12,58)</f>
        <v>41691.800671296296</v>
      </c>
      <c r="C2119">
        <v>80</v>
      </c>
      <c r="D2119">
        <v>73.198280334000003</v>
      </c>
      <c r="E2119">
        <v>50</v>
      </c>
      <c r="F2119">
        <v>49.983150481999999</v>
      </c>
      <c r="G2119">
        <v>1327.0198975000001</v>
      </c>
      <c r="H2119">
        <v>1325.0544434000001</v>
      </c>
      <c r="I2119">
        <v>1337.9710693</v>
      </c>
      <c r="J2119">
        <v>1335.6682129000001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1396.0789480000001</v>
      </c>
      <c r="B2120" s="1">
        <f>DATE(2014,2,25) + TIME(1,53,41)</f>
        <v>41695.078946759262</v>
      </c>
      <c r="C2120">
        <v>80</v>
      </c>
      <c r="D2120">
        <v>72.973236084000007</v>
      </c>
      <c r="E2120">
        <v>50</v>
      </c>
      <c r="F2120">
        <v>49.983146667</v>
      </c>
      <c r="G2120">
        <v>1326.9730225000001</v>
      </c>
      <c r="H2120">
        <v>1324.9923096</v>
      </c>
      <c r="I2120">
        <v>1337.9675293</v>
      </c>
      <c r="J2120">
        <v>1335.6671143000001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1399.4900319999999</v>
      </c>
      <c r="B2121" s="1">
        <f>DATE(2014,2,28) + TIME(11,45,38)</f>
        <v>41698.490023148152</v>
      </c>
      <c r="C2121">
        <v>80</v>
      </c>
      <c r="D2121">
        <v>72.737701415999993</v>
      </c>
      <c r="E2121">
        <v>50</v>
      </c>
      <c r="F2121">
        <v>49.983142852999997</v>
      </c>
      <c r="G2121">
        <v>1326.9257812000001</v>
      </c>
      <c r="H2121">
        <v>1324.9298096</v>
      </c>
      <c r="I2121">
        <v>1337.9637451000001</v>
      </c>
      <c r="J2121">
        <v>1335.6658935999999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1400</v>
      </c>
      <c r="B2122" s="1">
        <f>DATE(2014,3,1) + TIME(0,0,0)</f>
        <v>41699</v>
      </c>
      <c r="C2122">
        <v>80</v>
      </c>
      <c r="D2122">
        <v>72.599304199000002</v>
      </c>
      <c r="E2122">
        <v>50</v>
      </c>
      <c r="F2122">
        <v>49.983135222999998</v>
      </c>
      <c r="G2122">
        <v>1326.8796387</v>
      </c>
      <c r="H2122">
        <v>1324.8720702999999</v>
      </c>
      <c r="I2122">
        <v>1337.9600829999999</v>
      </c>
      <c r="J2122">
        <v>1335.6646728999999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1403.5539209999999</v>
      </c>
      <c r="B2123" s="1">
        <f>DATE(2014,3,4) + TIME(13,17,38)</f>
        <v>41702.553912037038</v>
      </c>
      <c r="C2123">
        <v>80</v>
      </c>
      <c r="D2123">
        <v>72.439247131000002</v>
      </c>
      <c r="E2123">
        <v>50</v>
      </c>
      <c r="F2123">
        <v>49.983139037999997</v>
      </c>
      <c r="G2123">
        <v>1326.8631591999999</v>
      </c>
      <c r="H2123">
        <v>1324.84375</v>
      </c>
      <c r="I2123">
        <v>1337.9593506000001</v>
      </c>
      <c r="J2123">
        <v>1335.6644286999999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1407.2626680000001</v>
      </c>
      <c r="B2124" s="1">
        <f>DATE(2014,3,8) + TIME(6,18,14)</f>
        <v>41706.262662037036</v>
      </c>
      <c r="C2124">
        <v>80</v>
      </c>
      <c r="D2124">
        <v>72.189521790000001</v>
      </c>
      <c r="E2124">
        <v>50</v>
      </c>
      <c r="F2124">
        <v>49.983139037999997</v>
      </c>
      <c r="G2124">
        <v>1326.8211670000001</v>
      </c>
      <c r="H2124">
        <v>1324.7910156</v>
      </c>
      <c r="I2124">
        <v>1337.9554443</v>
      </c>
      <c r="J2124">
        <v>1335.6632079999999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1411.0187109999999</v>
      </c>
      <c r="B2125" s="1">
        <f>DATE(2014,3,12) + TIME(0,26,56)</f>
        <v>41710.018703703703</v>
      </c>
      <c r="C2125">
        <v>80</v>
      </c>
      <c r="D2125">
        <v>71.916900635000005</v>
      </c>
      <c r="E2125">
        <v>50</v>
      </c>
      <c r="F2125">
        <v>49.983135222999998</v>
      </c>
      <c r="G2125">
        <v>1326.7729492000001</v>
      </c>
      <c r="H2125">
        <v>1324.7277832</v>
      </c>
      <c r="I2125">
        <v>1337.9514160000001</v>
      </c>
      <c r="J2125">
        <v>1335.6619873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1414.8167209999999</v>
      </c>
      <c r="B2126" s="1">
        <f>DATE(2014,3,15) + TIME(19,36,4)</f>
        <v>41713.816712962966</v>
      </c>
      <c r="C2126">
        <v>80</v>
      </c>
      <c r="D2126">
        <v>71.635765075999998</v>
      </c>
      <c r="E2126">
        <v>50</v>
      </c>
      <c r="F2126">
        <v>49.983131409000002</v>
      </c>
      <c r="G2126">
        <v>1326.7241211</v>
      </c>
      <c r="H2126">
        <v>1324.6632079999999</v>
      </c>
      <c r="I2126">
        <v>1337.9473877</v>
      </c>
      <c r="J2126">
        <v>1335.6606445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1418.6429659999999</v>
      </c>
      <c r="B2127" s="1">
        <f>DATE(2014,3,19) + TIME(15,25,52)</f>
        <v>41717.642962962964</v>
      </c>
      <c r="C2127">
        <v>80</v>
      </c>
      <c r="D2127">
        <v>71.348548889</v>
      </c>
      <c r="E2127">
        <v>50</v>
      </c>
      <c r="F2127">
        <v>49.983127594000003</v>
      </c>
      <c r="G2127">
        <v>1326.6759033000001</v>
      </c>
      <c r="H2127">
        <v>1324.5992432</v>
      </c>
      <c r="I2127">
        <v>1337.9433594</v>
      </c>
      <c r="J2127">
        <v>1335.6593018000001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1422.551862</v>
      </c>
      <c r="B2128" s="1">
        <f>DATE(2014,3,23) + TIME(13,14,40)</f>
        <v>41721.551851851851</v>
      </c>
      <c r="C2128">
        <v>80</v>
      </c>
      <c r="D2128">
        <v>71.055641174000002</v>
      </c>
      <c r="E2128">
        <v>50</v>
      </c>
      <c r="F2128">
        <v>49.983127594000003</v>
      </c>
      <c r="G2128">
        <v>1326.628418</v>
      </c>
      <c r="H2128">
        <v>1324.5363769999999</v>
      </c>
      <c r="I2128">
        <v>1337.9393310999999</v>
      </c>
      <c r="J2128">
        <v>1335.6579589999999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1426.5654910000001</v>
      </c>
      <c r="B2129" s="1">
        <f>DATE(2014,3,27) + TIME(13,34,18)</f>
        <v>41725.565486111111</v>
      </c>
      <c r="C2129">
        <v>80</v>
      </c>
      <c r="D2129">
        <v>70.754257202000005</v>
      </c>
      <c r="E2129">
        <v>50</v>
      </c>
      <c r="F2129">
        <v>49.983123779000003</v>
      </c>
      <c r="G2129">
        <v>1326.581543</v>
      </c>
      <c r="H2129">
        <v>1324.4742432</v>
      </c>
      <c r="I2129">
        <v>1337.9351807</v>
      </c>
      <c r="J2129">
        <v>1335.6566161999999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1430.7493549999999</v>
      </c>
      <c r="B2130" s="1">
        <f>DATE(2014,3,31) + TIME(17,59,4)</f>
        <v>41729.749351851853</v>
      </c>
      <c r="C2130">
        <v>80</v>
      </c>
      <c r="D2130">
        <v>70.441238403</v>
      </c>
      <c r="E2130">
        <v>50</v>
      </c>
      <c r="F2130">
        <v>49.983123779000003</v>
      </c>
      <c r="G2130">
        <v>1326.5347899999999</v>
      </c>
      <c r="H2130">
        <v>1324.4123535000001</v>
      </c>
      <c r="I2130">
        <v>1337.9310303</v>
      </c>
      <c r="J2130">
        <v>1335.6552733999999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1431</v>
      </c>
      <c r="B2131" s="1">
        <f>DATE(2014,4,1) + TIME(0,0,0)</f>
        <v>41730</v>
      </c>
      <c r="C2131">
        <v>80</v>
      </c>
      <c r="D2131">
        <v>70.322570800999998</v>
      </c>
      <c r="E2131">
        <v>50</v>
      </c>
      <c r="F2131">
        <v>49.983119965</v>
      </c>
      <c r="G2131">
        <v>1326.4892577999999</v>
      </c>
      <c r="H2131">
        <v>1324.3579102000001</v>
      </c>
      <c r="I2131">
        <v>1337.9276123</v>
      </c>
      <c r="J2131">
        <v>1335.6542969</v>
      </c>
      <c r="K2131">
        <v>0</v>
      </c>
      <c r="L2131">
        <v>2400</v>
      </c>
      <c r="M2131">
        <v>2400</v>
      </c>
      <c r="N2131">
        <v>0</v>
      </c>
    </row>
    <row r="2132" spans="1:14" x14ac:dyDescent="0.25">
      <c r="A2132">
        <v>1435.3857049999999</v>
      </c>
      <c r="B2132" s="1">
        <f>DATE(2014,4,5) + TIME(9,15,24)</f>
        <v>41734.385694444441</v>
      </c>
      <c r="C2132">
        <v>80</v>
      </c>
      <c r="D2132">
        <v>70.082817078000005</v>
      </c>
      <c r="E2132">
        <v>50</v>
      </c>
      <c r="F2132">
        <v>49.983123779000003</v>
      </c>
      <c r="G2132">
        <v>1326.4796143000001</v>
      </c>
      <c r="H2132">
        <v>1324.3371582</v>
      </c>
      <c r="I2132">
        <v>1337.9265137</v>
      </c>
      <c r="J2132">
        <v>1335.6536865</v>
      </c>
      <c r="K2132">
        <v>0</v>
      </c>
      <c r="L2132">
        <v>2400</v>
      </c>
      <c r="M2132">
        <v>2400</v>
      </c>
      <c r="N2132">
        <v>0</v>
      </c>
    </row>
    <row r="2133" spans="1:14" x14ac:dyDescent="0.25">
      <c r="A2133">
        <v>1439.916446</v>
      </c>
      <c r="B2133" s="1">
        <f>DATE(2014,4,9) + TIME(21,59,40)</f>
        <v>41738.916435185187</v>
      </c>
      <c r="C2133">
        <v>80</v>
      </c>
      <c r="D2133">
        <v>69.743354796999995</v>
      </c>
      <c r="E2133">
        <v>50</v>
      </c>
      <c r="F2133">
        <v>49.983123779000003</v>
      </c>
      <c r="G2133">
        <v>1326.4365233999999</v>
      </c>
      <c r="H2133">
        <v>1324.2822266000001</v>
      </c>
      <c r="I2133">
        <v>1337.9221190999999</v>
      </c>
      <c r="J2133">
        <v>1335.6522216999999</v>
      </c>
      <c r="K2133">
        <v>0</v>
      </c>
      <c r="L2133">
        <v>2400</v>
      </c>
      <c r="M2133">
        <v>2400</v>
      </c>
      <c r="N2133">
        <v>0</v>
      </c>
    </row>
    <row r="2134" spans="1:14" x14ac:dyDescent="0.25">
      <c r="A2134">
        <v>1444.468797</v>
      </c>
      <c r="B2134" s="1">
        <f>DATE(2014,4,14) + TIME(11,15,4)</f>
        <v>41743.4687962963</v>
      </c>
      <c r="C2134">
        <v>80</v>
      </c>
      <c r="D2134">
        <v>69.386337280000006</v>
      </c>
      <c r="E2134">
        <v>50</v>
      </c>
      <c r="F2134">
        <v>49.983123779000003</v>
      </c>
      <c r="G2134">
        <v>1326.3890381000001</v>
      </c>
      <c r="H2134">
        <v>1324.2197266000001</v>
      </c>
      <c r="I2134">
        <v>1337.9176024999999</v>
      </c>
      <c r="J2134">
        <v>1335.6505127</v>
      </c>
      <c r="K2134">
        <v>0</v>
      </c>
      <c r="L2134">
        <v>2400</v>
      </c>
      <c r="M2134">
        <v>2400</v>
      </c>
      <c r="N2134">
        <v>0</v>
      </c>
    </row>
    <row r="2135" spans="1:14" x14ac:dyDescent="0.25">
      <c r="A2135">
        <v>1449.038675</v>
      </c>
      <c r="B2135" s="1">
        <f>DATE(2014,4,19) + TIME(0,55,41)</f>
        <v>41748.038668981484</v>
      </c>
      <c r="C2135">
        <v>80</v>
      </c>
      <c r="D2135">
        <v>69.013938904</v>
      </c>
      <c r="E2135">
        <v>50</v>
      </c>
      <c r="F2135">
        <v>49.983123779000003</v>
      </c>
      <c r="G2135">
        <v>1326.3421631000001</v>
      </c>
      <c r="H2135">
        <v>1324.1573486</v>
      </c>
      <c r="I2135">
        <v>1337.9130858999999</v>
      </c>
      <c r="J2135">
        <v>1335.6489257999999</v>
      </c>
      <c r="K2135">
        <v>0</v>
      </c>
      <c r="L2135">
        <v>2400</v>
      </c>
      <c r="M2135">
        <v>2400</v>
      </c>
      <c r="N2135">
        <v>0</v>
      </c>
    </row>
    <row r="2136" spans="1:14" x14ac:dyDescent="0.25">
      <c r="A2136">
        <v>1453.6681980000001</v>
      </c>
      <c r="B2136" s="1">
        <f>DATE(2014,4,23) + TIME(16,2,12)</f>
        <v>41752.668194444443</v>
      </c>
      <c r="C2136">
        <v>80</v>
      </c>
      <c r="D2136">
        <v>68.653327942000004</v>
      </c>
      <c r="E2136">
        <v>50</v>
      </c>
      <c r="F2136">
        <v>49.983123779000003</v>
      </c>
      <c r="G2136">
        <v>1326.2961425999999</v>
      </c>
      <c r="H2136">
        <v>1324.0961914</v>
      </c>
      <c r="I2136">
        <v>1337.9085693</v>
      </c>
      <c r="J2136">
        <v>1335.6472168</v>
      </c>
      <c r="K2136">
        <v>0</v>
      </c>
      <c r="L2136">
        <v>2400</v>
      </c>
      <c r="M2136">
        <v>2400</v>
      </c>
      <c r="N2136">
        <v>0</v>
      </c>
    </row>
    <row r="2137" spans="1:14" x14ac:dyDescent="0.25">
      <c r="A2137">
        <v>1458.445238</v>
      </c>
      <c r="B2137" s="1">
        <f>DATE(2014,4,28) + TIME(10,41,8)</f>
        <v>41757.445231481484</v>
      </c>
      <c r="C2137">
        <v>80</v>
      </c>
      <c r="D2137">
        <v>68.251541137999993</v>
      </c>
      <c r="E2137">
        <v>50</v>
      </c>
      <c r="F2137">
        <v>49.983123779000003</v>
      </c>
      <c r="G2137">
        <v>1326.2517089999999</v>
      </c>
      <c r="H2137">
        <v>1324.0369873</v>
      </c>
      <c r="I2137">
        <v>1337.9039307</v>
      </c>
      <c r="J2137">
        <v>1335.6456298999999</v>
      </c>
      <c r="K2137">
        <v>0</v>
      </c>
      <c r="L2137">
        <v>2400</v>
      </c>
      <c r="M2137">
        <v>2400</v>
      </c>
      <c r="N2137">
        <v>0</v>
      </c>
    </row>
    <row r="2138" spans="1:14" x14ac:dyDescent="0.25">
      <c r="A2138">
        <v>1461</v>
      </c>
      <c r="B2138" s="1">
        <f>DATE(2014,5,1) + TIME(0,0,0)</f>
        <v>41760</v>
      </c>
      <c r="C2138">
        <v>80</v>
      </c>
      <c r="D2138">
        <v>67.930747986</v>
      </c>
      <c r="E2138">
        <v>50</v>
      </c>
      <c r="F2138">
        <v>49.983116150000001</v>
      </c>
      <c r="G2138">
        <v>1326.2069091999999</v>
      </c>
      <c r="H2138">
        <v>1323.9788818</v>
      </c>
      <c r="I2138">
        <v>1337.8994141000001</v>
      </c>
      <c r="J2138">
        <v>1335.6437988</v>
      </c>
      <c r="K2138">
        <v>0</v>
      </c>
      <c r="L2138">
        <v>2400</v>
      </c>
      <c r="M2138">
        <v>2400</v>
      </c>
      <c r="N2138">
        <v>0</v>
      </c>
    </row>
    <row r="2139" spans="1:14" x14ac:dyDescent="0.25">
      <c r="A2139">
        <v>1461.0000010000001</v>
      </c>
      <c r="B2139" s="1">
        <f>DATE(2014,5,1) + TIME(0,0,0)</f>
        <v>41760</v>
      </c>
      <c r="C2139">
        <v>80</v>
      </c>
      <c r="D2139">
        <v>67.930809021000002</v>
      </c>
      <c r="E2139">
        <v>50</v>
      </c>
      <c r="F2139">
        <v>49.983100890999999</v>
      </c>
      <c r="G2139">
        <v>1328.6884766000001</v>
      </c>
      <c r="H2139">
        <v>1326.2226562000001</v>
      </c>
      <c r="I2139">
        <v>1335.6340332</v>
      </c>
      <c r="J2139">
        <v>1334.0546875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1461.000004</v>
      </c>
      <c r="B2140" s="1">
        <f>DATE(2014,5,1) + TIME(0,0,0)</f>
        <v>41760</v>
      </c>
      <c r="C2140">
        <v>80</v>
      </c>
      <c r="D2140">
        <v>67.930999756000006</v>
      </c>
      <c r="E2140">
        <v>50</v>
      </c>
      <c r="F2140">
        <v>49.983055114999999</v>
      </c>
      <c r="G2140">
        <v>1328.7211914</v>
      </c>
      <c r="H2140">
        <v>1326.2689209</v>
      </c>
      <c r="I2140">
        <v>1335.6051024999999</v>
      </c>
      <c r="J2140">
        <v>1334.0256348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1461.0000130000001</v>
      </c>
      <c r="B2141" s="1">
        <f>DATE(2014,5,1) + TIME(0,0,1)</f>
        <v>41760.000011574077</v>
      </c>
      <c r="C2141">
        <v>80</v>
      </c>
      <c r="D2141">
        <v>67.931556701999995</v>
      </c>
      <c r="E2141">
        <v>50</v>
      </c>
      <c r="F2141">
        <v>49.982921599999997</v>
      </c>
      <c r="G2141">
        <v>1328.8151855000001</v>
      </c>
      <c r="H2141">
        <v>1326.3992920000001</v>
      </c>
      <c r="I2141">
        <v>1335.5217285000001</v>
      </c>
      <c r="J2141">
        <v>1333.9422606999999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1461.0000399999999</v>
      </c>
      <c r="B2142" s="1">
        <f>DATE(2014,5,1) + TIME(0,0,3)</f>
        <v>41760.000034722223</v>
      </c>
      <c r="C2142">
        <v>80</v>
      </c>
      <c r="D2142">
        <v>67.933044433999996</v>
      </c>
      <c r="E2142">
        <v>50</v>
      </c>
      <c r="F2142">
        <v>49.982566833</v>
      </c>
      <c r="G2142">
        <v>1329.0657959</v>
      </c>
      <c r="H2142">
        <v>1326.7315673999999</v>
      </c>
      <c r="I2142">
        <v>1335.2984618999999</v>
      </c>
      <c r="J2142">
        <v>1333.7189940999999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1461.000121</v>
      </c>
      <c r="B2143" s="1">
        <f>DATE(2014,5,1) + TIME(0,0,10)</f>
        <v>41760.000115740739</v>
      </c>
      <c r="C2143">
        <v>80</v>
      </c>
      <c r="D2143">
        <v>67.936637877999999</v>
      </c>
      <c r="E2143">
        <v>50</v>
      </c>
      <c r="F2143">
        <v>49.981761931999998</v>
      </c>
      <c r="G2143">
        <v>1329.6331786999999</v>
      </c>
      <c r="H2143">
        <v>1327.4162598</v>
      </c>
      <c r="I2143">
        <v>1334.793457</v>
      </c>
      <c r="J2143">
        <v>1333.2139893000001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1461.000364</v>
      </c>
      <c r="B2144" s="1">
        <f>DATE(2014,5,1) + TIME(0,0,31)</f>
        <v>41760.000358796293</v>
      </c>
      <c r="C2144">
        <v>80</v>
      </c>
      <c r="D2144">
        <v>67.944740295000003</v>
      </c>
      <c r="E2144">
        <v>50</v>
      </c>
      <c r="F2144">
        <v>49.980396270999996</v>
      </c>
      <c r="G2144">
        <v>1330.6159668</v>
      </c>
      <c r="H2144">
        <v>1328.4606934000001</v>
      </c>
      <c r="I2144">
        <v>1333.9387207</v>
      </c>
      <c r="J2144">
        <v>1332.359375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1461.0010930000001</v>
      </c>
      <c r="B2145" s="1">
        <f>DATE(2014,5,1) + TIME(0,1,34)</f>
        <v>41760.001087962963</v>
      </c>
      <c r="C2145">
        <v>80</v>
      </c>
      <c r="D2145">
        <v>67.964439392000003</v>
      </c>
      <c r="E2145">
        <v>50</v>
      </c>
      <c r="F2145">
        <v>49.978672027999998</v>
      </c>
      <c r="G2145">
        <v>1331.8850098</v>
      </c>
      <c r="H2145">
        <v>1329.6989745999999</v>
      </c>
      <c r="I2145">
        <v>1332.8825684000001</v>
      </c>
      <c r="J2145">
        <v>1331.3033447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1461.0032799999999</v>
      </c>
      <c r="B2146" s="1">
        <f>DATE(2014,5,1) + TIME(0,4,43)</f>
        <v>41760.003275462965</v>
      </c>
      <c r="C2146">
        <v>80</v>
      </c>
      <c r="D2146">
        <v>68.018394470000004</v>
      </c>
      <c r="E2146">
        <v>50</v>
      </c>
      <c r="F2146">
        <v>49.976787567000002</v>
      </c>
      <c r="G2146">
        <v>1333.2337646000001</v>
      </c>
      <c r="H2146">
        <v>1330.9971923999999</v>
      </c>
      <c r="I2146">
        <v>1331.7875977000001</v>
      </c>
      <c r="J2146">
        <v>1330.208374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1461.0098410000001</v>
      </c>
      <c r="B2147" s="1">
        <f>DATE(2014,5,1) + TIME(0,14,10)</f>
        <v>41760.009837962964</v>
      </c>
      <c r="C2147">
        <v>80</v>
      </c>
      <c r="D2147">
        <v>68.174659728999998</v>
      </c>
      <c r="E2147">
        <v>50</v>
      </c>
      <c r="F2147">
        <v>49.974582671999997</v>
      </c>
      <c r="G2147">
        <v>1334.5810547000001</v>
      </c>
      <c r="H2147">
        <v>1332.3044434000001</v>
      </c>
      <c r="I2147">
        <v>1330.6872559000001</v>
      </c>
      <c r="J2147">
        <v>1329.1036377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1461.029524</v>
      </c>
      <c r="B2148" s="1">
        <f>DATE(2014,5,1) + TIME(0,42,30)</f>
        <v>41760.029513888891</v>
      </c>
      <c r="C2148">
        <v>80</v>
      </c>
      <c r="D2148">
        <v>68.627342224000003</v>
      </c>
      <c r="E2148">
        <v>50</v>
      </c>
      <c r="F2148">
        <v>49.971427917</v>
      </c>
      <c r="G2148">
        <v>1335.8978271000001</v>
      </c>
      <c r="H2148">
        <v>1333.5925293</v>
      </c>
      <c r="I2148">
        <v>1329.5689697</v>
      </c>
      <c r="J2148">
        <v>1327.9616699000001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1461.050256</v>
      </c>
      <c r="B2149" s="1">
        <f>DATE(2014,5,1) + TIME(1,12,22)</f>
        <v>41760.050254629627</v>
      </c>
      <c r="C2149">
        <v>80</v>
      </c>
      <c r="D2149">
        <v>69.090675353999998</v>
      </c>
      <c r="E2149">
        <v>50</v>
      </c>
      <c r="F2149">
        <v>49.968982697000001</v>
      </c>
      <c r="G2149">
        <v>1336.6107178</v>
      </c>
      <c r="H2149">
        <v>1334.2814940999999</v>
      </c>
      <c r="I2149">
        <v>1328.9606934000001</v>
      </c>
      <c r="J2149">
        <v>1327.3294678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1461.071551</v>
      </c>
      <c r="B2150" s="1">
        <f>DATE(2014,5,1) + TIME(1,43,1)</f>
        <v>41760.071539351855</v>
      </c>
      <c r="C2150">
        <v>80</v>
      </c>
      <c r="D2150">
        <v>69.551689147999994</v>
      </c>
      <c r="E2150">
        <v>50</v>
      </c>
      <c r="F2150">
        <v>49.966831206999998</v>
      </c>
      <c r="G2150">
        <v>1337.0614014</v>
      </c>
      <c r="H2150">
        <v>1334.7165527</v>
      </c>
      <c r="I2150">
        <v>1328.5668945</v>
      </c>
      <c r="J2150">
        <v>1326.9154053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1461.093382</v>
      </c>
      <c r="B2151" s="1">
        <f>DATE(2014,5,1) + TIME(2,14,28)</f>
        <v>41760.09337962963</v>
      </c>
      <c r="C2151">
        <v>80</v>
      </c>
      <c r="D2151">
        <v>70.008232117000006</v>
      </c>
      <c r="E2151">
        <v>50</v>
      </c>
      <c r="F2151">
        <v>49.964813231999997</v>
      </c>
      <c r="G2151">
        <v>1337.3771973</v>
      </c>
      <c r="H2151">
        <v>1335.0213623</v>
      </c>
      <c r="I2151">
        <v>1328.2855225000001</v>
      </c>
      <c r="J2151">
        <v>1326.6179199000001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1461.1157519999999</v>
      </c>
      <c r="B2152" s="1">
        <f>DATE(2014,5,1) + TIME(2,46,41)</f>
        <v>41760.115752314814</v>
      </c>
      <c r="C2152">
        <v>80</v>
      </c>
      <c r="D2152">
        <v>70.458694457999997</v>
      </c>
      <c r="E2152">
        <v>50</v>
      </c>
      <c r="F2152">
        <v>49.962867737000003</v>
      </c>
      <c r="G2152">
        <v>1337.6134033000001</v>
      </c>
      <c r="H2152">
        <v>1335.2493896000001</v>
      </c>
      <c r="I2152">
        <v>1328.0723877</v>
      </c>
      <c r="J2152">
        <v>1326.3924560999999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1461.1386689999999</v>
      </c>
      <c r="B2153" s="1">
        <f>DATE(2014,5,1) + TIME(3,19,41)</f>
        <v>41760.138668981483</v>
      </c>
      <c r="C2153">
        <v>80</v>
      </c>
      <c r="D2153">
        <v>70.902389525999993</v>
      </c>
      <c r="E2153">
        <v>50</v>
      </c>
      <c r="F2153">
        <v>49.960956572999997</v>
      </c>
      <c r="G2153">
        <v>1337.7987060999999</v>
      </c>
      <c r="H2153">
        <v>1335.4281006000001</v>
      </c>
      <c r="I2153">
        <v>1327.9045410000001</v>
      </c>
      <c r="J2153">
        <v>1326.2152100000001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1461.1621580000001</v>
      </c>
      <c r="B2154" s="1">
        <f>DATE(2014,5,1) + TIME(3,53,30)</f>
        <v>41760.162152777775</v>
      </c>
      <c r="C2154">
        <v>80</v>
      </c>
      <c r="D2154">
        <v>71.338745117000002</v>
      </c>
      <c r="E2154">
        <v>50</v>
      </c>
      <c r="F2154">
        <v>49.959064484000002</v>
      </c>
      <c r="G2154">
        <v>1337.9495850000001</v>
      </c>
      <c r="H2154">
        <v>1335.5733643000001</v>
      </c>
      <c r="I2154">
        <v>1327.7685547000001</v>
      </c>
      <c r="J2154">
        <v>1326.0720214999999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1461.1862430000001</v>
      </c>
      <c r="B2155" s="1">
        <f>DATE(2014,5,1) + TIME(4,28,11)</f>
        <v>41760.186238425929</v>
      </c>
      <c r="C2155">
        <v>80</v>
      </c>
      <c r="D2155">
        <v>71.767257689999994</v>
      </c>
      <c r="E2155">
        <v>50</v>
      </c>
      <c r="F2155">
        <v>49.957176208</v>
      </c>
      <c r="G2155">
        <v>1338.0760498</v>
      </c>
      <c r="H2155">
        <v>1335.6949463000001</v>
      </c>
      <c r="I2155">
        <v>1327.6560059000001</v>
      </c>
      <c r="J2155">
        <v>1325.9538574000001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1461.210953</v>
      </c>
      <c r="B2156" s="1">
        <f>DATE(2014,5,1) + TIME(5,3,46)</f>
        <v>41760.210949074077</v>
      </c>
      <c r="C2156">
        <v>80</v>
      </c>
      <c r="D2156">
        <v>72.187484741000006</v>
      </c>
      <c r="E2156">
        <v>50</v>
      </c>
      <c r="F2156">
        <v>49.955280303999999</v>
      </c>
      <c r="G2156">
        <v>1338.1849365</v>
      </c>
      <c r="H2156">
        <v>1335.7990723</v>
      </c>
      <c r="I2156">
        <v>1327.5615233999999</v>
      </c>
      <c r="J2156">
        <v>1325.8548584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1461.23632</v>
      </c>
      <c r="B2157" s="1">
        <f>DATE(2014,5,1) + TIME(5,40,18)</f>
        <v>41760.236319444448</v>
      </c>
      <c r="C2157">
        <v>80</v>
      </c>
      <c r="D2157">
        <v>72.599067688000005</v>
      </c>
      <c r="E2157">
        <v>50</v>
      </c>
      <c r="F2157">
        <v>49.953369141000003</v>
      </c>
      <c r="G2157">
        <v>1338.2807617000001</v>
      </c>
      <c r="H2157">
        <v>1335.8903809000001</v>
      </c>
      <c r="I2157">
        <v>1327.480957</v>
      </c>
      <c r="J2157">
        <v>1325.7709961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1461.262369</v>
      </c>
      <c r="B2158" s="1">
        <f>DATE(2014,5,1) + TIME(6,17,48)</f>
        <v>41760.262361111112</v>
      </c>
      <c r="C2158">
        <v>80</v>
      </c>
      <c r="D2158">
        <v>73.001525878999999</v>
      </c>
      <c r="E2158">
        <v>50</v>
      </c>
      <c r="F2158">
        <v>49.951442718999999</v>
      </c>
      <c r="G2158">
        <v>1338.3666992000001</v>
      </c>
      <c r="H2158">
        <v>1335.9716797000001</v>
      </c>
      <c r="I2158">
        <v>1327.4119873</v>
      </c>
      <c r="J2158">
        <v>1325.6990966999999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1461.2890990000001</v>
      </c>
      <c r="B2159" s="1">
        <f>DATE(2014,5,1) + TIME(6,56,18)</f>
        <v>41760.289097222223</v>
      </c>
      <c r="C2159">
        <v>80</v>
      </c>
      <c r="D2159">
        <v>73.394042968999997</v>
      </c>
      <c r="E2159">
        <v>50</v>
      </c>
      <c r="F2159">
        <v>49.949493408000002</v>
      </c>
      <c r="G2159">
        <v>1338.4449463000001</v>
      </c>
      <c r="H2159">
        <v>1336.0450439000001</v>
      </c>
      <c r="I2159">
        <v>1327.3524170000001</v>
      </c>
      <c r="J2159">
        <v>1325.637207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1461.3165429999999</v>
      </c>
      <c r="B2160" s="1">
        <f>DATE(2014,5,1) + TIME(7,35,49)</f>
        <v>41760.31653935185</v>
      </c>
      <c r="C2160">
        <v>80</v>
      </c>
      <c r="D2160">
        <v>73.776321410999998</v>
      </c>
      <c r="E2160">
        <v>50</v>
      </c>
      <c r="F2160">
        <v>49.947521209999998</v>
      </c>
      <c r="G2160">
        <v>1338.5170897999999</v>
      </c>
      <c r="H2160">
        <v>1336.1121826000001</v>
      </c>
      <c r="I2160">
        <v>1327.3007812000001</v>
      </c>
      <c r="J2160">
        <v>1325.5836182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1461.344732</v>
      </c>
      <c r="B2161" s="1">
        <f>DATE(2014,5,1) + TIME(8,16,24)</f>
        <v>41760.344722222224</v>
      </c>
      <c r="C2161">
        <v>80</v>
      </c>
      <c r="D2161">
        <v>74.148025512999993</v>
      </c>
      <c r="E2161">
        <v>50</v>
      </c>
      <c r="F2161">
        <v>49.945522308000001</v>
      </c>
      <c r="G2161">
        <v>1338.5844727000001</v>
      </c>
      <c r="H2161">
        <v>1336.1743164</v>
      </c>
      <c r="I2161">
        <v>1327.2559814000001</v>
      </c>
      <c r="J2161">
        <v>1325.5371094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1461.3737120000001</v>
      </c>
      <c r="B2162" s="1">
        <f>DATE(2014,5,1) + TIME(8,58,8)</f>
        <v>41760.373703703706</v>
      </c>
      <c r="C2162">
        <v>80</v>
      </c>
      <c r="D2162">
        <v>74.508979796999995</v>
      </c>
      <c r="E2162">
        <v>50</v>
      </c>
      <c r="F2162">
        <v>49.943496703999998</v>
      </c>
      <c r="G2162">
        <v>1338.6479492000001</v>
      </c>
      <c r="H2162">
        <v>1336.2322998</v>
      </c>
      <c r="I2162">
        <v>1327.2170410000001</v>
      </c>
      <c r="J2162">
        <v>1325.496582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1461.403523</v>
      </c>
      <c r="B2163" s="1">
        <f>DATE(2014,5,1) + TIME(9,41,4)</f>
        <v>41760.40351851852</v>
      </c>
      <c r="C2163">
        <v>80</v>
      </c>
      <c r="D2163">
        <v>74.858940125000004</v>
      </c>
      <c r="E2163">
        <v>50</v>
      </c>
      <c r="F2163">
        <v>49.941432953000003</v>
      </c>
      <c r="G2163">
        <v>1338.7082519999999</v>
      </c>
      <c r="H2163">
        <v>1336.2867432</v>
      </c>
      <c r="I2163">
        <v>1327.1831055</v>
      </c>
      <c r="J2163">
        <v>1325.4614257999999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1461.434213</v>
      </c>
      <c r="B2164" s="1">
        <f>DATE(2014,5,1) + TIME(10,25,15)</f>
        <v>41760.434201388889</v>
      </c>
      <c r="C2164">
        <v>80</v>
      </c>
      <c r="D2164">
        <v>75.197540282999995</v>
      </c>
      <c r="E2164">
        <v>50</v>
      </c>
      <c r="F2164">
        <v>49.939334869</v>
      </c>
      <c r="G2164">
        <v>1338.7659911999999</v>
      </c>
      <c r="H2164">
        <v>1336.3383789</v>
      </c>
      <c r="I2164">
        <v>1327.1536865</v>
      </c>
      <c r="J2164">
        <v>1325.4309082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1461.465829</v>
      </c>
      <c r="B2165" s="1">
        <f>DATE(2014,5,1) + TIME(11,10,47)</f>
        <v>41760.465821759259</v>
      </c>
      <c r="C2165">
        <v>80</v>
      </c>
      <c r="D2165">
        <v>75.524604796999995</v>
      </c>
      <c r="E2165">
        <v>50</v>
      </c>
      <c r="F2165">
        <v>49.937194824000002</v>
      </c>
      <c r="G2165">
        <v>1338.8215332</v>
      </c>
      <c r="H2165">
        <v>1336.3874512</v>
      </c>
      <c r="I2165">
        <v>1327.1281738</v>
      </c>
      <c r="J2165">
        <v>1325.4044189000001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1461.498427</v>
      </c>
      <c r="B2166" s="1">
        <f>DATE(2014,5,1) + TIME(11,57,44)</f>
        <v>41760.498425925929</v>
      </c>
      <c r="C2166">
        <v>80</v>
      </c>
      <c r="D2166">
        <v>75.840011597</v>
      </c>
      <c r="E2166">
        <v>50</v>
      </c>
      <c r="F2166">
        <v>49.935016632</v>
      </c>
      <c r="G2166">
        <v>1338.8752440999999</v>
      </c>
      <c r="H2166">
        <v>1336.4344481999999</v>
      </c>
      <c r="I2166">
        <v>1327.1063231999999</v>
      </c>
      <c r="J2166">
        <v>1325.3815918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1461.5320630000001</v>
      </c>
      <c r="B2167" s="1">
        <f>DATE(2014,5,1) + TIME(12,46,10)</f>
        <v>41760.532060185185</v>
      </c>
      <c r="C2167">
        <v>80</v>
      </c>
      <c r="D2167">
        <v>76.143592834000003</v>
      </c>
      <c r="E2167">
        <v>50</v>
      </c>
      <c r="F2167">
        <v>49.932788848999998</v>
      </c>
      <c r="G2167">
        <v>1338.9273682</v>
      </c>
      <c r="H2167">
        <v>1336.4794922000001</v>
      </c>
      <c r="I2167">
        <v>1327.0874022999999</v>
      </c>
      <c r="J2167">
        <v>1325.3619385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1461.5668000000001</v>
      </c>
      <c r="B2168" s="1">
        <f>DATE(2014,5,1) + TIME(13,36,11)</f>
        <v>41760.566793981481</v>
      </c>
      <c r="C2168">
        <v>80</v>
      </c>
      <c r="D2168">
        <v>76.435157775999997</v>
      </c>
      <c r="E2168">
        <v>50</v>
      </c>
      <c r="F2168">
        <v>49.930511475000003</v>
      </c>
      <c r="G2168">
        <v>1338.9781493999999</v>
      </c>
      <c r="H2168">
        <v>1336.5228271000001</v>
      </c>
      <c r="I2168">
        <v>1327.0714111</v>
      </c>
      <c r="J2168">
        <v>1325.3450928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1461.6027059999999</v>
      </c>
      <c r="B2169" s="1">
        <f>DATE(2014,5,1) + TIME(14,27,53)</f>
        <v>41760.602696759262</v>
      </c>
      <c r="C2169">
        <v>80</v>
      </c>
      <c r="D2169">
        <v>76.714561462000006</v>
      </c>
      <c r="E2169">
        <v>50</v>
      </c>
      <c r="F2169">
        <v>49.928184508999998</v>
      </c>
      <c r="G2169">
        <v>1339.0275879000001</v>
      </c>
      <c r="H2169">
        <v>1336.5648193</v>
      </c>
      <c r="I2169">
        <v>1327.0578613</v>
      </c>
      <c r="J2169">
        <v>1325.3309326000001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1461.6398549999999</v>
      </c>
      <c r="B2170" s="1">
        <f>DATE(2014,5,1) + TIME(15,21,23)</f>
        <v>41760.639849537038</v>
      </c>
      <c r="C2170">
        <v>80</v>
      </c>
      <c r="D2170">
        <v>76.981666564999998</v>
      </c>
      <c r="E2170">
        <v>50</v>
      </c>
      <c r="F2170">
        <v>49.925800322999997</v>
      </c>
      <c r="G2170">
        <v>1339.0759277</v>
      </c>
      <c r="H2170">
        <v>1336.6053466999999</v>
      </c>
      <c r="I2170">
        <v>1327.0466309000001</v>
      </c>
      <c r="J2170">
        <v>1325.3189697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1461.678343</v>
      </c>
      <c r="B2171" s="1">
        <f>DATE(2014,5,1) + TIME(16,16,48)</f>
        <v>41760.678333333337</v>
      </c>
      <c r="C2171">
        <v>80</v>
      </c>
      <c r="D2171">
        <v>77.236450195000003</v>
      </c>
      <c r="E2171">
        <v>50</v>
      </c>
      <c r="F2171">
        <v>49.923355102999999</v>
      </c>
      <c r="G2171">
        <v>1339.1232910000001</v>
      </c>
      <c r="H2171">
        <v>1336.6445312000001</v>
      </c>
      <c r="I2171">
        <v>1327.0373535000001</v>
      </c>
      <c r="J2171">
        <v>1325.309082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1461.7182479999999</v>
      </c>
      <c r="B2172" s="1">
        <f>DATE(2014,5,1) + TIME(17,14,16)</f>
        <v>41760.718240740738</v>
      </c>
      <c r="C2172">
        <v>80</v>
      </c>
      <c r="D2172">
        <v>77.478759765999996</v>
      </c>
      <c r="E2172">
        <v>50</v>
      </c>
      <c r="F2172">
        <v>49.920841217000003</v>
      </c>
      <c r="G2172">
        <v>1339.1696777</v>
      </c>
      <c r="H2172">
        <v>1336.6826172000001</v>
      </c>
      <c r="I2172">
        <v>1327.0297852000001</v>
      </c>
      <c r="J2172">
        <v>1325.3010254000001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1461.7596659999999</v>
      </c>
      <c r="B2173" s="1">
        <f>DATE(2014,5,1) + TIME(18,13,55)</f>
        <v>41760.759664351855</v>
      </c>
      <c r="C2173">
        <v>80</v>
      </c>
      <c r="D2173">
        <v>77.708503723000007</v>
      </c>
      <c r="E2173">
        <v>50</v>
      </c>
      <c r="F2173">
        <v>49.918258667000003</v>
      </c>
      <c r="G2173">
        <v>1339.2150879000001</v>
      </c>
      <c r="H2173">
        <v>1336.7197266000001</v>
      </c>
      <c r="I2173">
        <v>1327.0238036999999</v>
      </c>
      <c r="J2173">
        <v>1325.2945557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1461.802702</v>
      </c>
      <c r="B2174" s="1">
        <f>DATE(2014,5,1) + TIME(19,15,53)</f>
        <v>41760.80269675926</v>
      </c>
      <c r="C2174">
        <v>80</v>
      </c>
      <c r="D2174">
        <v>77.925666809000006</v>
      </c>
      <c r="E2174">
        <v>50</v>
      </c>
      <c r="F2174">
        <v>49.915603638</v>
      </c>
      <c r="G2174">
        <v>1339.2597656</v>
      </c>
      <c r="H2174">
        <v>1336.7556152</v>
      </c>
      <c r="I2174">
        <v>1327.0191649999999</v>
      </c>
      <c r="J2174">
        <v>1325.2894286999999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1461.847475</v>
      </c>
      <c r="B2175" s="1">
        <f>DATE(2014,5,1) + TIME(20,20,21)</f>
        <v>41760.84746527778</v>
      </c>
      <c r="C2175">
        <v>80</v>
      </c>
      <c r="D2175">
        <v>78.130249023000005</v>
      </c>
      <c r="E2175">
        <v>50</v>
      </c>
      <c r="F2175">
        <v>49.912864685000002</v>
      </c>
      <c r="G2175">
        <v>1339.3034668</v>
      </c>
      <c r="H2175">
        <v>1336.7906493999999</v>
      </c>
      <c r="I2175">
        <v>1327.0157471</v>
      </c>
      <c r="J2175">
        <v>1325.2855225000001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1461.8941150000001</v>
      </c>
      <c r="B2176" s="1">
        <f>DATE(2014,5,1) + TIME(21,27,31)</f>
        <v>41760.894108796296</v>
      </c>
      <c r="C2176">
        <v>80</v>
      </c>
      <c r="D2176">
        <v>78.322288513000004</v>
      </c>
      <c r="E2176">
        <v>50</v>
      </c>
      <c r="F2176">
        <v>49.910041808999999</v>
      </c>
      <c r="G2176">
        <v>1339.3463135</v>
      </c>
      <c r="H2176">
        <v>1336.8245850000001</v>
      </c>
      <c r="I2176">
        <v>1327.0134277</v>
      </c>
      <c r="J2176">
        <v>1325.2827147999999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1461.9427679999999</v>
      </c>
      <c r="B2177" s="1">
        <f>DATE(2014,5,1) + TIME(22,37,35)</f>
        <v>41760.942766203705</v>
      </c>
      <c r="C2177">
        <v>80</v>
      </c>
      <c r="D2177">
        <v>78.501869201999995</v>
      </c>
      <c r="E2177">
        <v>50</v>
      </c>
      <c r="F2177">
        <v>49.907127379999999</v>
      </c>
      <c r="G2177">
        <v>1339.3883057</v>
      </c>
      <c r="H2177">
        <v>1336.8575439000001</v>
      </c>
      <c r="I2177">
        <v>1327.0118408000001</v>
      </c>
      <c r="J2177">
        <v>1325.2808838000001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1461.993598</v>
      </c>
      <c r="B2178" s="1">
        <f>DATE(2014,5,1) + TIME(23,50,46)</f>
        <v>41760.993587962963</v>
      </c>
      <c r="C2178">
        <v>80</v>
      </c>
      <c r="D2178">
        <v>78.669113159000005</v>
      </c>
      <c r="E2178">
        <v>50</v>
      </c>
      <c r="F2178">
        <v>49.904109955000003</v>
      </c>
      <c r="G2178">
        <v>1339.4294434000001</v>
      </c>
      <c r="H2178">
        <v>1336.8896483999999</v>
      </c>
      <c r="I2178">
        <v>1327.0112305</v>
      </c>
      <c r="J2178">
        <v>1325.2796631000001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1462.046785</v>
      </c>
      <c r="B2179" s="1">
        <f>DATE(2014,5,2) + TIME(1,7,22)</f>
        <v>41761.046782407408</v>
      </c>
      <c r="C2179">
        <v>80</v>
      </c>
      <c r="D2179">
        <v>78.824172974000007</v>
      </c>
      <c r="E2179">
        <v>50</v>
      </c>
      <c r="F2179">
        <v>49.900981903000002</v>
      </c>
      <c r="G2179">
        <v>1339.4697266000001</v>
      </c>
      <c r="H2179">
        <v>1336.9208983999999</v>
      </c>
      <c r="I2179">
        <v>1327.0111084</v>
      </c>
      <c r="J2179">
        <v>1325.2792969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1462.1025380000001</v>
      </c>
      <c r="B2180" s="1">
        <f>DATE(2014,5,2) + TIME(2,27,39)</f>
        <v>41761.102534722224</v>
      </c>
      <c r="C2180">
        <v>80</v>
      </c>
      <c r="D2180">
        <v>78.967262267999999</v>
      </c>
      <c r="E2180">
        <v>50</v>
      </c>
      <c r="F2180">
        <v>49.897735595999997</v>
      </c>
      <c r="G2180">
        <v>1339.5090332</v>
      </c>
      <c r="H2180">
        <v>1336.9510498</v>
      </c>
      <c r="I2180">
        <v>1327.0114745999999</v>
      </c>
      <c r="J2180">
        <v>1325.2792969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1462.1611029999999</v>
      </c>
      <c r="B2181" s="1">
        <f>DATE(2014,5,2) + TIME(3,51,59)</f>
        <v>41761.161099537036</v>
      </c>
      <c r="C2181">
        <v>80</v>
      </c>
      <c r="D2181">
        <v>79.098655700999998</v>
      </c>
      <c r="E2181">
        <v>50</v>
      </c>
      <c r="F2181">
        <v>49.894363403</v>
      </c>
      <c r="G2181">
        <v>1339.5474853999999</v>
      </c>
      <c r="H2181">
        <v>1336.9804687999999</v>
      </c>
      <c r="I2181">
        <v>1327.0123291</v>
      </c>
      <c r="J2181">
        <v>1325.2797852000001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1462.2227660000001</v>
      </c>
      <c r="B2182" s="1">
        <f>DATE(2014,5,2) + TIME(5,20,47)</f>
        <v>41761.222766203704</v>
      </c>
      <c r="C2182">
        <v>80</v>
      </c>
      <c r="D2182">
        <v>79.218666076999995</v>
      </c>
      <c r="E2182">
        <v>50</v>
      </c>
      <c r="F2182">
        <v>49.890842438</v>
      </c>
      <c r="G2182">
        <v>1339.5849608999999</v>
      </c>
      <c r="H2182">
        <v>1337.0087891000001</v>
      </c>
      <c r="I2182">
        <v>1327.0134277</v>
      </c>
      <c r="J2182">
        <v>1325.2805175999999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1462.2876859999999</v>
      </c>
      <c r="B2183" s="1">
        <f>DATE(2014,5,2) + TIME(6,54,16)</f>
        <v>41761.287685185183</v>
      </c>
      <c r="C2183">
        <v>80</v>
      </c>
      <c r="D2183">
        <v>79.327400208</v>
      </c>
      <c r="E2183">
        <v>50</v>
      </c>
      <c r="F2183">
        <v>49.887180327999999</v>
      </c>
      <c r="G2183">
        <v>1339.6214600000001</v>
      </c>
      <c r="H2183">
        <v>1337.0362548999999</v>
      </c>
      <c r="I2183">
        <v>1327.0148925999999</v>
      </c>
      <c r="J2183">
        <v>1325.2816161999999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1462.355941</v>
      </c>
      <c r="B2184" s="1">
        <f>DATE(2014,5,2) + TIME(8,32,33)</f>
        <v>41761.355937499997</v>
      </c>
      <c r="C2184">
        <v>80</v>
      </c>
      <c r="D2184">
        <v>79.424987793</v>
      </c>
      <c r="E2184">
        <v>50</v>
      </c>
      <c r="F2184">
        <v>49.883361815999997</v>
      </c>
      <c r="G2184">
        <v>1339.6569824000001</v>
      </c>
      <c r="H2184">
        <v>1337.0628661999999</v>
      </c>
      <c r="I2184">
        <v>1327.0163574000001</v>
      </c>
      <c r="J2184">
        <v>1325.2828368999999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1462.4278200000001</v>
      </c>
      <c r="B2185" s="1">
        <f>DATE(2014,5,2) + TIME(10,16,3)</f>
        <v>41761.427812499998</v>
      </c>
      <c r="C2185">
        <v>80</v>
      </c>
      <c r="D2185">
        <v>79.511940002000003</v>
      </c>
      <c r="E2185">
        <v>50</v>
      </c>
      <c r="F2185">
        <v>49.879386902</v>
      </c>
      <c r="G2185">
        <v>1339.6911620999999</v>
      </c>
      <c r="H2185">
        <v>1337.0882568</v>
      </c>
      <c r="I2185">
        <v>1327.0179443</v>
      </c>
      <c r="J2185">
        <v>1325.2840576000001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1462.5036439999999</v>
      </c>
      <c r="B2186" s="1">
        <f>DATE(2014,5,2) + TIME(12,5,14)</f>
        <v>41761.503634259258</v>
      </c>
      <c r="C2186">
        <v>80</v>
      </c>
      <c r="D2186">
        <v>79.588829040999997</v>
      </c>
      <c r="E2186">
        <v>50</v>
      </c>
      <c r="F2186">
        <v>49.875232697000001</v>
      </c>
      <c r="G2186">
        <v>1339.7241211</v>
      </c>
      <c r="H2186">
        <v>1337.1126709</v>
      </c>
      <c r="I2186">
        <v>1327.0196533000001</v>
      </c>
      <c r="J2186">
        <v>1325.2854004000001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1462.5837739999999</v>
      </c>
      <c r="B2187" s="1">
        <f>DATE(2014,5,2) + TIME(14,0,38)</f>
        <v>41761.583773148152</v>
      </c>
      <c r="C2187">
        <v>80</v>
      </c>
      <c r="D2187">
        <v>79.656257628999995</v>
      </c>
      <c r="E2187">
        <v>50</v>
      </c>
      <c r="F2187">
        <v>49.870891571000001</v>
      </c>
      <c r="G2187">
        <v>1339.7557373</v>
      </c>
      <c r="H2187">
        <v>1337.1359863</v>
      </c>
      <c r="I2187">
        <v>1327.0212402</v>
      </c>
      <c r="J2187">
        <v>1325.2866211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1462.6686580000001</v>
      </c>
      <c r="B2188" s="1">
        <f>DATE(2014,5,2) + TIME(16,2,52)</f>
        <v>41761.668657407405</v>
      </c>
      <c r="C2188">
        <v>80</v>
      </c>
      <c r="D2188">
        <v>79.714881896999998</v>
      </c>
      <c r="E2188">
        <v>50</v>
      </c>
      <c r="F2188">
        <v>49.866340637</v>
      </c>
      <c r="G2188">
        <v>1339.7858887</v>
      </c>
      <c r="H2188">
        <v>1337.1580810999999</v>
      </c>
      <c r="I2188">
        <v>1327.0227050999999</v>
      </c>
      <c r="J2188">
        <v>1325.2878418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1462.7572070000001</v>
      </c>
      <c r="B2189" s="1">
        <f>DATE(2014,5,2) + TIME(18,10,22)</f>
        <v>41761.757199074076</v>
      </c>
      <c r="C2189">
        <v>80</v>
      </c>
      <c r="D2189">
        <v>79.764656067000004</v>
      </c>
      <c r="E2189">
        <v>50</v>
      </c>
      <c r="F2189">
        <v>49.861633300999998</v>
      </c>
      <c r="G2189">
        <v>1339.8149414</v>
      </c>
      <c r="H2189">
        <v>1337.1791992000001</v>
      </c>
      <c r="I2189">
        <v>1327.0241699000001</v>
      </c>
      <c r="J2189">
        <v>1325.2888184000001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1462.8462320000001</v>
      </c>
      <c r="B2190" s="1">
        <f>DATE(2014,5,2) + TIME(20,18,34)</f>
        <v>41761.846226851849</v>
      </c>
      <c r="C2190">
        <v>80</v>
      </c>
      <c r="D2190">
        <v>79.80531311</v>
      </c>
      <c r="E2190">
        <v>50</v>
      </c>
      <c r="F2190">
        <v>49.856929778999998</v>
      </c>
      <c r="G2190">
        <v>1339.8422852000001</v>
      </c>
      <c r="H2190">
        <v>1337.1990966999999</v>
      </c>
      <c r="I2190">
        <v>1327.0253906</v>
      </c>
      <c r="J2190">
        <v>1325.2897949000001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1462.9361249999999</v>
      </c>
      <c r="B2191" s="1">
        <f>DATE(2014,5,2) + TIME(22,28,1)</f>
        <v>41761.936122685183</v>
      </c>
      <c r="C2191">
        <v>80</v>
      </c>
      <c r="D2191">
        <v>79.838577271000005</v>
      </c>
      <c r="E2191">
        <v>50</v>
      </c>
      <c r="F2191">
        <v>49.852207184000001</v>
      </c>
      <c r="G2191">
        <v>1339.8668213000001</v>
      </c>
      <c r="H2191">
        <v>1337.2169189000001</v>
      </c>
      <c r="I2191">
        <v>1327.0263672000001</v>
      </c>
      <c r="J2191">
        <v>1325.2904053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1463.0270860000001</v>
      </c>
      <c r="B2192" s="1">
        <f>DATE(2014,5,3) + TIME(0,39,0)</f>
        <v>41762.027083333334</v>
      </c>
      <c r="C2192">
        <v>80</v>
      </c>
      <c r="D2192">
        <v>79.865783691000004</v>
      </c>
      <c r="E2192">
        <v>50</v>
      </c>
      <c r="F2192">
        <v>49.847454071000001</v>
      </c>
      <c r="G2192">
        <v>1339.8890381000001</v>
      </c>
      <c r="H2192">
        <v>1337.2329102000001</v>
      </c>
      <c r="I2192">
        <v>1327.0272216999999</v>
      </c>
      <c r="J2192">
        <v>1325.2910156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1463.1193499999999</v>
      </c>
      <c r="B2193" s="1">
        <f>DATE(2014,5,3) + TIME(2,51,51)</f>
        <v>41762.119340277779</v>
      </c>
      <c r="C2193">
        <v>80</v>
      </c>
      <c r="D2193">
        <v>79.888015746999997</v>
      </c>
      <c r="E2193">
        <v>50</v>
      </c>
      <c r="F2193">
        <v>49.842662810999997</v>
      </c>
      <c r="G2193">
        <v>1339.9090576000001</v>
      </c>
      <c r="H2193">
        <v>1337.2474365</v>
      </c>
      <c r="I2193">
        <v>1327.0279541</v>
      </c>
      <c r="J2193">
        <v>1325.2913818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1463.21316</v>
      </c>
      <c r="B2194" s="1">
        <f>DATE(2014,5,3) + TIME(5,6,57)</f>
        <v>41762.213159722225</v>
      </c>
      <c r="C2194">
        <v>80</v>
      </c>
      <c r="D2194">
        <v>79.906158446999996</v>
      </c>
      <c r="E2194">
        <v>50</v>
      </c>
      <c r="F2194">
        <v>49.837821959999999</v>
      </c>
      <c r="G2194">
        <v>1339.927124</v>
      </c>
      <c r="H2194">
        <v>1337.2604980000001</v>
      </c>
      <c r="I2194">
        <v>1327.0284423999999</v>
      </c>
      <c r="J2194">
        <v>1325.291626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1463.3087680000001</v>
      </c>
      <c r="B2195" s="1">
        <f>DATE(2014,5,3) + TIME(7,24,37)</f>
        <v>41762.308761574073</v>
      </c>
      <c r="C2195">
        <v>80</v>
      </c>
      <c r="D2195">
        <v>79.920936584000003</v>
      </c>
      <c r="E2195">
        <v>50</v>
      </c>
      <c r="F2195">
        <v>49.832916259999998</v>
      </c>
      <c r="G2195">
        <v>1339.9433594</v>
      </c>
      <c r="H2195">
        <v>1337.2724608999999</v>
      </c>
      <c r="I2195">
        <v>1327.0289307</v>
      </c>
      <c r="J2195">
        <v>1325.2918701000001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1463.40644</v>
      </c>
      <c r="B2196" s="1">
        <f>DATE(2014,5,3) + TIME(9,45,16)</f>
        <v>41762.406435185185</v>
      </c>
      <c r="C2196">
        <v>80</v>
      </c>
      <c r="D2196">
        <v>79.932960510000001</v>
      </c>
      <c r="E2196">
        <v>50</v>
      </c>
      <c r="F2196">
        <v>49.827934265000003</v>
      </c>
      <c r="G2196">
        <v>1339.9581298999999</v>
      </c>
      <c r="H2196">
        <v>1337.2832031</v>
      </c>
      <c r="I2196">
        <v>1327.0292969</v>
      </c>
      <c r="J2196">
        <v>1325.2918701000001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1463.5064580000001</v>
      </c>
      <c r="B2197" s="1">
        <f>DATE(2014,5,3) + TIME(12,9,18)</f>
        <v>41762.506458333337</v>
      </c>
      <c r="C2197">
        <v>80</v>
      </c>
      <c r="D2197">
        <v>79.942718506000006</v>
      </c>
      <c r="E2197">
        <v>50</v>
      </c>
      <c r="F2197">
        <v>49.822864531999997</v>
      </c>
      <c r="G2197">
        <v>1339.9713135</v>
      </c>
      <c r="H2197">
        <v>1337.2928466999999</v>
      </c>
      <c r="I2197">
        <v>1327.0294189000001</v>
      </c>
      <c r="J2197">
        <v>1325.2918701000001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1463.609134</v>
      </c>
      <c r="B2198" s="1">
        <f>DATE(2014,5,3) + TIME(14,37,9)</f>
        <v>41762.609131944446</v>
      </c>
      <c r="C2198">
        <v>80</v>
      </c>
      <c r="D2198">
        <v>79.950607300000001</v>
      </c>
      <c r="E2198">
        <v>50</v>
      </c>
      <c r="F2198">
        <v>49.817695618000002</v>
      </c>
      <c r="G2198">
        <v>1339.9830322</v>
      </c>
      <c r="H2198">
        <v>1337.3015137</v>
      </c>
      <c r="I2198">
        <v>1327.0295410000001</v>
      </c>
      <c r="J2198">
        <v>1325.291626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1463.714841</v>
      </c>
      <c r="B2199" s="1">
        <f>DATE(2014,5,3) + TIME(17,9,22)</f>
        <v>41762.714837962965</v>
      </c>
      <c r="C2199">
        <v>80</v>
      </c>
      <c r="D2199">
        <v>79.956970214999998</v>
      </c>
      <c r="E2199">
        <v>50</v>
      </c>
      <c r="F2199">
        <v>49.812408447000003</v>
      </c>
      <c r="G2199">
        <v>1339.9936522999999</v>
      </c>
      <c r="H2199">
        <v>1337.3094481999999</v>
      </c>
      <c r="I2199">
        <v>1327.0295410000001</v>
      </c>
      <c r="J2199">
        <v>1325.2913818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1463.824018</v>
      </c>
      <c r="B2200" s="1">
        <f>DATE(2014,5,3) + TIME(19,46,35)</f>
        <v>41762.824016203704</v>
      </c>
      <c r="C2200">
        <v>80</v>
      </c>
      <c r="D2200">
        <v>79.962097168</v>
      </c>
      <c r="E2200">
        <v>50</v>
      </c>
      <c r="F2200">
        <v>49.806980133000003</v>
      </c>
      <c r="G2200">
        <v>1340.0030518000001</v>
      </c>
      <c r="H2200">
        <v>1337.3165283000001</v>
      </c>
      <c r="I2200">
        <v>1327.0295410000001</v>
      </c>
      <c r="J2200">
        <v>1325.2911377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1463.937171</v>
      </c>
      <c r="B2201" s="1">
        <f>DATE(2014,5,3) + TIME(22,29,31)</f>
        <v>41762.937164351853</v>
      </c>
      <c r="C2201">
        <v>80</v>
      </c>
      <c r="D2201">
        <v>79.966201781999999</v>
      </c>
      <c r="E2201">
        <v>50</v>
      </c>
      <c r="F2201">
        <v>49.801399230999998</v>
      </c>
      <c r="G2201">
        <v>1340.0114745999999</v>
      </c>
      <c r="H2201">
        <v>1337.3229980000001</v>
      </c>
      <c r="I2201">
        <v>1327.0294189000001</v>
      </c>
      <c r="J2201">
        <v>1325.2906493999999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1464.0522410000001</v>
      </c>
      <c r="B2202" s="1">
        <f>DATE(2014,5,4) + TIME(1,15,13)</f>
        <v>41763.052233796298</v>
      </c>
      <c r="C2202">
        <v>80</v>
      </c>
      <c r="D2202">
        <v>79.969413756999998</v>
      </c>
      <c r="E2202">
        <v>50</v>
      </c>
      <c r="F2202">
        <v>49.795745850000003</v>
      </c>
      <c r="G2202">
        <v>1340.019043</v>
      </c>
      <c r="H2202">
        <v>1337.3287353999999</v>
      </c>
      <c r="I2202">
        <v>1327.0291748</v>
      </c>
      <c r="J2202">
        <v>1325.2902832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1464.169463</v>
      </c>
      <c r="B2203" s="1">
        <f>DATE(2014,5,4) + TIME(4,4,1)</f>
        <v>41763.169456018521</v>
      </c>
      <c r="C2203">
        <v>80</v>
      </c>
      <c r="D2203">
        <v>79.971939086999996</v>
      </c>
      <c r="E2203">
        <v>50</v>
      </c>
      <c r="F2203">
        <v>49.790016174000002</v>
      </c>
      <c r="G2203">
        <v>1340.0252685999999</v>
      </c>
      <c r="H2203">
        <v>1337.3337402</v>
      </c>
      <c r="I2203">
        <v>1327.0289307</v>
      </c>
      <c r="J2203">
        <v>1325.2897949000001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1464.2890500000001</v>
      </c>
      <c r="B2204" s="1">
        <f>DATE(2014,5,4) + TIME(6,56,13)</f>
        <v>41763.289039351854</v>
      </c>
      <c r="C2204">
        <v>80</v>
      </c>
      <c r="D2204">
        <v>79.973907471000004</v>
      </c>
      <c r="E2204">
        <v>50</v>
      </c>
      <c r="F2204">
        <v>49.784198760999999</v>
      </c>
      <c r="G2204">
        <v>1340.0306396000001</v>
      </c>
      <c r="H2204">
        <v>1337.3381348</v>
      </c>
      <c r="I2204">
        <v>1327.0286865</v>
      </c>
      <c r="J2204">
        <v>1325.2891846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1464.411257</v>
      </c>
      <c r="B2205" s="1">
        <f>DATE(2014,5,4) + TIME(9,52,12)</f>
        <v>41763.411249999997</v>
      </c>
      <c r="C2205">
        <v>80</v>
      </c>
      <c r="D2205">
        <v>79.975448607999994</v>
      </c>
      <c r="E2205">
        <v>50</v>
      </c>
      <c r="F2205">
        <v>49.77828598</v>
      </c>
      <c r="G2205">
        <v>1340.0332031</v>
      </c>
      <c r="H2205">
        <v>1337.3406981999999</v>
      </c>
      <c r="I2205">
        <v>1327.0283202999999</v>
      </c>
      <c r="J2205">
        <v>1325.2885742000001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1464.5364360000001</v>
      </c>
      <c r="B2206" s="1">
        <f>DATE(2014,5,4) + TIME(12,52,28)</f>
        <v>41763.536435185182</v>
      </c>
      <c r="C2206">
        <v>80</v>
      </c>
      <c r="D2206">
        <v>79.976646423000005</v>
      </c>
      <c r="E2206">
        <v>50</v>
      </c>
      <c r="F2206">
        <v>49.772258759000003</v>
      </c>
      <c r="G2206">
        <v>1340.0350341999999</v>
      </c>
      <c r="H2206">
        <v>1337.3426514</v>
      </c>
      <c r="I2206">
        <v>1327.0279541</v>
      </c>
      <c r="J2206">
        <v>1325.2879639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1464.6648809999999</v>
      </c>
      <c r="B2207" s="1">
        <f>DATE(2014,5,4) + TIME(15,57,25)</f>
        <v>41763.664872685185</v>
      </c>
      <c r="C2207">
        <v>80</v>
      </c>
      <c r="D2207">
        <v>79.977584839000002</v>
      </c>
      <c r="E2207">
        <v>50</v>
      </c>
      <c r="F2207">
        <v>49.766113281000003</v>
      </c>
      <c r="G2207">
        <v>1340.0362548999999</v>
      </c>
      <c r="H2207">
        <v>1337.3442382999999</v>
      </c>
      <c r="I2207">
        <v>1327.0274658000001</v>
      </c>
      <c r="J2207">
        <v>1325.2873535000001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1464.79692</v>
      </c>
      <c r="B2208" s="1">
        <f>DATE(2014,5,4) + TIME(19,7,33)</f>
        <v>41763.796909722223</v>
      </c>
      <c r="C2208">
        <v>80</v>
      </c>
      <c r="D2208">
        <v>79.978309631000002</v>
      </c>
      <c r="E2208">
        <v>50</v>
      </c>
      <c r="F2208">
        <v>49.759826660000002</v>
      </c>
      <c r="G2208">
        <v>1340.0369873</v>
      </c>
      <c r="H2208">
        <v>1337.3455810999999</v>
      </c>
      <c r="I2208">
        <v>1327.0269774999999</v>
      </c>
      <c r="J2208">
        <v>1325.2866211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1464.932916</v>
      </c>
      <c r="B2209" s="1">
        <f>DATE(2014,5,4) + TIME(22,23,23)</f>
        <v>41763.932905092595</v>
      </c>
      <c r="C2209">
        <v>80</v>
      </c>
      <c r="D2209">
        <v>79.978874207000004</v>
      </c>
      <c r="E2209">
        <v>50</v>
      </c>
      <c r="F2209">
        <v>49.753391266000001</v>
      </c>
      <c r="G2209">
        <v>1340.0371094</v>
      </c>
      <c r="H2209">
        <v>1337.3464355000001</v>
      </c>
      <c r="I2209">
        <v>1327.0266113</v>
      </c>
      <c r="J2209">
        <v>1325.2858887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1465.0732700000001</v>
      </c>
      <c r="B2210" s="1">
        <f>DATE(2014,5,5) + TIME(1,45,30)</f>
        <v>41764.073263888888</v>
      </c>
      <c r="C2210">
        <v>80</v>
      </c>
      <c r="D2210">
        <v>79.979316710999996</v>
      </c>
      <c r="E2210">
        <v>50</v>
      </c>
      <c r="F2210">
        <v>49.746788025000001</v>
      </c>
      <c r="G2210">
        <v>1340.0367432</v>
      </c>
      <c r="H2210">
        <v>1337.3470459</v>
      </c>
      <c r="I2210">
        <v>1327.0261230000001</v>
      </c>
      <c r="J2210">
        <v>1325.2851562000001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1465.218433</v>
      </c>
      <c r="B2211" s="1">
        <f>DATE(2014,5,5) + TIME(5,14,32)</f>
        <v>41764.218425925923</v>
      </c>
      <c r="C2211">
        <v>80</v>
      </c>
      <c r="D2211">
        <v>79.979660034000005</v>
      </c>
      <c r="E2211">
        <v>50</v>
      </c>
      <c r="F2211">
        <v>49.740001677999999</v>
      </c>
      <c r="G2211">
        <v>1340.0358887</v>
      </c>
      <c r="H2211">
        <v>1337.3474120999999</v>
      </c>
      <c r="I2211">
        <v>1327.0255127</v>
      </c>
      <c r="J2211">
        <v>1325.2844238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1465.368933</v>
      </c>
      <c r="B2212" s="1">
        <f>DATE(2014,5,5) + TIME(8,51,15)</f>
        <v>41764.368923611109</v>
      </c>
      <c r="C2212">
        <v>80</v>
      </c>
      <c r="D2212">
        <v>79.979919433999996</v>
      </c>
      <c r="E2212">
        <v>50</v>
      </c>
      <c r="F2212">
        <v>49.733013153000002</v>
      </c>
      <c r="G2212">
        <v>1340.0345459</v>
      </c>
      <c r="H2212">
        <v>1337.3474120999999</v>
      </c>
      <c r="I2212">
        <v>1327.0250243999999</v>
      </c>
      <c r="J2212">
        <v>1325.2835693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1465.5254219999999</v>
      </c>
      <c r="B2213" s="1">
        <f>DATE(2014,5,5) + TIME(12,36,36)</f>
        <v>41764.525416666664</v>
      </c>
      <c r="C2213">
        <v>80</v>
      </c>
      <c r="D2213">
        <v>79.980125427000004</v>
      </c>
      <c r="E2213">
        <v>50</v>
      </c>
      <c r="F2213">
        <v>49.725791931000003</v>
      </c>
      <c r="G2213">
        <v>1340.0327147999999</v>
      </c>
      <c r="H2213">
        <v>1337.347168</v>
      </c>
      <c r="I2213">
        <v>1327.0244141000001</v>
      </c>
      <c r="J2213">
        <v>1325.2828368999999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1465.686768</v>
      </c>
      <c r="B2214" s="1">
        <f>DATE(2014,5,5) + TIME(16,28,56)</f>
        <v>41764.686759259261</v>
      </c>
      <c r="C2214">
        <v>80</v>
      </c>
      <c r="D2214">
        <v>79.980278014999996</v>
      </c>
      <c r="E2214">
        <v>50</v>
      </c>
      <c r="F2214">
        <v>49.718387604</v>
      </c>
      <c r="G2214">
        <v>1340.0303954999999</v>
      </c>
      <c r="H2214">
        <v>1337.3465576000001</v>
      </c>
      <c r="I2214">
        <v>1327.0238036999999</v>
      </c>
      <c r="J2214">
        <v>1325.2818603999999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1465.8530499999999</v>
      </c>
      <c r="B2215" s="1">
        <f>DATE(2014,5,5) + TIME(20,28,23)</f>
        <v>41764.853043981479</v>
      </c>
      <c r="C2215">
        <v>80</v>
      </c>
      <c r="D2215">
        <v>79.980400084999999</v>
      </c>
      <c r="E2215">
        <v>50</v>
      </c>
      <c r="F2215">
        <v>49.710800171000002</v>
      </c>
      <c r="G2215">
        <v>1340.027832</v>
      </c>
      <c r="H2215">
        <v>1337.3459473</v>
      </c>
      <c r="I2215">
        <v>1327.0231934000001</v>
      </c>
      <c r="J2215">
        <v>1325.2810059000001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1466.0247730000001</v>
      </c>
      <c r="B2216" s="1">
        <f>DATE(2014,5,6) + TIME(0,35,40)</f>
        <v>41765.024768518517</v>
      </c>
      <c r="C2216">
        <v>80</v>
      </c>
      <c r="D2216">
        <v>79.980491638000004</v>
      </c>
      <c r="E2216">
        <v>50</v>
      </c>
      <c r="F2216">
        <v>49.703002929999997</v>
      </c>
      <c r="G2216">
        <v>1340.0249022999999</v>
      </c>
      <c r="H2216">
        <v>1337.3449707</v>
      </c>
      <c r="I2216">
        <v>1327.0224608999999</v>
      </c>
      <c r="J2216">
        <v>1325.2800293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1466.2024779999999</v>
      </c>
      <c r="B2217" s="1">
        <f>DATE(2014,5,6) + TIME(4,51,34)</f>
        <v>41765.202476851853</v>
      </c>
      <c r="C2217">
        <v>80</v>
      </c>
      <c r="D2217">
        <v>79.980560303000004</v>
      </c>
      <c r="E2217">
        <v>50</v>
      </c>
      <c r="F2217">
        <v>49.694984435999999</v>
      </c>
      <c r="G2217">
        <v>1340.0214844</v>
      </c>
      <c r="H2217">
        <v>1337.3438721</v>
      </c>
      <c r="I2217">
        <v>1327.0218506000001</v>
      </c>
      <c r="J2217">
        <v>1325.2791748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1466.3842340000001</v>
      </c>
      <c r="B2218" s="1">
        <f>DATE(2014,5,6) + TIME(9,13,17)</f>
        <v>41765.38422453704</v>
      </c>
      <c r="C2218">
        <v>80</v>
      </c>
      <c r="D2218">
        <v>79.980606078999998</v>
      </c>
      <c r="E2218">
        <v>50</v>
      </c>
      <c r="F2218">
        <v>49.686813354000002</v>
      </c>
      <c r="G2218">
        <v>1340.0178223</v>
      </c>
      <c r="H2218">
        <v>1337.3425293</v>
      </c>
      <c r="I2218">
        <v>1327.0211182</v>
      </c>
      <c r="J2218">
        <v>1325.2780762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1466.569559</v>
      </c>
      <c r="B2219" s="1">
        <f>DATE(2014,5,6) + TIME(13,40,9)</f>
        <v>41765.569548611114</v>
      </c>
      <c r="C2219">
        <v>80</v>
      </c>
      <c r="D2219">
        <v>79.980644225999995</v>
      </c>
      <c r="E2219">
        <v>50</v>
      </c>
      <c r="F2219">
        <v>49.678512572999999</v>
      </c>
      <c r="G2219">
        <v>1340.0139160000001</v>
      </c>
      <c r="H2219">
        <v>1337.3410644999999</v>
      </c>
      <c r="I2219">
        <v>1327.0203856999999</v>
      </c>
      <c r="J2219">
        <v>1325.2770995999999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1466.7590869999999</v>
      </c>
      <c r="B2220" s="1">
        <f>DATE(2014,5,6) + TIME(18,13,5)</f>
        <v>41765.759085648147</v>
      </c>
      <c r="C2220">
        <v>80</v>
      </c>
      <c r="D2220">
        <v>79.980674743999998</v>
      </c>
      <c r="E2220">
        <v>50</v>
      </c>
      <c r="F2220">
        <v>49.670059203999998</v>
      </c>
      <c r="G2220">
        <v>1340.0096435999999</v>
      </c>
      <c r="H2220">
        <v>1337.3394774999999</v>
      </c>
      <c r="I2220">
        <v>1327.0196533000001</v>
      </c>
      <c r="J2220">
        <v>1325.276001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1466.9517450000001</v>
      </c>
      <c r="B2221" s="1">
        <f>DATE(2014,5,6) + TIME(22,50,30)</f>
        <v>41765.951736111114</v>
      </c>
      <c r="C2221">
        <v>80</v>
      </c>
      <c r="D2221">
        <v>79.980690002000003</v>
      </c>
      <c r="E2221">
        <v>50</v>
      </c>
      <c r="F2221">
        <v>49.661495209000002</v>
      </c>
      <c r="G2221">
        <v>1340.005249</v>
      </c>
      <c r="H2221">
        <v>1337.3376464999999</v>
      </c>
      <c r="I2221">
        <v>1327.0189209</v>
      </c>
      <c r="J2221">
        <v>1325.2750243999999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1467.14806</v>
      </c>
      <c r="B2222" s="1">
        <f>DATE(2014,5,7) + TIME(3,33,12)</f>
        <v>41766.148055555554</v>
      </c>
      <c r="C2222">
        <v>80</v>
      </c>
      <c r="D2222">
        <v>79.980697632000002</v>
      </c>
      <c r="E2222">
        <v>50</v>
      </c>
      <c r="F2222">
        <v>49.652801513999997</v>
      </c>
      <c r="G2222">
        <v>1340.0006103999999</v>
      </c>
      <c r="H2222">
        <v>1337.3358154</v>
      </c>
      <c r="I2222">
        <v>1327.0180664</v>
      </c>
      <c r="J2222">
        <v>1325.2739257999999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1467.3485989999999</v>
      </c>
      <c r="B2223" s="1">
        <f>DATE(2014,5,7) + TIME(8,21,58)</f>
        <v>41766.348587962966</v>
      </c>
      <c r="C2223">
        <v>80</v>
      </c>
      <c r="D2223">
        <v>79.980697632000002</v>
      </c>
      <c r="E2223">
        <v>50</v>
      </c>
      <c r="F2223">
        <v>49.643966675000001</v>
      </c>
      <c r="G2223">
        <v>1339.9957274999999</v>
      </c>
      <c r="H2223">
        <v>1337.3338623</v>
      </c>
      <c r="I2223">
        <v>1327.0173339999999</v>
      </c>
      <c r="J2223">
        <v>1325.2727050999999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1467.5539630000001</v>
      </c>
      <c r="B2224" s="1">
        <f>DATE(2014,5,7) + TIME(13,17,42)</f>
        <v>41766.55395833333</v>
      </c>
      <c r="C2224">
        <v>80</v>
      </c>
      <c r="D2224">
        <v>79.980697632000002</v>
      </c>
      <c r="E2224">
        <v>50</v>
      </c>
      <c r="F2224">
        <v>49.634967803999999</v>
      </c>
      <c r="G2224">
        <v>1339.9906006000001</v>
      </c>
      <c r="H2224">
        <v>1337.3317870999999</v>
      </c>
      <c r="I2224">
        <v>1327.0164795000001</v>
      </c>
      <c r="J2224">
        <v>1325.2716064000001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1467.763784</v>
      </c>
      <c r="B2225" s="1">
        <f>DATE(2014,5,7) + TIME(18,19,50)</f>
        <v>41766.763773148145</v>
      </c>
      <c r="C2225">
        <v>80</v>
      </c>
      <c r="D2225">
        <v>79.980690002000003</v>
      </c>
      <c r="E2225">
        <v>50</v>
      </c>
      <c r="F2225">
        <v>49.625816344999997</v>
      </c>
      <c r="G2225">
        <v>1339.9846190999999</v>
      </c>
      <c r="H2225">
        <v>1337.3289795000001</v>
      </c>
      <c r="I2225">
        <v>1327.015625</v>
      </c>
      <c r="J2225">
        <v>1325.2703856999999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1467.97586</v>
      </c>
      <c r="B2226" s="1">
        <f>DATE(2014,5,7) + TIME(23,25,14)</f>
        <v>41766.975856481484</v>
      </c>
      <c r="C2226">
        <v>80</v>
      </c>
      <c r="D2226">
        <v>79.980682372999993</v>
      </c>
      <c r="E2226">
        <v>50</v>
      </c>
      <c r="F2226">
        <v>49.616592406999999</v>
      </c>
      <c r="G2226">
        <v>1339.9785156</v>
      </c>
      <c r="H2226">
        <v>1337.3262939000001</v>
      </c>
      <c r="I2226">
        <v>1327.0146483999999</v>
      </c>
      <c r="J2226">
        <v>1325.2691649999999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1468.1906349999999</v>
      </c>
      <c r="B2227" s="1">
        <f>DATE(2014,5,8) + TIME(4,34,30)</f>
        <v>41767.190625000003</v>
      </c>
      <c r="C2227">
        <v>80</v>
      </c>
      <c r="D2227">
        <v>79.980674743999998</v>
      </c>
      <c r="E2227">
        <v>50</v>
      </c>
      <c r="F2227">
        <v>49.607288361000002</v>
      </c>
      <c r="G2227">
        <v>1339.9724120999999</v>
      </c>
      <c r="H2227">
        <v>1337.3234863</v>
      </c>
      <c r="I2227">
        <v>1327.0137939000001</v>
      </c>
      <c r="J2227">
        <v>1325.2679443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1468.4086119999999</v>
      </c>
      <c r="B2228" s="1">
        <f>DATE(2014,5,8) + TIME(9,48,24)</f>
        <v>41767.40861111111</v>
      </c>
      <c r="C2228">
        <v>80</v>
      </c>
      <c r="D2228">
        <v>79.980659485000004</v>
      </c>
      <c r="E2228">
        <v>50</v>
      </c>
      <c r="F2228">
        <v>49.597885132000002</v>
      </c>
      <c r="G2228">
        <v>1339.9664307</v>
      </c>
      <c r="H2228">
        <v>1337.3208007999999</v>
      </c>
      <c r="I2228">
        <v>1327.0128173999999</v>
      </c>
      <c r="J2228">
        <v>1325.2666016000001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1468.6303049999999</v>
      </c>
      <c r="B2229" s="1">
        <f>DATE(2014,5,8) + TIME(15,7,38)</f>
        <v>41767.630300925928</v>
      </c>
      <c r="C2229">
        <v>80</v>
      </c>
      <c r="D2229">
        <v>79.980644225999995</v>
      </c>
      <c r="E2229">
        <v>50</v>
      </c>
      <c r="F2229">
        <v>49.588367462000001</v>
      </c>
      <c r="G2229">
        <v>1339.9603271000001</v>
      </c>
      <c r="H2229">
        <v>1337.3181152</v>
      </c>
      <c r="I2229">
        <v>1327.0119629000001</v>
      </c>
      <c r="J2229">
        <v>1325.2652588000001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1468.856258</v>
      </c>
      <c r="B2230" s="1">
        <f>DATE(2014,5,8) + TIME(20,33,0)</f>
        <v>41767.856249999997</v>
      </c>
      <c r="C2230">
        <v>80</v>
      </c>
      <c r="D2230">
        <v>79.980628967000001</v>
      </c>
      <c r="E2230">
        <v>50</v>
      </c>
      <c r="F2230">
        <v>49.578720093000001</v>
      </c>
      <c r="G2230">
        <v>1339.9542236</v>
      </c>
      <c r="H2230">
        <v>1337.3154297000001</v>
      </c>
      <c r="I2230">
        <v>1327.0109863</v>
      </c>
      <c r="J2230">
        <v>1325.2639160000001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1469.0870520000001</v>
      </c>
      <c r="B2231" s="1">
        <f>DATE(2014,5,9) + TIME(2,5,21)</f>
        <v>41768.087048611109</v>
      </c>
      <c r="C2231">
        <v>80</v>
      </c>
      <c r="D2231">
        <v>79.980606078999998</v>
      </c>
      <c r="E2231">
        <v>50</v>
      </c>
      <c r="F2231">
        <v>49.568923949999999</v>
      </c>
      <c r="G2231">
        <v>1339.9481201000001</v>
      </c>
      <c r="H2231">
        <v>1337.3127440999999</v>
      </c>
      <c r="I2231">
        <v>1327.0098877</v>
      </c>
      <c r="J2231">
        <v>1325.2625731999999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1469.323314</v>
      </c>
      <c r="B2232" s="1">
        <f>DATE(2014,5,9) + TIME(7,45,34)</f>
        <v>41768.323310185187</v>
      </c>
      <c r="C2232">
        <v>80</v>
      </c>
      <c r="D2232">
        <v>79.980590820000003</v>
      </c>
      <c r="E2232">
        <v>50</v>
      </c>
      <c r="F2232">
        <v>49.558959960999999</v>
      </c>
      <c r="G2232">
        <v>1339.9420166</v>
      </c>
      <c r="H2232">
        <v>1337.3100586</v>
      </c>
      <c r="I2232">
        <v>1327.0089111</v>
      </c>
      <c r="J2232">
        <v>1325.2611084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1469.5657269999999</v>
      </c>
      <c r="B2233" s="1">
        <f>DATE(2014,5,9) + TIME(13,34,38)</f>
        <v>41768.565717592595</v>
      </c>
      <c r="C2233">
        <v>80</v>
      </c>
      <c r="D2233">
        <v>79.980567932</v>
      </c>
      <c r="E2233">
        <v>50</v>
      </c>
      <c r="F2233">
        <v>49.548805237000003</v>
      </c>
      <c r="G2233">
        <v>1339.9359131000001</v>
      </c>
      <c r="H2233">
        <v>1337.3073730000001</v>
      </c>
      <c r="I2233">
        <v>1327.0078125</v>
      </c>
      <c r="J2233">
        <v>1325.2596435999999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1469.8150430000001</v>
      </c>
      <c r="B2234" s="1">
        <f>DATE(2014,5,9) + TIME(19,33,39)</f>
        <v>41768.815034722225</v>
      </c>
      <c r="C2234">
        <v>80</v>
      </c>
      <c r="D2234">
        <v>79.980552673000005</v>
      </c>
      <c r="E2234">
        <v>50</v>
      </c>
      <c r="F2234">
        <v>49.538429260000001</v>
      </c>
      <c r="G2234">
        <v>1339.9296875</v>
      </c>
      <c r="H2234">
        <v>1337.3046875</v>
      </c>
      <c r="I2234">
        <v>1327.0067139</v>
      </c>
      <c r="J2234">
        <v>1325.2580565999999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1470.0710200000001</v>
      </c>
      <c r="B2235" s="1">
        <f>DATE(2014,5,10) + TIME(1,42,16)</f>
        <v>41769.071018518516</v>
      </c>
      <c r="C2235">
        <v>80</v>
      </c>
      <c r="D2235">
        <v>79.980529785000002</v>
      </c>
      <c r="E2235">
        <v>50</v>
      </c>
      <c r="F2235">
        <v>49.527843474999997</v>
      </c>
      <c r="G2235">
        <v>1339.9234618999999</v>
      </c>
      <c r="H2235">
        <v>1337.3020019999999</v>
      </c>
      <c r="I2235">
        <v>1327.0056152</v>
      </c>
      <c r="J2235">
        <v>1325.2564697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1470.331551</v>
      </c>
      <c r="B2236" s="1">
        <f>DATE(2014,5,10) + TIME(7,57,26)</f>
        <v>41769.331550925926</v>
      </c>
      <c r="C2236">
        <v>80</v>
      </c>
      <c r="D2236">
        <v>79.980506896999998</v>
      </c>
      <c r="E2236">
        <v>50</v>
      </c>
      <c r="F2236">
        <v>49.517116547000001</v>
      </c>
      <c r="G2236">
        <v>1339.9171143000001</v>
      </c>
      <c r="H2236">
        <v>1337.2993164</v>
      </c>
      <c r="I2236">
        <v>1327.0043945</v>
      </c>
      <c r="J2236">
        <v>1325.2548827999999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1470.597299</v>
      </c>
      <c r="B2237" s="1">
        <f>DATE(2014,5,10) + TIME(14,20,6)</f>
        <v>41769.597291666665</v>
      </c>
      <c r="C2237">
        <v>80</v>
      </c>
      <c r="D2237">
        <v>79.980484008999994</v>
      </c>
      <c r="E2237">
        <v>50</v>
      </c>
      <c r="F2237">
        <v>49.506229400999999</v>
      </c>
      <c r="G2237">
        <v>1339.9107666</v>
      </c>
      <c r="H2237">
        <v>1337.2966309000001</v>
      </c>
      <c r="I2237">
        <v>1327.0031738</v>
      </c>
      <c r="J2237">
        <v>1325.2530518000001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1470.8688830000001</v>
      </c>
      <c r="B2238" s="1">
        <f>DATE(2014,5,10) + TIME(20,51,11)</f>
        <v>41769.868877314817</v>
      </c>
      <c r="C2238">
        <v>80</v>
      </c>
      <c r="D2238">
        <v>79.980461121000005</v>
      </c>
      <c r="E2238">
        <v>50</v>
      </c>
      <c r="F2238">
        <v>49.495162964000002</v>
      </c>
      <c r="G2238">
        <v>1339.9045410000001</v>
      </c>
      <c r="H2238">
        <v>1337.2939452999999</v>
      </c>
      <c r="I2238">
        <v>1327.0019531</v>
      </c>
      <c r="J2238">
        <v>1325.2513428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1471.1469870000001</v>
      </c>
      <c r="B2239" s="1">
        <f>DATE(2014,5,11) + TIME(3,31,39)</f>
        <v>41770.146979166668</v>
      </c>
      <c r="C2239">
        <v>80</v>
      </c>
      <c r="D2239">
        <v>79.980438231999997</v>
      </c>
      <c r="E2239">
        <v>50</v>
      </c>
      <c r="F2239">
        <v>49.483901977999999</v>
      </c>
      <c r="G2239">
        <v>1339.8981934000001</v>
      </c>
      <c r="H2239">
        <v>1337.2912598</v>
      </c>
      <c r="I2239">
        <v>1327.0006103999999</v>
      </c>
      <c r="J2239">
        <v>1325.2495117000001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1471.4323609999999</v>
      </c>
      <c r="B2240" s="1">
        <f>DATE(2014,5,11) + TIME(10,22,35)</f>
        <v>41770.432349537034</v>
      </c>
      <c r="C2240">
        <v>80</v>
      </c>
      <c r="D2240">
        <v>79.980415343999994</v>
      </c>
      <c r="E2240">
        <v>50</v>
      </c>
      <c r="F2240">
        <v>49.472423552999999</v>
      </c>
      <c r="G2240">
        <v>1339.8918457</v>
      </c>
      <c r="H2240">
        <v>1337.2886963000001</v>
      </c>
      <c r="I2240">
        <v>1326.9992675999999</v>
      </c>
      <c r="J2240">
        <v>1325.2475586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1471.725839</v>
      </c>
      <c r="B2241" s="1">
        <f>DATE(2014,5,11) + TIME(17,25,12)</f>
        <v>41770.72583333333</v>
      </c>
      <c r="C2241">
        <v>80</v>
      </c>
      <c r="D2241">
        <v>79.980384826999995</v>
      </c>
      <c r="E2241">
        <v>50</v>
      </c>
      <c r="F2241">
        <v>49.460697174000003</v>
      </c>
      <c r="G2241">
        <v>1339.8854980000001</v>
      </c>
      <c r="H2241">
        <v>1337.2860106999999</v>
      </c>
      <c r="I2241">
        <v>1326.9978027</v>
      </c>
      <c r="J2241">
        <v>1325.2456055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1472.0283469999999</v>
      </c>
      <c r="B2242" s="1">
        <f>DATE(2014,5,12) + TIME(0,40,49)</f>
        <v>41771.028344907405</v>
      </c>
      <c r="C2242">
        <v>80</v>
      </c>
      <c r="D2242">
        <v>79.980361938000001</v>
      </c>
      <c r="E2242">
        <v>50</v>
      </c>
      <c r="F2242">
        <v>49.448703766000001</v>
      </c>
      <c r="G2242">
        <v>1339.8791504000001</v>
      </c>
      <c r="H2242">
        <v>1337.2834473</v>
      </c>
      <c r="I2242">
        <v>1326.9963379000001</v>
      </c>
      <c r="J2242">
        <v>1325.2435303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1472.341032</v>
      </c>
      <c r="B2243" s="1">
        <f>DATE(2014,5,12) + TIME(8,11,5)</f>
        <v>41771.34103009259</v>
      </c>
      <c r="C2243">
        <v>80</v>
      </c>
      <c r="D2243">
        <v>79.980339049999998</v>
      </c>
      <c r="E2243">
        <v>50</v>
      </c>
      <c r="F2243">
        <v>49.436401367000002</v>
      </c>
      <c r="G2243">
        <v>1339.8726807</v>
      </c>
      <c r="H2243">
        <v>1337.2807617000001</v>
      </c>
      <c r="I2243">
        <v>1326.9948730000001</v>
      </c>
      <c r="J2243">
        <v>1325.2414550999999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1472.6618860000001</v>
      </c>
      <c r="B2244" s="1">
        <f>DATE(2014,5,12) + TIME(15,53,6)</f>
        <v>41771.661874999998</v>
      </c>
      <c r="C2244">
        <v>80</v>
      </c>
      <c r="D2244">
        <v>79.980316161999994</v>
      </c>
      <c r="E2244">
        <v>50</v>
      </c>
      <c r="F2244">
        <v>49.423847197999997</v>
      </c>
      <c r="G2244">
        <v>1339.8662108999999</v>
      </c>
      <c r="H2244">
        <v>1337.2781981999999</v>
      </c>
      <c r="I2244">
        <v>1326.9932861</v>
      </c>
      <c r="J2244">
        <v>1325.2391356999999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1472.9869189999999</v>
      </c>
      <c r="B2245" s="1">
        <f>DATE(2014,5,12) + TIME(23,41,9)</f>
        <v>41771.986909722225</v>
      </c>
      <c r="C2245">
        <v>80</v>
      </c>
      <c r="D2245">
        <v>79.980285644999995</v>
      </c>
      <c r="E2245">
        <v>50</v>
      </c>
      <c r="F2245">
        <v>49.411159515000001</v>
      </c>
      <c r="G2245">
        <v>1339.8596190999999</v>
      </c>
      <c r="H2245">
        <v>1337.2755127</v>
      </c>
      <c r="I2245">
        <v>1326.9915771000001</v>
      </c>
      <c r="J2245">
        <v>1325.2368164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1473.314482</v>
      </c>
      <c r="B2246" s="1">
        <f>DATE(2014,5,13) + TIME(7,32,51)</f>
        <v>41772.314479166664</v>
      </c>
      <c r="C2246">
        <v>80</v>
      </c>
      <c r="D2246">
        <v>79.980262756000002</v>
      </c>
      <c r="E2246">
        <v>50</v>
      </c>
      <c r="F2246">
        <v>49.398399353000002</v>
      </c>
      <c r="G2246">
        <v>1339.8531493999999</v>
      </c>
      <c r="H2246">
        <v>1337.2729492000001</v>
      </c>
      <c r="I2246">
        <v>1326.9898682</v>
      </c>
      <c r="J2246">
        <v>1325.234375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1473.6454470000001</v>
      </c>
      <c r="B2247" s="1">
        <f>DATE(2014,5,13) + TIME(15,29,26)</f>
        <v>41772.645439814813</v>
      </c>
      <c r="C2247">
        <v>80</v>
      </c>
      <c r="D2247">
        <v>79.980232239000003</v>
      </c>
      <c r="E2247">
        <v>50</v>
      </c>
      <c r="F2247">
        <v>49.385551452999998</v>
      </c>
      <c r="G2247">
        <v>1339.8468018000001</v>
      </c>
      <c r="H2247">
        <v>1337.2705077999999</v>
      </c>
      <c r="I2247">
        <v>1326.9881591999999</v>
      </c>
      <c r="J2247">
        <v>1325.2319336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1473.980701</v>
      </c>
      <c r="B2248" s="1">
        <f>DATE(2014,5,13) + TIME(23,32,12)</f>
        <v>41772.980694444443</v>
      </c>
      <c r="C2248">
        <v>80</v>
      </c>
      <c r="D2248">
        <v>79.980209350999999</v>
      </c>
      <c r="E2248">
        <v>50</v>
      </c>
      <c r="F2248">
        <v>49.372604369999998</v>
      </c>
      <c r="G2248">
        <v>1339.8404541</v>
      </c>
      <c r="H2248">
        <v>1337.2679443</v>
      </c>
      <c r="I2248">
        <v>1326.9863281</v>
      </c>
      <c r="J2248">
        <v>1325.2293701000001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1474.3211570000001</v>
      </c>
      <c r="B2249" s="1">
        <f>DATE(2014,5,14) + TIME(7,42,27)</f>
        <v>41773.321145833332</v>
      </c>
      <c r="C2249">
        <v>80</v>
      </c>
      <c r="D2249">
        <v>79.980186462000006</v>
      </c>
      <c r="E2249">
        <v>50</v>
      </c>
      <c r="F2249">
        <v>49.359535217000001</v>
      </c>
      <c r="G2249">
        <v>1339.8341064000001</v>
      </c>
      <c r="H2249">
        <v>1337.2655029</v>
      </c>
      <c r="I2249">
        <v>1326.9844971</v>
      </c>
      <c r="J2249">
        <v>1325.2268065999999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1474.667344</v>
      </c>
      <c r="B2250" s="1">
        <f>DATE(2014,5,14) + TIME(16,0,58)</f>
        <v>41773.667337962965</v>
      </c>
      <c r="C2250">
        <v>80</v>
      </c>
      <c r="D2250">
        <v>79.980155945000007</v>
      </c>
      <c r="E2250">
        <v>50</v>
      </c>
      <c r="F2250">
        <v>49.34633255</v>
      </c>
      <c r="G2250">
        <v>1339.8278809000001</v>
      </c>
      <c r="H2250">
        <v>1337.2631836</v>
      </c>
      <c r="I2250">
        <v>1326.9826660000001</v>
      </c>
      <c r="J2250">
        <v>1325.2241211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1475.019378</v>
      </c>
      <c r="B2251" s="1">
        <f>DATE(2014,5,15) + TIME(0,27,54)</f>
        <v>41774.019375000003</v>
      </c>
      <c r="C2251">
        <v>80</v>
      </c>
      <c r="D2251">
        <v>79.980133057000003</v>
      </c>
      <c r="E2251">
        <v>50</v>
      </c>
      <c r="F2251">
        <v>49.332996368000003</v>
      </c>
      <c r="G2251">
        <v>1339.8217772999999</v>
      </c>
      <c r="H2251">
        <v>1337.2607422000001</v>
      </c>
      <c r="I2251">
        <v>1326.9807129000001</v>
      </c>
      <c r="J2251">
        <v>1325.2213135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1475.378213</v>
      </c>
      <c r="B2252" s="1">
        <f>DATE(2014,5,15) + TIME(9,4,37)</f>
        <v>41774.378206018519</v>
      </c>
      <c r="C2252">
        <v>80</v>
      </c>
      <c r="D2252">
        <v>79.980110167999996</v>
      </c>
      <c r="E2252">
        <v>50</v>
      </c>
      <c r="F2252">
        <v>49.319496155000003</v>
      </c>
      <c r="G2252">
        <v>1339.8155518000001</v>
      </c>
      <c r="H2252">
        <v>1337.2584228999999</v>
      </c>
      <c r="I2252">
        <v>1326.9786377</v>
      </c>
      <c r="J2252">
        <v>1325.2185059000001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1475.7449120000001</v>
      </c>
      <c r="B2253" s="1">
        <f>DATE(2014,5,15) + TIME(17,52,40)</f>
        <v>41774.74490740741</v>
      </c>
      <c r="C2253">
        <v>80</v>
      </c>
      <c r="D2253">
        <v>79.980079650999997</v>
      </c>
      <c r="E2253">
        <v>50</v>
      </c>
      <c r="F2253">
        <v>49.305809021000002</v>
      </c>
      <c r="G2253">
        <v>1339.8094481999999</v>
      </c>
      <c r="H2253">
        <v>1337.2561035000001</v>
      </c>
      <c r="I2253">
        <v>1326.9765625</v>
      </c>
      <c r="J2253">
        <v>1325.2154541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1476.120592</v>
      </c>
      <c r="B2254" s="1">
        <f>DATE(2014,5,16) + TIME(2,53,39)</f>
        <v>41775.12059027778</v>
      </c>
      <c r="C2254">
        <v>80</v>
      </c>
      <c r="D2254">
        <v>79.980056762999993</v>
      </c>
      <c r="E2254">
        <v>50</v>
      </c>
      <c r="F2254">
        <v>49.291900634999998</v>
      </c>
      <c r="G2254">
        <v>1339.8032227000001</v>
      </c>
      <c r="H2254">
        <v>1337.2537841999999</v>
      </c>
      <c r="I2254">
        <v>1326.9744873</v>
      </c>
      <c r="J2254">
        <v>1325.2124022999999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1476.5066449999999</v>
      </c>
      <c r="B2255" s="1">
        <f>DATE(2014,5,16) + TIME(12,9,34)</f>
        <v>41775.506643518522</v>
      </c>
      <c r="C2255">
        <v>80</v>
      </c>
      <c r="D2255">
        <v>79.980033875000004</v>
      </c>
      <c r="E2255">
        <v>50</v>
      </c>
      <c r="F2255">
        <v>49.277732849000003</v>
      </c>
      <c r="G2255">
        <v>1339.7971190999999</v>
      </c>
      <c r="H2255">
        <v>1337.2514647999999</v>
      </c>
      <c r="I2255">
        <v>1326.9722899999999</v>
      </c>
      <c r="J2255">
        <v>1325.2092285000001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1476.9063510000001</v>
      </c>
      <c r="B2256" s="1">
        <f>DATE(2014,5,16) + TIME(21,45,8)</f>
        <v>41775.906342592592</v>
      </c>
      <c r="C2256">
        <v>80</v>
      </c>
      <c r="D2256">
        <v>79.980003357000001</v>
      </c>
      <c r="E2256">
        <v>50</v>
      </c>
      <c r="F2256">
        <v>49.263214111000003</v>
      </c>
      <c r="G2256">
        <v>1339.7908935999999</v>
      </c>
      <c r="H2256">
        <v>1337.2491454999999</v>
      </c>
      <c r="I2256">
        <v>1326.9699707</v>
      </c>
      <c r="J2256">
        <v>1325.2059326000001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1477.3126</v>
      </c>
      <c r="B2257" s="1">
        <f>DATE(2014,5,17) + TIME(7,30,8)</f>
        <v>41776.312592592592</v>
      </c>
      <c r="C2257">
        <v>80</v>
      </c>
      <c r="D2257">
        <v>79.979980468999997</v>
      </c>
      <c r="E2257">
        <v>50</v>
      </c>
      <c r="F2257">
        <v>49.248512267999999</v>
      </c>
      <c r="G2257">
        <v>1339.7845459</v>
      </c>
      <c r="H2257">
        <v>1337.2468262</v>
      </c>
      <c r="I2257">
        <v>1326.9675293</v>
      </c>
      <c r="J2257">
        <v>1325.2025146000001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1477.7234920000001</v>
      </c>
      <c r="B2258" s="1">
        <f>DATE(2014,5,17) + TIME(17,21,49)</f>
        <v>41776.723483796297</v>
      </c>
      <c r="C2258">
        <v>80</v>
      </c>
      <c r="D2258">
        <v>79.979949950999995</v>
      </c>
      <c r="E2258">
        <v>50</v>
      </c>
      <c r="F2258">
        <v>49.233692169000001</v>
      </c>
      <c r="G2258">
        <v>1339.7783202999999</v>
      </c>
      <c r="H2258">
        <v>1337.2446289</v>
      </c>
      <c r="I2258">
        <v>1326.9649658000001</v>
      </c>
      <c r="J2258">
        <v>1325.1988524999999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1478.1398670000001</v>
      </c>
      <c r="B2259" s="1">
        <f>DATE(2014,5,18) + TIME(3,21,24)</f>
        <v>41777.139861111114</v>
      </c>
      <c r="C2259">
        <v>80</v>
      </c>
      <c r="D2259">
        <v>79.979927063000005</v>
      </c>
      <c r="E2259">
        <v>50</v>
      </c>
      <c r="F2259">
        <v>49.218742370999998</v>
      </c>
      <c r="G2259">
        <v>1339.7720947</v>
      </c>
      <c r="H2259">
        <v>1337.2424315999999</v>
      </c>
      <c r="I2259">
        <v>1326.9624022999999</v>
      </c>
      <c r="J2259">
        <v>1325.1951904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1478.5627219999999</v>
      </c>
      <c r="B2260" s="1">
        <f>DATE(2014,5,18) + TIME(13,30,19)</f>
        <v>41777.562719907408</v>
      </c>
      <c r="C2260">
        <v>80</v>
      </c>
      <c r="D2260">
        <v>79.979896545000003</v>
      </c>
      <c r="E2260">
        <v>50</v>
      </c>
      <c r="F2260">
        <v>49.203659058</v>
      </c>
      <c r="G2260">
        <v>1339.7659911999999</v>
      </c>
      <c r="H2260">
        <v>1337.2402344</v>
      </c>
      <c r="I2260">
        <v>1326.9598389</v>
      </c>
      <c r="J2260">
        <v>1325.1914062000001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1478.993113</v>
      </c>
      <c r="B2261" s="1">
        <f>DATE(2014,5,18) + TIME(23,50,4)</f>
        <v>41777.993101851855</v>
      </c>
      <c r="C2261">
        <v>80</v>
      </c>
      <c r="D2261">
        <v>79.979873656999999</v>
      </c>
      <c r="E2261">
        <v>50</v>
      </c>
      <c r="F2261">
        <v>49.188419342000003</v>
      </c>
      <c r="G2261">
        <v>1339.7598877</v>
      </c>
      <c r="H2261">
        <v>1337.2380370999999</v>
      </c>
      <c r="I2261">
        <v>1326.9570312000001</v>
      </c>
      <c r="J2261">
        <v>1325.1875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1479.4321870000001</v>
      </c>
      <c r="B2262" s="1">
        <f>DATE(2014,5,19) + TIME(10,22,20)</f>
        <v>41778.432175925926</v>
      </c>
      <c r="C2262">
        <v>80</v>
      </c>
      <c r="D2262">
        <v>79.979850768999995</v>
      </c>
      <c r="E2262">
        <v>50</v>
      </c>
      <c r="F2262">
        <v>49.172992706000002</v>
      </c>
      <c r="G2262">
        <v>1339.7539062000001</v>
      </c>
      <c r="H2262">
        <v>1337.2358397999999</v>
      </c>
      <c r="I2262">
        <v>1326.9543457</v>
      </c>
      <c r="J2262">
        <v>1325.1834716999999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1479.881271</v>
      </c>
      <c r="B2263" s="1">
        <f>DATE(2014,5,19) + TIME(21,9,1)</f>
        <v>41778.881261574075</v>
      </c>
      <c r="C2263">
        <v>80</v>
      </c>
      <c r="D2263">
        <v>79.979820251000007</v>
      </c>
      <c r="E2263">
        <v>50</v>
      </c>
      <c r="F2263">
        <v>49.157348632999998</v>
      </c>
      <c r="G2263">
        <v>1339.7478027</v>
      </c>
      <c r="H2263">
        <v>1337.2337646000001</v>
      </c>
      <c r="I2263">
        <v>1326.9514160000001</v>
      </c>
      <c r="J2263">
        <v>1325.1793213000001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1480.335188</v>
      </c>
      <c r="B2264" s="1">
        <f>DATE(2014,5,20) + TIME(8,2,40)</f>
        <v>41779.335185185184</v>
      </c>
      <c r="C2264">
        <v>80</v>
      </c>
      <c r="D2264">
        <v>79.979797363000003</v>
      </c>
      <c r="E2264">
        <v>50</v>
      </c>
      <c r="F2264">
        <v>49.141605376999998</v>
      </c>
      <c r="G2264">
        <v>1339.7416992000001</v>
      </c>
      <c r="H2264">
        <v>1337.2316894999999</v>
      </c>
      <c r="I2264">
        <v>1326.9483643000001</v>
      </c>
      <c r="J2264">
        <v>1325.1749268000001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1480.793316</v>
      </c>
      <c r="B2265" s="1">
        <f>DATE(2014,5,20) + TIME(19,2,22)</f>
        <v>41779.793310185189</v>
      </c>
      <c r="C2265">
        <v>80</v>
      </c>
      <c r="D2265">
        <v>79.979766846000004</v>
      </c>
      <c r="E2265">
        <v>50</v>
      </c>
      <c r="F2265">
        <v>49.125793457</v>
      </c>
      <c r="G2265">
        <v>1339.7357178</v>
      </c>
      <c r="H2265">
        <v>1337.2296143000001</v>
      </c>
      <c r="I2265">
        <v>1326.9453125</v>
      </c>
      <c r="J2265">
        <v>1325.1705322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1481.256991</v>
      </c>
      <c r="B2266" s="1">
        <f>DATE(2014,5,21) + TIME(6,10,4)</f>
        <v>41780.256990740738</v>
      </c>
      <c r="C2266">
        <v>80</v>
      </c>
      <c r="D2266">
        <v>79.979743958</v>
      </c>
      <c r="E2266">
        <v>50</v>
      </c>
      <c r="F2266">
        <v>49.109889983999999</v>
      </c>
      <c r="G2266">
        <v>1339.7298584</v>
      </c>
      <c r="H2266">
        <v>1337.2275391000001</v>
      </c>
      <c r="I2266">
        <v>1326.9422606999999</v>
      </c>
      <c r="J2266">
        <v>1325.1660156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1481.7276850000001</v>
      </c>
      <c r="B2267" s="1">
        <f>DATE(2014,5,21) + TIME(17,27,52)</f>
        <v>41780.727685185186</v>
      </c>
      <c r="C2267">
        <v>80</v>
      </c>
      <c r="D2267">
        <v>79.979721068999993</v>
      </c>
      <c r="E2267">
        <v>50</v>
      </c>
      <c r="F2267">
        <v>49.093875885000003</v>
      </c>
      <c r="G2267">
        <v>1339.723999</v>
      </c>
      <c r="H2267">
        <v>1337.2255858999999</v>
      </c>
      <c r="I2267">
        <v>1326.9389647999999</v>
      </c>
      <c r="J2267">
        <v>1325.1612548999999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1482.2068710000001</v>
      </c>
      <c r="B2268" s="1">
        <f>DATE(2014,5,22) + TIME(4,57,53)</f>
        <v>41781.206863425927</v>
      </c>
      <c r="C2268">
        <v>80</v>
      </c>
      <c r="D2268">
        <v>79.979690551999994</v>
      </c>
      <c r="E2268">
        <v>50</v>
      </c>
      <c r="F2268">
        <v>49.077713013</v>
      </c>
      <c r="G2268">
        <v>1339.7182617000001</v>
      </c>
      <c r="H2268">
        <v>1337.2236327999999</v>
      </c>
      <c r="I2268">
        <v>1326.9356689000001</v>
      </c>
      <c r="J2268">
        <v>1325.1564940999999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1482.69613</v>
      </c>
      <c r="B2269" s="1">
        <f>DATE(2014,5,22) + TIME(16,42,25)</f>
        <v>41781.696122685185</v>
      </c>
      <c r="C2269">
        <v>80</v>
      </c>
      <c r="D2269">
        <v>79.979667664000004</v>
      </c>
      <c r="E2269">
        <v>50</v>
      </c>
      <c r="F2269">
        <v>49.061363219999997</v>
      </c>
      <c r="G2269">
        <v>1339.7124022999999</v>
      </c>
      <c r="H2269">
        <v>1337.2216797000001</v>
      </c>
      <c r="I2269">
        <v>1326.932251</v>
      </c>
      <c r="J2269">
        <v>1325.1516113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1483.1976179999999</v>
      </c>
      <c r="B2270" s="1">
        <f>DATE(2014,5,23) + TIME(4,44,34)</f>
        <v>41782.197615740741</v>
      </c>
      <c r="C2270">
        <v>80</v>
      </c>
      <c r="D2270">
        <v>79.979644774999997</v>
      </c>
      <c r="E2270">
        <v>50</v>
      </c>
      <c r="F2270">
        <v>49.044776917</v>
      </c>
      <c r="G2270">
        <v>1339.7066649999999</v>
      </c>
      <c r="H2270">
        <v>1337.2197266000001</v>
      </c>
      <c r="I2270">
        <v>1326.9288329999999</v>
      </c>
      <c r="J2270">
        <v>1325.1464844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1483.7159200000001</v>
      </c>
      <c r="B2271" s="1">
        <f>DATE(2014,5,23) + TIME(17,10,55)</f>
        <v>41782.715914351851</v>
      </c>
      <c r="C2271">
        <v>80</v>
      </c>
      <c r="D2271">
        <v>79.979614257999998</v>
      </c>
      <c r="E2271">
        <v>50</v>
      </c>
      <c r="F2271">
        <v>49.027847289999997</v>
      </c>
      <c r="G2271">
        <v>1339.7008057</v>
      </c>
      <c r="H2271">
        <v>1337.2177733999999</v>
      </c>
      <c r="I2271">
        <v>1326.9251709</v>
      </c>
      <c r="J2271">
        <v>1325.1411132999999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1484.2535370000001</v>
      </c>
      <c r="B2272" s="1">
        <f>DATE(2014,5,24) + TIME(6,5,5)</f>
        <v>41783.253530092596</v>
      </c>
      <c r="C2272">
        <v>80</v>
      </c>
      <c r="D2272">
        <v>79.979591369999994</v>
      </c>
      <c r="E2272">
        <v>50</v>
      </c>
      <c r="F2272">
        <v>49.010501861999998</v>
      </c>
      <c r="G2272">
        <v>1339.6948242000001</v>
      </c>
      <c r="H2272">
        <v>1337.2158202999999</v>
      </c>
      <c r="I2272">
        <v>1326.9213867000001</v>
      </c>
      <c r="J2272">
        <v>1325.1356201000001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1484.813594</v>
      </c>
      <c r="B2273" s="1">
        <f>DATE(2014,5,24) + TIME(19,31,34)</f>
        <v>41783.813587962963</v>
      </c>
      <c r="C2273">
        <v>80</v>
      </c>
      <c r="D2273">
        <v>79.979560852000006</v>
      </c>
      <c r="E2273">
        <v>50</v>
      </c>
      <c r="F2273">
        <v>48.992656707999998</v>
      </c>
      <c r="G2273">
        <v>1339.6884766000001</v>
      </c>
      <c r="H2273">
        <v>1337.213501</v>
      </c>
      <c r="I2273">
        <v>1326.9173584</v>
      </c>
      <c r="J2273">
        <v>1325.1297606999999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1485.3887560000001</v>
      </c>
      <c r="B2274" s="1">
        <f>DATE(2014,5,25) + TIME(9,19,48)</f>
        <v>41784.388749999998</v>
      </c>
      <c r="C2274">
        <v>80</v>
      </c>
      <c r="D2274">
        <v>79.979537964000002</v>
      </c>
      <c r="E2274">
        <v>50</v>
      </c>
      <c r="F2274">
        <v>48.974430083999998</v>
      </c>
      <c r="G2274">
        <v>1339.6820068</v>
      </c>
      <c r="H2274">
        <v>1337.2113036999999</v>
      </c>
      <c r="I2274">
        <v>1326.9132079999999</v>
      </c>
      <c r="J2274">
        <v>1325.1236572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1485.9713360000001</v>
      </c>
      <c r="B2275" s="1">
        <f>DATE(2014,5,25) + TIME(23,18,43)</f>
        <v>41784.971331018518</v>
      </c>
      <c r="C2275">
        <v>80</v>
      </c>
      <c r="D2275">
        <v>79.979507446</v>
      </c>
      <c r="E2275">
        <v>50</v>
      </c>
      <c r="F2275">
        <v>48.955989838000001</v>
      </c>
      <c r="G2275">
        <v>1339.6755370999999</v>
      </c>
      <c r="H2275">
        <v>1337.2091064000001</v>
      </c>
      <c r="I2275">
        <v>1326.9088135</v>
      </c>
      <c r="J2275">
        <v>1325.1173096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1486.556376</v>
      </c>
      <c r="B2276" s="1">
        <f>DATE(2014,5,26) + TIME(13,21,10)</f>
        <v>41785.55636574074</v>
      </c>
      <c r="C2276">
        <v>80</v>
      </c>
      <c r="D2276">
        <v>79.979476929</v>
      </c>
      <c r="E2276">
        <v>50</v>
      </c>
      <c r="F2276">
        <v>48.937484740999999</v>
      </c>
      <c r="G2276">
        <v>1339.6690673999999</v>
      </c>
      <c r="H2276">
        <v>1337.2069091999999</v>
      </c>
      <c r="I2276">
        <v>1326.9042969</v>
      </c>
      <c r="J2276">
        <v>1325.1107178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1487.1454639999999</v>
      </c>
      <c r="B2277" s="1">
        <f>DATE(2014,5,27) + TIME(3,29,28)</f>
        <v>41786.145462962966</v>
      </c>
      <c r="C2277">
        <v>80</v>
      </c>
      <c r="D2277">
        <v>79.979454040999997</v>
      </c>
      <c r="E2277">
        <v>50</v>
      </c>
      <c r="F2277">
        <v>48.918945311999998</v>
      </c>
      <c r="G2277">
        <v>1339.6628418</v>
      </c>
      <c r="H2277">
        <v>1337.2048339999999</v>
      </c>
      <c r="I2277">
        <v>1326.8997803</v>
      </c>
      <c r="J2277">
        <v>1325.1040039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1487.740419</v>
      </c>
      <c r="B2278" s="1">
        <f>DATE(2014,5,27) + TIME(17,46,12)</f>
        <v>41786.740416666667</v>
      </c>
      <c r="C2278">
        <v>80</v>
      </c>
      <c r="D2278">
        <v>79.979423522999994</v>
      </c>
      <c r="E2278">
        <v>50</v>
      </c>
      <c r="F2278">
        <v>48.900360106999997</v>
      </c>
      <c r="G2278">
        <v>1339.6566161999999</v>
      </c>
      <c r="H2278">
        <v>1337.2026367000001</v>
      </c>
      <c r="I2278">
        <v>1326.8951416</v>
      </c>
      <c r="J2278">
        <v>1325.0972899999999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1488.342823</v>
      </c>
      <c r="B2279" s="1">
        <f>DATE(2014,5,28) + TIME(8,13,39)</f>
        <v>41787.342812499999</v>
      </c>
      <c r="C2279">
        <v>80</v>
      </c>
      <c r="D2279">
        <v>79.979400635000005</v>
      </c>
      <c r="E2279">
        <v>50</v>
      </c>
      <c r="F2279">
        <v>48.881713867000002</v>
      </c>
      <c r="G2279">
        <v>1339.6505127</v>
      </c>
      <c r="H2279">
        <v>1337.2006836</v>
      </c>
      <c r="I2279">
        <v>1326.8903809000001</v>
      </c>
      <c r="J2279">
        <v>1325.0902100000001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1488.9525120000001</v>
      </c>
      <c r="B2280" s="1">
        <f>DATE(2014,5,28) + TIME(22,51,37)</f>
        <v>41787.952511574076</v>
      </c>
      <c r="C2280">
        <v>80</v>
      </c>
      <c r="D2280">
        <v>79.979370117000002</v>
      </c>
      <c r="E2280">
        <v>50</v>
      </c>
      <c r="F2280">
        <v>48.863006591999998</v>
      </c>
      <c r="G2280">
        <v>1339.6445312000001</v>
      </c>
      <c r="H2280">
        <v>1337.1986084</v>
      </c>
      <c r="I2280">
        <v>1326.8856201000001</v>
      </c>
      <c r="J2280">
        <v>1325.0831298999999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1489.569962</v>
      </c>
      <c r="B2281" s="1">
        <f>DATE(2014,5,29) + TIME(13,40,44)</f>
        <v>41788.569953703707</v>
      </c>
      <c r="C2281">
        <v>80</v>
      </c>
      <c r="D2281">
        <v>79.979347228999998</v>
      </c>
      <c r="E2281">
        <v>50</v>
      </c>
      <c r="F2281">
        <v>48.844234467</v>
      </c>
      <c r="G2281">
        <v>1339.6385498</v>
      </c>
      <c r="H2281">
        <v>1337.1966553</v>
      </c>
      <c r="I2281">
        <v>1326.8806152</v>
      </c>
      <c r="J2281">
        <v>1325.0758057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1490.1972619999999</v>
      </c>
      <c r="B2282" s="1">
        <f>DATE(2014,5,30) + TIME(4,44,3)</f>
        <v>41789.197256944448</v>
      </c>
      <c r="C2282">
        <v>80</v>
      </c>
      <c r="D2282">
        <v>79.979324340999995</v>
      </c>
      <c r="E2282">
        <v>50</v>
      </c>
      <c r="F2282">
        <v>48.825355530000003</v>
      </c>
      <c r="G2282">
        <v>1339.6325684000001</v>
      </c>
      <c r="H2282">
        <v>1337.1947021000001</v>
      </c>
      <c r="I2282">
        <v>1326.8756103999999</v>
      </c>
      <c r="J2282">
        <v>1325.0683594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1490.8365920000001</v>
      </c>
      <c r="B2283" s="1">
        <f>DATE(2014,5,30) + TIME(20,4,41)</f>
        <v>41789.836585648147</v>
      </c>
      <c r="C2283">
        <v>80</v>
      </c>
      <c r="D2283">
        <v>79.979293823000006</v>
      </c>
      <c r="E2283">
        <v>50</v>
      </c>
      <c r="F2283">
        <v>48.806331634999999</v>
      </c>
      <c r="G2283">
        <v>1339.6267089999999</v>
      </c>
      <c r="H2283">
        <v>1337.192749</v>
      </c>
      <c r="I2283">
        <v>1326.8703613</v>
      </c>
      <c r="J2283">
        <v>1325.0606689000001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1491.492745</v>
      </c>
      <c r="B2284" s="1">
        <f>DATE(2014,5,31) + TIME(11,49,33)</f>
        <v>41790.492743055554</v>
      </c>
      <c r="C2284">
        <v>80</v>
      </c>
      <c r="D2284">
        <v>79.979270935000002</v>
      </c>
      <c r="E2284">
        <v>50</v>
      </c>
      <c r="F2284">
        <v>48.787067413000003</v>
      </c>
      <c r="G2284">
        <v>1339.6208495999999</v>
      </c>
      <c r="H2284">
        <v>1337.1907959</v>
      </c>
      <c r="I2284">
        <v>1326.8649902</v>
      </c>
      <c r="J2284">
        <v>1325.0527344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1492</v>
      </c>
      <c r="B2285" s="1">
        <f>DATE(2014,6,1) + TIME(0,0,0)</f>
        <v>41791</v>
      </c>
      <c r="C2285">
        <v>80</v>
      </c>
      <c r="D2285">
        <v>79.979248046999999</v>
      </c>
      <c r="E2285">
        <v>50</v>
      </c>
      <c r="F2285">
        <v>48.770557404000002</v>
      </c>
      <c r="G2285">
        <v>1339.6151123</v>
      </c>
      <c r="H2285">
        <v>1337.1890868999999</v>
      </c>
      <c r="I2285">
        <v>1326.8597411999999</v>
      </c>
      <c r="J2285">
        <v>1325.0449219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1492.6712150000001</v>
      </c>
      <c r="B2286" s="1">
        <f>DATE(2014,6,1) + TIME(16,6,32)</f>
        <v>41791.671203703707</v>
      </c>
      <c r="C2286">
        <v>80</v>
      </c>
      <c r="D2286">
        <v>79.979225158999995</v>
      </c>
      <c r="E2286">
        <v>50</v>
      </c>
      <c r="F2286">
        <v>48.751823424999998</v>
      </c>
      <c r="G2286">
        <v>1339.6104736</v>
      </c>
      <c r="H2286">
        <v>1337.1873779</v>
      </c>
      <c r="I2286">
        <v>1326.8549805</v>
      </c>
      <c r="J2286">
        <v>1325.0379639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1493.369408</v>
      </c>
      <c r="B2287" s="1">
        <f>DATE(2014,6,2) + TIME(8,51,56)</f>
        <v>41792.369398148148</v>
      </c>
      <c r="C2287">
        <v>80</v>
      </c>
      <c r="D2287">
        <v>79.979202271000005</v>
      </c>
      <c r="E2287">
        <v>50</v>
      </c>
      <c r="F2287">
        <v>48.732387543000002</v>
      </c>
      <c r="G2287">
        <v>1339.6047363</v>
      </c>
      <c r="H2287">
        <v>1337.1855469</v>
      </c>
      <c r="I2287">
        <v>1326.8493652</v>
      </c>
      <c r="J2287">
        <v>1325.0295410000001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1494.0902209999999</v>
      </c>
      <c r="B2288" s="1">
        <f>DATE(2014,6,3) + TIME(2,9,55)</f>
        <v>41793.090219907404</v>
      </c>
      <c r="C2288">
        <v>80</v>
      </c>
      <c r="D2288">
        <v>79.979179381999998</v>
      </c>
      <c r="E2288">
        <v>50</v>
      </c>
      <c r="F2288">
        <v>48.712375641000001</v>
      </c>
      <c r="G2288">
        <v>1339.5988769999999</v>
      </c>
      <c r="H2288">
        <v>1337.1837158000001</v>
      </c>
      <c r="I2288">
        <v>1326.8433838000001</v>
      </c>
      <c r="J2288">
        <v>1325.0206298999999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1494.82484</v>
      </c>
      <c r="B2289" s="1">
        <f>DATE(2014,6,3) + TIME(19,47,46)</f>
        <v>41793.824837962966</v>
      </c>
      <c r="C2289">
        <v>80</v>
      </c>
      <c r="D2289">
        <v>79.979148864999999</v>
      </c>
      <c r="E2289">
        <v>50</v>
      </c>
      <c r="F2289">
        <v>48.691978454999997</v>
      </c>
      <c r="G2289">
        <v>1339.5928954999999</v>
      </c>
      <c r="H2289">
        <v>1337.1817627</v>
      </c>
      <c r="I2289">
        <v>1326.8371582</v>
      </c>
      <c r="J2289">
        <v>1325.0113524999999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1495.575879</v>
      </c>
      <c r="B2290" s="1">
        <f>DATE(2014,6,4) + TIME(13,49,15)</f>
        <v>41794.575868055559</v>
      </c>
      <c r="C2290">
        <v>80</v>
      </c>
      <c r="D2290">
        <v>79.979125976999995</v>
      </c>
      <c r="E2290">
        <v>50</v>
      </c>
      <c r="F2290">
        <v>48.671257019000002</v>
      </c>
      <c r="G2290">
        <v>1339.5869141000001</v>
      </c>
      <c r="H2290">
        <v>1337.1799315999999</v>
      </c>
      <c r="I2290">
        <v>1326.8308105000001</v>
      </c>
      <c r="J2290">
        <v>1325.0018310999999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1496.346037</v>
      </c>
      <c r="B2291" s="1">
        <f>DATE(2014,6,5) + TIME(8,18,17)</f>
        <v>41795.346030092594</v>
      </c>
      <c r="C2291">
        <v>80</v>
      </c>
      <c r="D2291">
        <v>79.979103088000002</v>
      </c>
      <c r="E2291">
        <v>50</v>
      </c>
      <c r="F2291">
        <v>48.650211333999998</v>
      </c>
      <c r="G2291">
        <v>1339.5810547000001</v>
      </c>
      <c r="H2291">
        <v>1337.1779785000001</v>
      </c>
      <c r="I2291">
        <v>1326.8240966999999</v>
      </c>
      <c r="J2291">
        <v>1324.9919434000001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1497.1401089999999</v>
      </c>
      <c r="B2292" s="1">
        <f>DATE(2014,6,6) + TIME(3,21,45)</f>
        <v>41796.140104166669</v>
      </c>
      <c r="C2292">
        <v>80</v>
      </c>
      <c r="D2292">
        <v>79.979072571000003</v>
      </c>
      <c r="E2292">
        <v>50</v>
      </c>
      <c r="F2292">
        <v>48.628795623999999</v>
      </c>
      <c r="G2292">
        <v>1339.5750731999999</v>
      </c>
      <c r="H2292">
        <v>1337.1761475000001</v>
      </c>
      <c r="I2292">
        <v>1326.8172606999999</v>
      </c>
      <c r="J2292">
        <v>1324.9816894999999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1497.9349179999999</v>
      </c>
      <c r="B2293" s="1">
        <f>DATE(2014,6,6) + TIME(22,26,16)</f>
        <v>41796.934907407405</v>
      </c>
      <c r="C2293">
        <v>80</v>
      </c>
      <c r="D2293">
        <v>79.979049683</v>
      </c>
      <c r="E2293">
        <v>50</v>
      </c>
      <c r="F2293">
        <v>48.607311248999999</v>
      </c>
      <c r="G2293">
        <v>1339.5690918</v>
      </c>
      <c r="H2293">
        <v>1337.1741943</v>
      </c>
      <c r="I2293">
        <v>1326.8101807</v>
      </c>
      <c r="J2293">
        <v>1324.9711914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1498.732452</v>
      </c>
      <c r="B2294" s="1">
        <f>DATE(2014,6,7) + TIME(17,34,43)</f>
        <v>41797.732442129629</v>
      </c>
      <c r="C2294">
        <v>80</v>
      </c>
      <c r="D2294">
        <v>79.979026794000006</v>
      </c>
      <c r="E2294">
        <v>50</v>
      </c>
      <c r="F2294">
        <v>48.585872649999999</v>
      </c>
      <c r="G2294">
        <v>1339.5632324000001</v>
      </c>
      <c r="H2294">
        <v>1337.1723632999999</v>
      </c>
      <c r="I2294">
        <v>1326.8029785000001</v>
      </c>
      <c r="J2294">
        <v>1324.9604492000001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1499.536378</v>
      </c>
      <c r="B2295" s="1">
        <f>DATE(2014,6,8) + TIME(12,52,23)</f>
        <v>41798.536377314813</v>
      </c>
      <c r="C2295">
        <v>80</v>
      </c>
      <c r="D2295">
        <v>79.979003906000003</v>
      </c>
      <c r="E2295">
        <v>50</v>
      </c>
      <c r="F2295">
        <v>48.564495086999997</v>
      </c>
      <c r="G2295">
        <v>1339.5573730000001</v>
      </c>
      <c r="H2295">
        <v>1337.1705322</v>
      </c>
      <c r="I2295">
        <v>1326.7957764</v>
      </c>
      <c r="J2295">
        <v>1324.9494629000001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1500.3493820000001</v>
      </c>
      <c r="B2296" s="1">
        <f>DATE(2014,6,9) + TIME(8,23,6)</f>
        <v>41799.349374999998</v>
      </c>
      <c r="C2296">
        <v>80</v>
      </c>
      <c r="D2296">
        <v>79.978973389000004</v>
      </c>
      <c r="E2296">
        <v>50</v>
      </c>
      <c r="F2296">
        <v>48.543148041000002</v>
      </c>
      <c r="G2296">
        <v>1339.5516356999999</v>
      </c>
      <c r="H2296">
        <v>1337.1687012</v>
      </c>
      <c r="I2296">
        <v>1326.7883300999999</v>
      </c>
      <c r="J2296">
        <v>1324.9383545000001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1501.174534</v>
      </c>
      <c r="B2297" s="1">
        <f>DATE(2014,6,10) + TIME(4,11,19)</f>
        <v>41800.174525462964</v>
      </c>
      <c r="C2297">
        <v>80</v>
      </c>
      <c r="D2297">
        <v>79.978950499999996</v>
      </c>
      <c r="E2297">
        <v>50</v>
      </c>
      <c r="F2297">
        <v>48.521785735999998</v>
      </c>
      <c r="G2297">
        <v>1339.5460204999999</v>
      </c>
      <c r="H2297">
        <v>1337.1668701000001</v>
      </c>
      <c r="I2297">
        <v>1326.7808838000001</v>
      </c>
      <c r="J2297">
        <v>1324.927124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1502.015042</v>
      </c>
      <c r="B2298" s="1">
        <f>DATE(2014,6,11) + TIME(0,21,39)</f>
        <v>41801.015034722222</v>
      </c>
      <c r="C2298">
        <v>80</v>
      </c>
      <c r="D2298">
        <v>79.978927612000007</v>
      </c>
      <c r="E2298">
        <v>50</v>
      </c>
      <c r="F2298">
        <v>48.500354766999997</v>
      </c>
      <c r="G2298">
        <v>1339.5404053</v>
      </c>
      <c r="H2298">
        <v>1337.1650391000001</v>
      </c>
      <c r="I2298">
        <v>1326.7731934000001</v>
      </c>
      <c r="J2298">
        <v>1324.9155272999999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1502.876127</v>
      </c>
      <c r="B2299" s="1">
        <f>DATE(2014,6,11) + TIME(21,1,37)</f>
        <v>41801.876122685186</v>
      </c>
      <c r="C2299">
        <v>80</v>
      </c>
      <c r="D2299">
        <v>79.978904724000003</v>
      </c>
      <c r="E2299">
        <v>50</v>
      </c>
      <c r="F2299">
        <v>48.478767394999998</v>
      </c>
      <c r="G2299">
        <v>1339.5347899999999</v>
      </c>
      <c r="H2299">
        <v>1337.1633300999999</v>
      </c>
      <c r="I2299">
        <v>1326.7653809000001</v>
      </c>
      <c r="J2299">
        <v>1324.9036865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1503.767722</v>
      </c>
      <c r="B2300" s="1">
        <f>DATE(2014,6,12) + TIME(18,25,31)</f>
        <v>41802.76771990741</v>
      </c>
      <c r="C2300">
        <v>80</v>
      </c>
      <c r="D2300">
        <v>79.978881835999999</v>
      </c>
      <c r="E2300">
        <v>50</v>
      </c>
      <c r="F2300">
        <v>48.456871032999999</v>
      </c>
      <c r="G2300">
        <v>1339.5291748</v>
      </c>
      <c r="H2300">
        <v>1337.161499</v>
      </c>
      <c r="I2300">
        <v>1326.7572021000001</v>
      </c>
      <c r="J2300">
        <v>1324.8914795000001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1504.680744</v>
      </c>
      <c r="B2301" s="1">
        <f>DATE(2014,6,13) + TIME(16,20,16)</f>
        <v>41803.68074074074</v>
      </c>
      <c r="C2301">
        <v>80</v>
      </c>
      <c r="D2301">
        <v>79.978858947999996</v>
      </c>
      <c r="E2301">
        <v>50</v>
      </c>
      <c r="F2301">
        <v>48.434711456000002</v>
      </c>
      <c r="G2301">
        <v>1339.5234375</v>
      </c>
      <c r="H2301">
        <v>1337.159668</v>
      </c>
      <c r="I2301">
        <v>1326.7489014</v>
      </c>
      <c r="J2301">
        <v>1324.8787841999999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1505.6130840000001</v>
      </c>
      <c r="B2302" s="1">
        <f>DATE(2014,6,14) + TIME(14,42,50)</f>
        <v>41804.613078703704</v>
      </c>
      <c r="C2302">
        <v>80</v>
      </c>
      <c r="D2302">
        <v>79.978836060000006</v>
      </c>
      <c r="E2302">
        <v>50</v>
      </c>
      <c r="F2302">
        <v>48.412349700999997</v>
      </c>
      <c r="G2302">
        <v>1339.5177002</v>
      </c>
      <c r="H2302">
        <v>1337.1578368999999</v>
      </c>
      <c r="I2302">
        <v>1326.7402344</v>
      </c>
      <c r="J2302">
        <v>1324.8658447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1506.5682429999999</v>
      </c>
      <c r="B2303" s="1">
        <f>DATE(2014,6,15) + TIME(13,38,16)</f>
        <v>41805.568240740744</v>
      </c>
      <c r="C2303">
        <v>80</v>
      </c>
      <c r="D2303">
        <v>79.978813170999999</v>
      </c>
      <c r="E2303">
        <v>50</v>
      </c>
      <c r="F2303">
        <v>48.389793396000002</v>
      </c>
      <c r="G2303">
        <v>1339.5119629000001</v>
      </c>
      <c r="H2303">
        <v>1337.1560059000001</v>
      </c>
      <c r="I2303">
        <v>1326.7314452999999</v>
      </c>
      <c r="J2303">
        <v>1324.8522949000001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1507.547644</v>
      </c>
      <c r="B2304" s="1">
        <f>DATE(2014,6,16) + TIME(13,8,36)</f>
        <v>41806.547638888886</v>
      </c>
      <c r="C2304">
        <v>80</v>
      </c>
      <c r="D2304">
        <v>79.978790282999995</v>
      </c>
      <c r="E2304">
        <v>50</v>
      </c>
      <c r="F2304">
        <v>48.367038727000001</v>
      </c>
      <c r="G2304">
        <v>1339.5062256000001</v>
      </c>
      <c r="H2304">
        <v>1337.1541748</v>
      </c>
      <c r="I2304">
        <v>1326.7222899999999</v>
      </c>
      <c r="J2304">
        <v>1324.838501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1508.550287</v>
      </c>
      <c r="B2305" s="1">
        <f>DATE(2014,6,17) + TIME(13,12,24)</f>
        <v>41807.55027777778</v>
      </c>
      <c r="C2305">
        <v>80</v>
      </c>
      <c r="D2305">
        <v>79.978767395000006</v>
      </c>
      <c r="E2305">
        <v>50</v>
      </c>
      <c r="F2305">
        <v>48.344120025999999</v>
      </c>
      <c r="G2305">
        <v>1339.5003661999999</v>
      </c>
      <c r="H2305">
        <v>1337.1522216999999</v>
      </c>
      <c r="I2305">
        <v>1326.7128906</v>
      </c>
      <c r="J2305">
        <v>1324.8242187999999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1509.5574810000001</v>
      </c>
      <c r="B2306" s="1">
        <f>DATE(2014,6,18) + TIME(13,22,46)</f>
        <v>41808.557476851849</v>
      </c>
      <c r="C2306">
        <v>80</v>
      </c>
      <c r="D2306">
        <v>79.978752135999997</v>
      </c>
      <c r="E2306">
        <v>50</v>
      </c>
      <c r="F2306">
        <v>48.321258544999999</v>
      </c>
      <c r="G2306">
        <v>1339.4946289</v>
      </c>
      <c r="H2306">
        <v>1337.1503906</v>
      </c>
      <c r="I2306">
        <v>1326.7032471</v>
      </c>
      <c r="J2306">
        <v>1324.8095702999999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1510.5719099999999</v>
      </c>
      <c r="B2307" s="1">
        <f>DATE(2014,6,19) + TIME(13,43,33)</f>
        <v>41809.571909722225</v>
      </c>
      <c r="C2307">
        <v>80</v>
      </c>
      <c r="D2307">
        <v>79.978729247999993</v>
      </c>
      <c r="E2307">
        <v>50</v>
      </c>
      <c r="F2307">
        <v>48.298583983999997</v>
      </c>
      <c r="G2307">
        <v>1339.4888916</v>
      </c>
      <c r="H2307">
        <v>1337.1485596</v>
      </c>
      <c r="I2307">
        <v>1326.6936035000001</v>
      </c>
      <c r="J2307">
        <v>1324.7947998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1511.5980970000001</v>
      </c>
      <c r="B2308" s="1">
        <f>DATE(2014,6,20) + TIME(14,21,15)</f>
        <v>41810.598090277781</v>
      </c>
      <c r="C2308">
        <v>80</v>
      </c>
      <c r="D2308">
        <v>79.978706360000004</v>
      </c>
      <c r="E2308">
        <v>50</v>
      </c>
      <c r="F2308">
        <v>48.276111602999997</v>
      </c>
      <c r="G2308">
        <v>1339.4831543</v>
      </c>
      <c r="H2308">
        <v>1337.1467285000001</v>
      </c>
      <c r="I2308">
        <v>1326.6837158000001</v>
      </c>
      <c r="J2308">
        <v>1324.7796631000001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1512.6404460000001</v>
      </c>
      <c r="B2309" s="1">
        <f>DATE(2014,6,21) + TIME(15,22,14)</f>
        <v>41811.640439814815</v>
      </c>
      <c r="C2309">
        <v>80</v>
      </c>
      <c r="D2309">
        <v>79.978683472</v>
      </c>
      <c r="E2309">
        <v>50</v>
      </c>
      <c r="F2309">
        <v>48.253822327000002</v>
      </c>
      <c r="G2309">
        <v>1339.4776611</v>
      </c>
      <c r="H2309">
        <v>1337.1448975000001</v>
      </c>
      <c r="I2309">
        <v>1326.6738281</v>
      </c>
      <c r="J2309">
        <v>1324.7644043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1513.70373</v>
      </c>
      <c r="B2310" s="1">
        <f>DATE(2014,6,22) + TIME(16,53,22)</f>
        <v>41812.703726851854</v>
      </c>
      <c r="C2310">
        <v>80</v>
      </c>
      <c r="D2310">
        <v>79.978660583000007</v>
      </c>
      <c r="E2310">
        <v>50</v>
      </c>
      <c r="F2310">
        <v>48.231670379999997</v>
      </c>
      <c r="G2310">
        <v>1339.4720459</v>
      </c>
      <c r="H2310">
        <v>1337.1430664</v>
      </c>
      <c r="I2310">
        <v>1326.6636963000001</v>
      </c>
      <c r="J2310">
        <v>1324.7489014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1514.803257</v>
      </c>
      <c r="B2311" s="1">
        <f>DATE(2014,6,23) + TIME(19,16,41)</f>
        <v>41813.803252314814</v>
      </c>
      <c r="C2311">
        <v>80</v>
      </c>
      <c r="D2311">
        <v>79.978645325000002</v>
      </c>
      <c r="E2311">
        <v>50</v>
      </c>
      <c r="F2311">
        <v>48.209522247000002</v>
      </c>
      <c r="G2311">
        <v>1339.4664307</v>
      </c>
      <c r="H2311">
        <v>1337.1411132999999</v>
      </c>
      <c r="I2311">
        <v>1326.6533202999999</v>
      </c>
      <c r="J2311">
        <v>1324.7329102000001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1515.936461</v>
      </c>
      <c r="B2312" s="1">
        <f>DATE(2014,6,24) + TIME(22,28,30)</f>
        <v>41814.93645833333</v>
      </c>
      <c r="C2312">
        <v>80</v>
      </c>
      <c r="D2312">
        <v>79.978622436999999</v>
      </c>
      <c r="E2312">
        <v>50</v>
      </c>
      <c r="F2312">
        <v>48.187343597000002</v>
      </c>
      <c r="G2312">
        <v>1339.4608154</v>
      </c>
      <c r="H2312">
        <v>1337.1392822</v>
      </c>
      <c r="I2312">
        <v>1326.6425781</v>
      </c>
      <c r="J2312">
        <v>1324.7164307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1517.089966</v>
      </c>
      <c r="B2313" s="1">
        <f>DATE(2014,6,26) + TIME(2,9,33)</f>
        <v>41816.089965277781</v>
      </c>
      <c r="C2313">
        <v>80</v>
      </c>
      <c r="D2313">
        <v>79.978607178000004</v>
      </c>
      <c r="E2313">
        <v>50</v>
      </c>
      <c r="F2313">
        <v>48.165287018000001</v>
      </c>
      <c r="G2313">
        <v>1339.4550781</v>
      </c>
      <c r="H2313">
        <v>1337.1373291</v>
      </c>
      <c r="I2313">
        <v>1326.6317139</v>
      </c>
      <c r="J2313">
        <v>1324.6994629000001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1518.2701420000001</v>
      </c>
      <c r="B2314" s="1">
        <f>DATE(2014,6,27) + TIME(6,29,0)</f>
        <v>41817.270138888889</v>
      </c>
      <c r="C2314">
        <v>80</v>
      </c>
      <c r="D2314">
        <v>79.978584290000001</v>
      </c>
      <c r="E2314">
        <v>50</v>
      </c>
      <c r="F2314">
        <v>48.143444060999997</v>
      </c>
      <c r="G2314">
        <v>1339.4493408000001</v>
      </c>
      <c r="H2314">
        <v>1337.1354980000001</v>
      </c>
      <c r="I2314">
        <v>1326.6204834</v>
      </c>
      <c r="J2314">
        <v>1324.6821289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1519.4949529999999</v>
      </c>
      <c r="B2315" s="1">
        <f>DATE(2014,6,28) + TIME(11,52,43)</f>
        <v>41818.494942129626</v>
      </c>
      <c r="C2315">
        <v>80</v>
      </c>
      <c r="D2315">
        <v>79.978561400999993</v>
      </c>
      <c r="E2315">
        <v>50</v>
      </c>
      <c r="F2315">
        <v>48.121776580999999</v>
      </c>
      <c r="G2315">
        <v>1339.4436035000001</v>
      </c>
      <c r="H2315">
        <v>1337.1335449000001</v>
      </c>
      <c r="I2315">
        <v>1326.6090088000001</v>
      </c>
      <c r="J2315">
        <v>1324.6641846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1520.73768</v>
      </c>
      <c r="B2316" s="1">
        <f>DATE(2014,6,29) + TIME(17,42,15)</f>
        <v>41819.737673611111</v>
      </c>
      <c r="C2316">
        <v>80</v>
      </c>
      <c r="D2316">
        <v>79.978546143000003</v>
      </c>
      <c r="E2316">
        <v>50</v>
      </c>
      <c r="F2316">
        <v>48.100460052000003</v>
      </c>
      <c r="G2316">
        <v>1339.4377440999999</v>
      </c>
      <c r="H2316">
        <v>1337.1314697</v>
      </c>
      <c r="I2316">
        <v>1326.597168</v>
      </c>
      <c r="J2316">
        <v>1324.645874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1522</v>
      </c>
      <c r="B2317" s="1">
        <f>DATE(2014,7,1) + TIME(0,0,0)</f>
        <v>41821</v>
      </c>
      <c r="C2317">
        <v>80</v>
      </c>
      <c r="D2317">
        <v>79.978523253999995</v>
      </c>
      <c r="E2317">
        <v>50</v>
      </c>
      <c r="F2317">
        <v>48.079715729</v>
      </c>
      <c r="G2317">
        <v>1339.4320068</v>
      </c>
      <c r="H2317">
        <v>1337.1295166</v>
      </c>
      <c r="I2317">
        <v>1326.5852050999999</v>
      </c>
      <c r="J2317">
        <v>1324.6270752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1523.2610139999999</v>
      </c>
      <c r="B2318" s="1">
        <f>DATE(2014,7,2) + TIME(6,15,51)</f>
        <v>41822.261006944442</v>
      </c>
      <c r="C2318">
        <v>80</v>
      </c>
      <c r="D2318">
        <v>79.978507996000005</v>
      </c>
      <c r="E2318">
        <v>50</v>
      </c>
      <c r="F2318">
        <v>48.059818268000001</v>
      </c>
      <c r="G2318">
        <v>1339.4262695</v>
      </c>
      <c r="H2318">
        <v>1337.1275635</v>
      </c>
      <c r="I2318">
        <v>1326.5729980000001</v>
      </c>
      <c r="J2318">
        <v>1324.6079102000001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1524.563617</v>
      </c>
      <c r="B2319" s="1">
        <f>DATE(2014,7,3) + TIME(13,31,36)</f>
        <v>41823.563611111109</v>
      </c>
      <c r="C2319">
        <v>80</v>
      </c>
      <c r="D2319">
        <v>79.978492736999996</v>
      </c>
      <c r="E2319">
        <v>50</v>
      </c>
      <c r="F2319">
        <v>48.040760040000002</v>
      </c>
      <c r="G2319">
        <v>1339.4205322</v>
      </c>
      <c r="H2319">
        <v>1337.1254882999999</v>
      </c>
      <c r="I2319">
        <v>1326.5607910000001</v>
      </c>
      <c r="J2319">
        <v>1324.5887451000001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1525.8868460000001</v>
      </c>
      <c r="B2320" s="1">
        <f>DATE(2014,7,4) + TIME(21,17,3)</f>
        <v>41824.886840277781</v>
      </c>
      <c r="C2320">
        <v>80</v>
      </c>
      <c r="D2320">
        <v>79.978469849000007</v>
      </c>
      <c r="E2320">
        <v>50</v>
      </c>
      <c r="F2320">
        <v>48.022613524999997</v>
      </c>
      <c r="G2320">
        <v>1339.4147949000001</v>
      </c>
      <c r="H2320">
        <v>1337.1235352000001</v>
      </c>
      <c r="I2320">
        <v>1326.5483397999999</v>
      </c>
      <c r="J2320">
        <v>1324.5690918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1527.2380800000001</v>
      </c>
      <c r="B2321" s="1">
        <f>DATE(2014,7,6) + TIME(5,42,50)</f>
        <v>41826.238078703704</v>
      </c>
      <c r="C2321">
        <v>80</v>
      </c>
      <c r="D2321">
        <v>79.978454589999998</v>
      </c>
      <c r="E2321">
        <v>50</v>
      </c>
      <c r="F2321">
        <v>48.005550384999999</v>
      </c>
      <c r="G2321">
        <v>1339.4091797000001</v>
      </c>
      <c r="H2321">
        <v>1337.1214600000001</v>
      </c>
      <c r="I2321">
        <v>1326.5356445</v>
      </c>
      <c r="J2321">
        <v>1324.5490723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1528.607401</v>
      </c>
      <c r="B2322" s="1">
        <f>DATE(2014,7,7) + TIME(14,34,39)</f>
        <v>41827.607395833336</v>
      </c>
      <c r="C2322">
        <v>80</v>
      </c>
      <c r="D2322">
        <v>79.978439331000004</v>
      </c>
      <c r="E2322">
        <v>50</v>
      </c>
      <c r="F2322">
        <v>47.989799499999997</v>
      </c>
      <c r="G2322">
        <v>1339.4034423999999</v>
      </c>
      <c r="H2322">
        <v>1337.1193848</v>
      </c>
      <c r="I2322">
        <v>1326.5229492000001</v>
      </c>
      <c r="J2322">
        <v>1324.5286865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1530.0021549999999</v>
      </c>
      <c r="B2323" s="1">
        <f>DATE(2014,7,9) + TIME(0,3,6)</f>
        <v>41829.002152777779</v>
      </c>
      <c r="C2323">
        <v>80</v>
      </c>
      <c r="D2323">
        <v>79.978424071999996</v>
      </c>
      <c r="E2323">
        <v>50</v>
      </c>
      <c r="F2323">
        <v>47.975570679</v>
      </c>
      <c r="G2323">
        <v>1339.3977050999999</v>
      </c>
      <c r="H2323">
        <v>1337.1174315999999</v>
      </c>
      <c r="I2323">
        <v>1326.5100098</v>
      </c>
      <c r="J2323">
        <v>1324.5080565999999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1531.436365</v>
      </c>
      <c r="B2324" s="1">
        <f>DATE(2014,7,10) + TIME(10,28,21)</f>
        <v>41830.436354166668</v>
      </c>
      <c r="C2324">
        <v>80</v>
      </c>
      <c r="D2324">
        <v>79.978401184000006</v>
      </c>
      <c r="E2324">
        <v>50</v>
      </c>
      <c r="F2324">
        <v>47.963024138999998</v>
      </c>
      <c r="G2324">
        <v>1339.3920897999999</v>
      </c>
      <c r="H2324">
        <v>1337.1153564000001</v>
      </c>
      <c r="I2324">
        <v>1326.4969481999999</v>
      </c>
      <c r="J2324">
        <v>1324.4871826000001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1532.929296</v>
      </c>
      <c r="B2325" s="1">
        <f>DATE(2014,7,11) + TIME(22,18,11)</f>
        <v>41831.929293981484</v>
      </c>
      <c r="C2325">
        <v>80</v>
      </c>
      <c r="D2325">
        <v>79.978385924999998</v>
      </c>
      <c r="E2325">
        <v>50</v>
      </c>
      <c r="F2325">
        <v>47.952358246000003</v>
      </c>
      <c r="G2325">
        <v>1339.3863524999999</v>
      </c>
      <c r="H2325">
        <v>1337.1131591999999</v>
      </c>
      <c r="I2325">
        <v>1326.4836425999999</v>
      </c>
      <c r="J2325">
        <v>1324.4656981999999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1534.4934020000001</v>
      </c>
      <c r="B2326" s="1">
        <f>DATE(2014,7,13) + TIME(11,50,29)</f>
        <v>41833.493391203701</v>
      </c>
      <c r="C2326">
        <v>80</v>
      </c>
      <c r="D2326">
        <v>79.978370666999993</v>
      </c>
      <c r="E2326">
        <v>50</v>
      </c>
      <c r="F2326">
        <v>47.943881988999998</v>
      </c>
      <c r="G2326">
        <v>1339.3804932</v>
      </c>
      <c r="H2326">
        <v>1337.1109618999999</v>
      </c>
      <c r="I2326">
        <v>1326.4699707</v>
      </c>
      <c r="J2326">
        <v>1324.4436035000001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1536.12814</v>
      </c>
      <c r="B2327" s="1">
        <f>DATE(2014,7,15) + TIME(3,4,31)</f>
        <v>41835.128136574072</v>
      </c>
      <c r="C2327">
        <v>80</v>
      </c>
      <c r="D2327">
        <v>79.978355407999999</v>
      </c>
      <c r="E2327">
        <v>50</v>
      </c>
      <c r="F2327">
        <v>47.938098906999997</v>
      </c>
      <c r="G2327">
        <v>1339.3745117000001</v>
      </c>
      <c r="H2327">
        <v>1337.1087646000001</v>
      </c>
      <c r="I2327">
        <v>1326.4558105000001</v>
      </c>
      <c r="J2327">
        <v>1324.4206543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1537.774453</v>
      </c>
      <c r="B2328" s="1">
        <f>DATE(2014,7,16) + TIME(18,35,12)</f>
        <v>41836.774444444447</v>
      </c>
      <c r="C2328">
        <v>80</v>
      </c>
      <c r="D2328">
        <v>79.978340149000005</v>
      </c>
      <c r="E2328">
        <v>50</v>
      </c>
      <c r="F2328">
        <v>47.935745238999999</v>
      </c>
      <c r="G2328">
        <v>1339.3682861</v>
      </c>
      <c r="H2328">
        <v>1337.1064452999999</v>
      </c>
      <c r="I2328">
        <v>1326.4412841999999</v>
      </c>
      <c r="J2328">
        <v>1324.3969727000001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1539.4277179999999</v>
      </c>
      <c r="B2329" s="1">
        <f>DATE(2014,7,18) + TIME(10,15,54)</f>
        <v>41838.427708333336</v>
      </c>
      <c r="C2329">
        <v>80</v>
      </c>
      <c r="D2329">
        <v>79.978324889999996</v>
      </c>
      <c r="E2329">
        <v>50</v>
      </c>
      <c r="F2329">
        <v>47.937438964999998</v>
      </c>
      <c r="G2329">
        <v>1339.3623047000001</v>
      </c>
      <c r="H2329">
        <v>1337.104126</v>
      </c>
      <c r="I2329">
        <v>1326.4267577999999</v>
      </c>
      <c r="J2329">
        <v>1324.3730469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1541.087599</v>
      </c>
      <c r="B2330" s="1">
        <f>DATE(2014,7,20) + TIME(2,6,8)</f>
        <v>41840.087592592594</v>
      </c>
      <c r="C2330">
        <v>80</v>
      </c>
      <c r="D2330">
        <v>79.978317261000001</v>
      </c>
      <c r="E2330">
        <v>50</v>
      </c>
      <c r="F2330">
        <v>47.943695067999997</v>
      </c>
      <c r="G2330">
        <v>1339.3563231999999</v>
      </c>
      <c r="H2330">
        <v>1337.1018065999999</v>
      </c>
      <c r="I2330">
        <v>1326.4123535000001</v>
      </c>
      <c r="J2330">
        <v>1324.3491211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1542.7644479999999</v>
      </c>
      <c r="B2331" s="1">
        <f>DATE(2014,7,21) + TIME(18,20,48)</f>
        <v>41841.764444444445</v>
      </c>
      <c r="C2331">
        <v>80</v>
      </c>
      <c r="D2331">
        <v>79.978302002000007</v>
      </c>
      <c r="E2331">
        <v>50</v>
      </c>
      <c r="F2331">
        <v>47.955051421999997</v>
      </c>
      <c r="G2331">
        <v>1339.3503418</v>
      </c>
      <c r="H2331">
        <v>1337.0994873</v>
      </c>
      <c r="I2331">
        <v>1326.3979492000001</v>
      </c>
      <c r="J2331">
        <v>1324.3254394999999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1544.468824</v>
      </c>
      <c r="B2332" s="1">
        <f>DATE(2014,7,23) + TIME(11,15,6)</f>
        <v>41843.468819444446</v>
      </c>
      <c r="C2332">
        <v>80</v>
      </c>
      <c r="D2332">
        <v>79.978286742999998</v>
      </c>
      <c r="E2332">
        <v>50</v>
      </c>
      <c r="F2332">
        <v>47.972175598</v>
      </c>
      <c r="G2332">
        <v>1339.3446045000001</v>
      </c>
      <c r="H2332">
        <v>1337.097168</v>
      </c>
      <c r="I2332">
        <v>1326.3837891000001</v>
      </c>
      <c r="J2332">
        <v>1324.3016356999999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1546.2240159999999</v>
      </c>
      <c r="B2333" s="1">
        <f>DATE(2014,7,25) + TIME(5,22,34)</f>
        <v>41845.224004629628</v>
      </c>
      <c r="C2333">
        <v>80</v>
      </c>
      <c r="D2333">
        <v>79.978279114000003</v>
      </c>
      <c r="E2333">
        <v>50</v>
      </c>
      <c r="F2333">
        <v>47.996036529999998</v>
      </c>
      <c r="G2333">
        <v>1339.3387451000001</v>
      </c>
      <c r="H2333">
        <v>1337.0947266000001</v>
      </c>
      <c r="I2333">
        <v>1326.369751</v>
      </c>
      <c r="J2333">
        <v>1324.2779541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1548.053582</v>
      </c>
      <c r="B2334" s="1">
        <f>DATE(2014,7,27) + TIME(1,17,9)</f>
        <v>41847.053576388891</v>
      </c>
      <c r="C2334">
        <v>80</v>
      </c>
      <c r="D2334">
        <v>79.978263854999994</v>
      </c>
      <c r="E2334">
        <v>50</v>
      </c>
      <c r="F2334">
        <v>48.028011321999998</v>
      </c>
      <c r="G2334">
        <v>1339.3328856999999</v>
      </c>
      <c r="H2334">
        <v>1337.0924072</v>
      </c>
      <c r="I2334">
        <v>1326.3555908000001</v>
      </c>
      <c r="J2334">
        <v>1324.2539062000001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1549.9453570000001</v>
      </c>
      <c r="B2335" s="1">
        <f>DATE(2014,7,28) + TIME(22,41,18)</f>
        <v>41848.945347222223</v>
      </c>
      <c r="C2335">
        <v>80</v>
      </c>
      <c r="D2335">
        <v>79.978256225999999</v>
      </c>
      <c r="E2335">
        <v>50</v>
      </c>
      <c r="F2335">
        <v>48.069820403999998</v>
      </c>
      <c r="G2335">
        <v>1339.3269043</v>
      </c>
      <c r="H2335">
        <v>1337.0899658000001</v>
      </c>
      <c r="I2335">
        <v>1326.3413086</v>
      </c>
      <c r="J2335">
        <v>1324.2294922000001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1551.8734420000001</v>
      </c>
      <c r="B2336" s="1">
        <f>DATE(2014,7,30) + TIME(20,57,45)</f>
        <v>41850.873437499999</v>
      </c>
      <c r="C2336">
        <v>80</v>
      </c>
      <c r="D2336">
        <v>79.978240967000005</v>
      </c>
      <c r="E2336">
        <v>50</v>
      </c>
      <c r="F2336">
        <v>48.123050689999999</v>
      </c>
      <c r="G2336">
        <v>1339.3208007999999</v>
      </c>
      <c r="H2336">
        <v>1337.0874022999999</v>
      </c>
      <c r="I2336">
        <v>1326.3270264</v>
      </c>
      <c r="J2336">
        <v>1324.2047118999999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1553</v>
      </c>
      <c r="B2337" s="1">
        <f>DATE(2014,8,1) + TIME(0,0,0)</f>
        <v>41852</v>
      </c>
      <c r="C2337">
        <v>80</v>
      </c>
      <c r="D2337">
        <v>79.978225707999997</v>
      </c>
      <c r="E2337">
        <v>50</v>
      </c>
      <c r="F2337">
        <v>48.177993774000001</v>
      </c>
      <c r="G2337">
        <v>1339.3150635</v>
      </c>
      <c r="H2337">
        <v>1337.0850829999999</v>
      </c>
      <c r="I2337">
        <v>1326.3140868999999</v>
      </c>
      <c r="J2337">
        <v>1324.1813964999999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1554.9697659999999</v>
      </c>
      <c r="B2338" s="1">
        <f>DATE(2014,8,2) + TIME(23,16,27)</f>
        <v>41853.969756944447</v>
      </c>
      <c r="C2338">
        <v>80</v>
      </c>
      <c r="D2338">
        <v>79.978225707999997</v>
      </c>
      <c r="E2338">
        <v>50</v>
      </c>
      <c r="F2338">
        <v>48.240131378000001</v>
      </c>
      <c r="G2338">
        <v>1339.3110352000001</v>
      </c>
      <c r="H2338">
        <v>1337.0831298999999</v>
      </c>
      <c r="I2338">
        <v>1326.3031006000001</v>
      </c>
      <c r="J2338">
        <v>1324.1633300999999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1557.036689</v>
      </c>
      <c r="B2339" s="1">
        <f>DATE(2014,8,5) + TIME(0,52,49)</f>
        <v>41856.036678240744</v>
      </c>
      <c r="C2339">
        <v>80</v>
      </c>
      <c r="D2339">
        <v>79.978218079000001</v>
      </c>
      <c r="E2339">
        <v>50</v>
      </c>
      <c r="F2339">
        <v>48.327434539999999</v>
      </c>
      <c r="G2339">
        <v>1339.3051757999999</v>
      </c>
      <c r="H2339">
        <v>1337.0806885</v>
      </c>
      <c r="I2339">
        <v>1326.2905272999999</v>
      </c>
      <c r="J2339">
        <v>1324.140625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1559.128156</v>
      </c>
      <c r="B2340" s="1">
        <f>DATE(2014,8,7) + TIME(3,4,32)</f>
        <v>41858.128148148149</v>
      </c>
      <c r="C2340">
        <v>80</v>
      </c>
      <c r="D2340">
        <v>79.978210449000002</v>
      </c>
      <c r="E2340">
        <v>50</v>
      </c>
      <c r="F2340">
        <v>48.437259674000003</v>
      </c>
      <c r="G2340">
        <v>1339.2989502</v>
      </c>
      <c r="H2340">
        <v>1337.0780029</v>
      </c>
      <c r="I2340">
        <v>1326.2772216999999</v>
      </c>
      <c r="J2340">
        <v>1324.1166992000001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1561.249726</v>
      </c>
      <c r="B2341" s="1">
        <f>DATE(2014,8,9) + TIME(5,59,36)</f>
        <v>41860.249722222223</v>
      </c>
      <c r="C2341">
        <v>80</v>
      </c>
      <c r="D2341">
        <v>79.978202820000007</v>
      </c>
      <c r="E2341">
        <v>50</v>
      </c>
      <c r="F2341">
        <v>48.569282532000003</v>
      </c>
      <c r="G2341">
        <v>1339.2927245999999</v>
      </c>
      <c r="H2341">
        <v>1337.0753173999999</v>
      </c>
      <c r="I2341">
        <v>1326.2640381000001</v>
      </c>
      <c r="J2341">
        <v>1324.0928954999999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1563.447349</v>
      </c>
      <c r="B2342" s="1">
        <f>DATE(2014,8,11) + TIME(10,44,10)</f>
        <v>41862.447337962964</v>
      </c>
      <c r="C2342">
        <v>80</v>
      </c>
      <c r="D2342">
        <v>79.978195189999994</v>
      </c>
      <c r="E2342">
        <v>50</v>
      </c>
      <c r="F2342">
        <v>48.726455688000001</v>
      </c>
      <c r="G2342">
        <v>1339.2866211</v>
      </c>
      <c r="H2342">
        <v>1337.0725098</v>
      </c>
      <c r="I2342">
        <v>1326.2512207</v>
      </c>
      <c r="J2342">
        <v>1324.0694579999999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1565.720873</v>
      </c>
      <c r="B2343" s="1">
        <f>DATE(2014,8,13) + TIME(17,18,3)</f>
        <v>41864.720868055556</v>
      </c>
      <c r="C2343">
        <v>80</v>
      </c>
      <c r="D2343">
        <v>79.978187560999999</v>
      </c>
      <c r="E2343">
        <v>50</v>
      </c>
      <c r="F2343">
        <v>48.914241791000002</v>
      </c>
      <c r="G2343">
        <v>1339.2803954999999</v>
      </c>
      <c r="H2343">
        <v>1337.0697021000001</v>
      </c>
      <c r="I2343">
        <v>1326.2387695</v>
      </c>
      <c r="J2343">
        <v>1324.0465088000001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1568.0196390000001</v>
      </c>
      <c r="B2344" s="1">
        <f>DATE(2014,8,16) + TIME(0,28,16)</f>
        <v>41867.019629629627</v>
      </c>
      <c r="C2344">
        <v>80</v>
      </c>
      <c r="D2344">
        <v>79.978187560999999</v>
      </c>
      <c r="E2344">
        <v>50</v>
      </c>
      <c r="F2344">
        <v>49.136543273999997</v>
      </c>
      <c r="G2344">
        <v>1339.2740478999999</v>
      </c>
      <c r="H2344">
        <v>1337.0667725000001</v>
      </c>
      <c r="I2344">
        <v>1326.2268065999999</v>
      </c>
      <c r="J2344">
        <v>1324.0241699000001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1570.3547160000001</v>
      </c>
      <c r="B2345" s="1">
        <f>DATE(2014,8,18) + TIME(8,30,47)</f>
        <v>41869.354710648149</v>
      </c>
      <c r="C2345">
        <v>80</v>
      </c>
      <c r="D2345">
        <v>79.978179932000003</v>
      </c>
      <c r="E2345">
        <v>50</v>
      </c>
      <c r="F2345">
        <v>49.394744873</v>
      </c>
      <c r="G2345">
        <v>1339.2678223</v>
      </c>
      <c r="H2345">
        <v>1337.0639647999999</v>
      </c>
      <c r="I2345">
        <v>1326.2154541</v>
      </c>
      <c r="J2345">
        <v>1324.0026855000001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1571.5323069999999</v>
      </c>
      <c r="B2346" s="1">
        <f>DATE(2014,8,19) + TIME(12,46,31)</f>
        <v>41870.53230324074</v>
      </c>
      <c r="C2346">
        <v>80</v>
      </c>
      <c r="D2346">
        <v>79.978164672999995</v>
      </c>
      <c r="E2346">
        <v>50</v>
      </c>
      <c r="F2346">
        <v>49.636539458999998</v>
      </c>
      <c r="G2346">
        <v>1339.2620850000001</v>
      </c>
      <c r="H2346">
        <v>1337.0614014</v>
      </c>
      <c r="I2346">
        <v>1326.2070312000001</v>
      </c>
      <c r="J2346">
        <v>1323.9842529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1573.5418320000001</v>
      </c>
      <c r="B2347" s="1">
        <f>DATE(2014,8,21) + TIME(13,0,14)</f>
        <v>41872.541828703703</v>
      </c>
      <c r="C2347">
        <v>80</v>
      </c>
      <c r="D2347">
        <v>79.978164672999995</v>
      </c>
      <c r="E2347">
        <v>50</v>
      </c>
      <c r="F2347">
        <v>49.871383667000003</v>
      </c>
      <c r="G2347">
        <v>1339.2584228999999</v>
      </c>
      <c r="H2347">
        <v>1337.0593262</v>
      </c>
      <c r="I2347">
        <v>1326.1983643000001</v>
      </c>
      <c r="J2347">
        <v>1323.9715576000001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1575.7733009999999</v>
      </c>
      <c r="B2348" s="1">
        <f>DATE(2014,8,23) + TIME(18,33,33)</f>
        <v>41874.773298611108</v>
      </c>
      <c r="C2348">
        <v>80</v>
      </c>
      <c r="D2348">
        <v>79.978172302000004</v>
      </c>
      <c r="E2348">
        <v>50</v>
      </c>
      <c r="F2348">
        <v>50.170749663999999</v>
      </c>
      <c r="G2348">
        <v>1339.2532959</v>
      </c>
      <c r="H2348">
        <v>1337.0570068</v>
      </c>
      <c r="I2348">
        <v>1326.1907959</v>
      </c>
      <c r="J2348">
        <v>1323.9567870999999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1578.091226</v>
      </c>
      <c r="B2349" s="1">
        <f>DATE(2014,8,26) + TIME(2,11,21)</f>
        <v>41877.091215277775</v>
      </c>
      <c r="C2349">
        <v>80</v>
      </c>
      <c r="D2349">
        <v>79.978164672999995</v>
      </c>
      <c r="E2349">
        <v>50</v>
      </c>
      <c r="F2349">
        <v>50.542594909999998</v>
      </c>
      <c r="G2349">
        <v>1339.2475586</v>
      </c>
      <c r="H2349">
        <v>1337.0541992000001</v>
      </c>
      <c r="I2349">
        <v>1326.1829834</v>
      </c>
      <c r="J2349">
        <v>1323.9418945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1580.4669719999999</v>
      </c>
      <c r="B2350" s="1">
        <f>DATE(2014,8,28) + TIME(11,12,26)</f>
        <v>41879.466967592591</v>
      </c>
      <c r="C2350">
        <v>80</v>
      </c>
      <c r="D2350">
        <v>79.978164672999995</v>
      </c>
      <c r="E2350">
        <v>50</v>
      </c>
      <c r="F2350">
        <v>50.938858031999999</v>
      </c>
      <c r="G2350">
        <v>1339.2418213000001</v>
      </c>
      <c r="H2350">
        <v>1337.0513916</v>
      </c>
      <c r="I2350">
        <v>1326.1755370999999</v>
      </c>
      <c r="J2350">
        <v>1323.9277344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1582.8662850000001</v>
      </c>
      <c r="B2351" s="1">
        <f>DATE(2014,8,30) + TIME(20,47,27)</f>
        <v>41881.866284722222</v>
      </c>
      <c r="C2351">
        <v>80</v>
      </c>
      <c r="D2351">
        <v>79.978164672999995</v>
      </c>
      <c r="E2351">
        <v>50</v>
      </c>
      <c r="F2351">
        <v>51.381393433</v>
      </c>
      <c r="G2351">
        <v>1339.2359618999999</v>
      </c>
      <c r="H2351">
        <v>1337.0485839999999</v>
      </c>
      <c r="I2351">
        <v>1326.1687012</v>
      </c>
      <c r="J2351">
        <v>1323.9144286999999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1584</v>
      </c>
      <c r="B2352" s="1">
        <f>DATE(2014,9,1) + TIME(0,0,0)</f>
        <v>41883</v>
      </c>
      <c r="C2352">
        <v>80</v>
      </c>
      <c r="D2352">
        <v>79.978149414000001</v>
      </c>
      <c r="E2352">
        <v>50</v>
      </c>
      <c r="F2352">
        <v>51.766479492000002</v>
      </c>
      <c r="G2352">
        <v>1339.2307129000001</v>
      </c>
      <c r="H2352">
        <v>1337.0461425999999</v>
      </c>
      <c r="I2352">
        <v>1326.1651611</v>
      </c>
      <c r="J2352">
        <v>1323.9041748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1586.4825860000001</v>
      </c>
      <c r="B2353" s="1">
        <f>DATE(2014,9,3) + TIME(11,34,55)</f>
        <v>41885.482581018521</v>
      </c>
      <c r="C2353">
        <v>80</v>
      </c>
      <c r="D2353">
        <v>79.978164672999995</v>
      </c>
      <c r="E2353">
        <v>50</v>
      </c>
      <c r="F2353">
        <v>52.132400513</v>
      </c>
      <c r="G2353">
        <v>1339.2272949000001</v>
      </c>
      <c r="H2353">
        <v>1337.0441894999999</v>
      </c>
      <c r="I2353">
        <v>1326.1585693</v>
      </c>
      <c r="J2353">
        <v>1323.8975829999999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1589.090224</v>
      </c>
      <c r="B2354" s="1">
        <f>DATE(2014,9,6) + TIME(2,9,55)</f>
        <v>41888.090219907404</v>
      </c>
      <c r="C2354">
        <v>80</v>
      </c>
      <c r="D2354">
        <v>79.978164672999995</v>
      </c>
      <c r="E2354">
        <v>50</v>
      </c>
      <c r="F2354">
        <v>52.631736754999999</v>
      </c>
      <c r="G2354">
        <v>1339.2216797000001</v>
      </c>
      <c r="H2354">
        <v>1337.0413818</v>
      </c>
      <c r="I2354">
        <v>1326.1540527</v>
      </c>
      <c r="J2354">
        <v>1323.8880615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1591.842989</v>
      </c>
      <c r="B2355" s="1">
        <f>DATE(2014,9,8) + TIME(20,13,54)</f>
        <v>41890.842986111114</v>
      </c>
      <c r="C2355">
        <v>80</v>
      </c>
      <c r="D2355">
        <v>79.978172302000004</v>
      </c>
      <c r="E2355">
        <v>50</v>
      </c>
      <c r="F2355">
        <v>53.187637328999998</v>
      </c>
      <c r="G2355">
        <v>1339.2158202999999</v>
      </c>
      <c r="H2355">
        <v>1337.0383300999999</v>
      </c>
      <c r="I2355">
        <v>1326.1495361</v>
      </c>
      <c r="J2355">
        <v>1323.8795166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1594.73795</v>
      </c>
      <c r="B2356" s="1">
        <f>DATE(2014,9,11) + TIME(17,42,38)</f>
        <v>41893.737939814811</v>
      </c>
      <c r="C2356">
        <v>80</v>
      </c>
      <c r="D2356">
        <v>79.978172302000004</v>
      </c>
      <c r="E2356">
        <v>50</v>
      </c>
      <c r="F2356">
        <v>53.780242919999999</v>
      </c>
      <c r="G2356">
        <v>1339.2095947</v>
      </c>
      <c r="H2356">
        <v>1337.0352783000001</v>
      </c>
      <c r="I2356">
        <v>1326.1455077999999</v>
      </c>
      <c r="J2356">
        <v>1323.8721923999999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1597.666594</v>
      </c>
      <c r="B2357" s="1">
        <f>DATE(2014,9,14) + TIME(15,59,53)</f>
        <v>41896.666585648149</v>
      </c>
      <c r="C2357">
        <v>80</v>
      </c>
      <c r="D2357">
        <v>79.978172302000004</v>
      </c>
      <c r="E2357">
        <v>50</v>
      </c>
      <c r="F2357">
        <v>54.396072388</v>
      </c>
      <c r="G2357">
        <v>1339.2033690999999</v>
      </c>
      <c r="H2357">
        <v>1337.0319824000001</v>
      </c>
      <c r="I2357">
        <v>1326.1423339999999</v>
      </c>
      <c r="J2357">
        <v>1323.8659668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1600.687563</v>
      </c>
      <c r="B2358" s="1">
        <f>DATE(2014,9,17) + TIME(16,30,5)</f>
        <v>41899.687557870369</v>
      </c>
      <c r="C2358">
        <v>80</v>
      </c>
      <c r="D2358">
        <v>79.978179932000003</v>
      </c>
      <c r="E2358">
        <v>50</v>
      </c>
      <c r="F2358">
        <v>55.008934021000002</v>
      </c>
      <c r="G2358">
        <v>1339.1971435999999</v>
      </c>
      <c r="H2358">
        <v>1337.0288086</v>
      </c>
      <c r="I2358">
        <v>1326.1397704999999</v>
      </c>
      <c r="J2358">
        <v>1323.8613281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1603.7865589999999</v>
      </c>
      <c r="B2359" s="1">
        <f>DATE(2014,9,20) + TIME(18,52,38)</f>
        <v>41902.786550925928</v>
      </c>
      <c r="C2359">
        <v>80</v>
      </c>
      <c r="D2359">
        <v>79.978187560999999</v>
      </c>
      <c r="E2359">
        <v>50</v>
      </c>
      <c r="F2359">
        <v>55.621154785000002</v>
      </c>
      <c r="G2359">
        <v>1339.190918</v>
      </c>
      <c r="H2359">
        <v>1337.0256348</v>
      </c>
      <c r="I2359">
        <v>1326.1381836</v>
      </c>
      <c r="J2359">
        <v>1323.8579102000001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1607.013837</v>
      </c>
      <c r="B2360" s="1">
        <f>DATE(2014,9,24) + TIME(0,19,55)</f>
        <v>41906.013831018521</v>
      </c>
      <c r="C2360">
        <v>80</v>
      </c>
      <c r="D2360">
        <v>79.978187560999999</v>
      </c>
      <c r="E2360">
        <v>50</v>
      </c>
      <c r="F2360">
        <v>56.231082915999998</v>
      </c>
      <c r="G2360">
        <v>1339.1846923999999</v>
      </c>
      <c r="H2360">
        <v>1337.0223389</v>
      </c>
      <c r="I2360">
        <v>1326.1374512</v>
      </c>
      <c r="J2360">
        <v>1323.8558350000001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1610.4397590000001</v>
      </c>
      <c r="B2361" s="1">
        <f>DATE(2014,9,27) + TIME(10,33,15)</f>
        <v>41909.439756944441</v>
      </c>
      <c r="C2361">
        <v>80</v>
      </c>
      <c r="D2361">
        <v>79.978202820000007</v>
      </c>
      <c r="E2361">
        <v>50</v>
      </c>
      <c r="F2361">
        <v>56.842826842999997</v>
      </c>
      <c r="G2361">
        <v>1339.1783447</v>
      </c>
      <c r="H2361">
        <v>1337.019043</v>
      </c>
      <c r="I2361">
        <v>1326.1373291</v>
      </c>
      <c r="J2361">
        <v>1323.8549805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1614</v>
      </c>
      <c r="B2362" s="1">
        <f>DATE(2014,10,1) + TIME(0,0,0)</f>
        <v>41913</v>
      </c>
      <c r="C2362">
        <v>80</v>
      </c>
      <c r="D2362">
        <v>79.978210449000002</v>
      </c>
      <c r="E2362">
        <v>50</v>
      </c>
      <c r="F2362">
        <v>57.459556579999997</v>
      </c>
      <c r="G2362">
        <v>1339.171875</v>
      </c>
      <c r="H2362">
        <v>1337.015625</v>
      </c>
      <c r="I2362">
        <v>1326.1381836</v>
      </c>
      <c r="J2362">
        <v>1323.8549805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1617.6036240000001</v>
      </c>
      <c r="B2363" s="1">
        <f>DATE(2014,10,4) + TIME(14,29,13)</f>
        <v>41916.603622685187</v>
      </c>
      <c r="C2363">
        <v>80</v>
      </c>
      <c r="D2363">
        <v>79.978218079000001</v>
      </c>
      <c r="E2363">
        <v>50</v>
      </c>
      <c r="F2363">
        <v>58.066455841</v>
      </c>
      <c r="G2363">
        <v>1339.1654053</v>
      </c>
      <c r="H2363">
        <v>1337.012207</v>
      </c>
      <c r="I2363">
        <v>1326.1396483999999</v>
      </c>
      <c r="J2363">
        <v>1323.8560791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1621.3958560000001</v>
      </c>
      <c r="B2364" s="1">
        <f>DATE(2014,10,8) + TIME(9,30,1)</f>
        <v>41920.395844907405</v>
      </c>
      <c r="C2364">
        <v>80</v>
      </c>
      <c r="D2364">
        <v>79.978225707999997</v>
      </c>
      <c r="E2364">
        <v>50</v>
      </c>
      <c r="F2364">
        <v>58.654220580999997</v>
      </c>
      <c r="G2364">
        <v>1339.1589355000001</v>
      </c>
      <c r="H2364">
        <v>1337.0087891000001</v>
      </c>
      <c r="I2364">
        <v>1326.1418457</v>
      </c>
      <c r="J2364">
        <v>1323.8582764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1625.3554140000001</v>
      </c>
      <c r="B2365" s="1">
        <f>DATE(2014,10,12) + TIME(8,31,47)</f>
        <v>41924.355405092596</v>
      </c>
      <c r="C2365">
        <v>80</v>
      </c>
      <c r="D2365">
        <v>79.978240967000005</v>
      </c>
      <c r="E2365">
        <v>50</v>
      </c>
      <c r="F2365">
        <v>59.236953735</v>
      </c>
      <c r="G2365">
        <v>1339.1524658000001</v>
      </c>
      <c r="H2365">
        <v>1337.0053711</v>
      </c>
      <c r="I2365">
        <v>1326.1445312000001</v>
      </c>
      <c r="J2365">
        <v>1323.8609618999999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1629.3993379999999</v>
      </c>
      <c r="B2366" s="1">
        <f>DATE(2014,10,16) + TIME(9,35,2)</f>
        <v>41928.399328703701</v>
      </c>
      <c r="C2366">
        <v>80</v>
      </c>
      <c r="D2366">
        <v>79.978248596</v>
      </c>
      <c r="E2366">
        <v>50</v>
      </c>
      <c r="F2366">
        <v>59.798023223999998</v>
      </c>
      <c r="G2366">
        <v>1339.145874</v>
      </c>
      <c r="H2366">
        <v>1337.0019531</v>
      </c>
      <c r="I2366">
        <v>1326.1479492000001</v>
      </c>
      <c r="J2366">
        <v>1323.8645019999999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1633.5613189999999</v>
      </c>
      <c r="B2367" s="1">
        <f>DATE(2014,10,20) + TIME(13,28,17)</f>
        <v>41932.561307870368</v>
      </c>
      <c r="C2367">
        <v>80</v>
      </c>
      <c r="D2367">
        <v>79.978279114000003</v>
      </c>
      <c r="E2367">
        <v>50</v>
      </c>
      <c r="F2367">
        <v>60.354427338000001</v>
      </c>
      <c r="G2367">
        <v>1339.1394043</v>
      </c>
      <c r="H2367">
        <v>1336.9984131000001</v>
      </c>
      <c r="I2367">
        <v>1326.1516113</v>
      </c>
      <c r="J2367">
        <v>1323.8686522999999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1637.806656</v>
      </c>
      <c r="B2368" s="1">
        <f>DATE(2014,10,24) + TIME(19,21,35)</f>
        <v>41936.806655092594</v>
      </c>
      <c r="C2368">
        <v>80</v>
      </c>
      <c r="D2368">
        <v>79.978256225999999</v>
      </c>
      <c r="E2368">
        <v>50</v>
      </c>
      <c r="F2368">
        <v>60.847003936999997</v>
      </c>
      <c r="G2368">
        <v>1339.1330565999999</v>
      </c>
      <c r="H2368">
        <v>1336.9949951000001</v>
      </c>
      <c r="I2368">
        <v>1326.1561279</v>
      </c>
      <c r="J2368">
        <v>1323.8732910000001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1642.1898619999999</v>
      </c>
      <c r="B2369" s="1">
        <f>DATE(2014,10,29) + TIME(4,33,24)</f>
        <v>41941.18986111111</v>
      </c>
      <c r="C2369">
        <v>80</v>
      </c>
      <c r="D2369">
        <v>79.978355407999999</v>
      </c>
      <c r="E2369">
        <v>50</v>
      </c>
      <c r="F2369">
        <v>61.401729584000002</v>
      </c>
      <c r="G2369">
        <v>1339.1267089999999</v>
      </c>
      <c r="H2369">
        <v>1336.9916992000001</v>
      </c>
      <c r="I2369">
        <v>1326.1604004000001</v>
      </c>
      <c r="J2369">
        <v>1323.8786620999999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1645</v>
      </c>
      <c r="B2370" s="1">
        <f>DATE(2014,11,1) + TIME(0,0,0)</f>
        <v>41944</v>
      </c>
      <c r="C2370">
        <v>80</v>
      </c>
      <c r="D2370">
        <v>79.978233337000006</v>
      </c>
      <c r="E2370">
        <v>50</v>
      </c>
      <c r="F2370">
        <v>61.726139068999998</v>
      </c>
      <c r="G2370">
        <v>1339.1206055</v>
      </c>
      <c r="H2370">
        <v>1336.9885254000001</v>
      </c>
      <c r="I2370">
        <v>1326.1668701000001</v>
      </c>
      <c r="J2370">
        <v>1323.8842772999999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1645.0000010000001</v>
      </c>
      <c r="B2371" s="1">
        <f>DATE(2014,11,1) + TIME(0,0,0)</f>
        <v>41944</v>
      </c>
      <c r="C2371">
        <v>80</v>
      </c>
      <c r="D2371">
        <v>79.978202820000007</v>
      </c>
      <c r="E2371">
        <v>50</v>
      </c>
      <c r="F2371">
        <v>61.726146698000001</v>
      </c>
      <c r="G2371">
        <v>1336.9777832</v>
      </c>
      <c r="H2371">
        <v>1336.3726807</v>
      </c>
      <c r="I2371">
        <v>1328.5905762</v>
      </c>
      <c r="J2371">
        <v>1326.1813964999999</v>
      </c>
      <c r="K2371">
        <v>0</v>
      </c>
      <c r="L2371">
        <v>2400</v>
      </c>
      <c r="M2371">
        <v>2400</v>
      </c>
      <c r="N2371">
        <v>0</v>
      </c>
    </row>
    <row r="2372" spans="1:14" x14ac:dyDescent="0.25">
      <c r="A2372">
        <v>1645.000004</v>
      </c>
      <c r="B2372" s="1">
        <f>DATE(2014,11,1) + TIME(0,0,0)</f>
        <v>41944</v>
      </c>
      <c r="C2372">
        <v>80</v>
      </c>
      <c r="D2372">
        <v>79.978096007999994</v>
      </c>
      <c r="E2372">
        <v>50</v>
      </c>
      <c r="F2372">
        <v>61.726177216000004</v>
      </c>
      <c r="G2372">
        <v>1336.9461670000001</v>
      </c>
      <c r="H2372">
        <v>1336.3422852000001</v>
      </c>
      <c r="I2372">
        <v>1328.6217041</v>
      </c>
      <c r="J2372">
        <v>1326.2237548999999</v>
      </c>
      <c r="K2372">
        <v>0</v>
      </c>
      <c r="L2372">
        <v>2400</v>
      </c>
      <c r="M2372">
        <v>2400</v>
      </c>
      <c r="N2372">
        <v>0</v>
      </c>
    </row>
    <row r="2373" spans="1:14" x14ac:dyDescent="0.25">
      <c r="A2373">
        <v>1645.0000130000001</v>
      </c>
      <c r="B2373" s="1">
        <f>DATE(2014,11,1) + TIME(0,0,1)</f>
        <v>41944.000011574077</v>
      </c>
      <c r="C2373">
        <v>80</v>
      </c>
      <c r="D2373">
        <v>79.977813721000004</v>
      </c>
      <c r="E2373">
        <v>50</v>
      </c>
      <c r="F2373">
        <v>61.726257324000002</v>
      </c>
      <c r="G2373">
        <v>1336.8572998</v>
      </c>
      <c r="H2373">
        <v>1336.2565918</v>
      </c>
      <c r="I2373">
        <v>1328.7116699000001</v>
      </c>
      <c r="J2373">
        <v>1326.3443603999999</v>
      </c>
      <c r="K2373">
        <v>0</v>
      </c>
      <c r="L2373">
        <v>2400</v>
      </c>
      <c r="M2373">
        <v>2400</v>
      </c>
      <c r="N2373">
        <v>0</v>
      </c>
    </row>
    <row r="2374" spans="1:14" x14ac:dyDescent="0.25">
      <c r="A2374">
        <v>1645.0000399999999</v>
      </c>
      <c r="B2374" s="1">
        <f>DATE(2014,11,1) + TIME(0,0,3)</f>
        <v>41944.000034722223</v>
      </c>
      <c r="C2374">
        <v>80</v>
      </c>
      <c r="D2374">
        <v>79.977081299000005</v>
      </c>
      <c r="E2374">
        <v>50</v>
      </c>
      <c r="F2374">
        <v>61.726402282999999</v>
      </c>
      <c r="G2374">
        <v>1336.6318358999999</v>
      </c>
      <c r="H2374">
        <v>1336.0369873</v>
      </c>
      <c r="I2374">
        <v>1328.9538574000001</v>
      </c>
      <c r="J2374">
        <v>1326.6566161999999</v>
      </c>
      <c r="K2374">
        <v>0</v>
      </c>
      <c r="L2374">
        <v>2400</v>
      </c>
      <c r="M2374">
        <v>2400</v>
      </c>
      <c r="N2374">
        <v>0</v>
      </c>
    </row>
    <row r="2375" spans="1:14" x14ac:dyDescent="0.25">
      <c r="A2375">
        <v>1645.000121</v>
      </c>
      <c r="B2375" s="1">
        <f>DATE(2014,11,1) + TIME(0,0,10)</f>
        <v>41944.000115740739</v>
      </c>
      <c r="C2375">
        <v>80</v>
      </c>
      <c r="D2375">
        <v>79.975601196</v>
      </c>
      <c r="E2375">
        <v>50</v>
      </c>
      <c r="F2375">
        <v>61.726364136000001</v>
      </c>
      <c r="G2375">
        <v>1336.1722411999999</v>
      </c>
      <c r="H2375">
        <v>1335.5808105000001</v>
      </c>
      <c r="I2375">
        <v>1329.5111084</v>
      </c>
      <c r="J2375">
        <v>1327.3193358999999</v>
      </c>
      <c r="K2375">
        <v>0</v>
      </c>
      <c r="L2375">
        <v>2400</v>
      </c>
      <c r="M2375">
        <v>2400</v>
      </c>
      <c r="N2375">
        <v>0</v>
      </c>
    </row>
    <row r="2376" spans="1:14" x14ac:dyDescent="0.25">
      <c r="A2376">
        <v>1645.000364</v>
      </c>
      <c r="B2376" s="1">
        <f>DATE(2014,11,1) + TIME(0,0,31)</f>
        <v>41944.000358796293</v>
      </c>
      <c r="C2376">
        <v>80</v>
      </c>
      <c r="D2376">
        <v>79.973381042</v>
      </c>
      <c r="E2376">
        <v>50</v>
      </c>
      <c r="F2376">
        <v>61.723812103</v>
      </c>
      <c r="G2376">
        <v>1335.4857178</v>
      </c>
      <c r="H2376">
        <v>1334.8830565999999</v>
      </c>
      <c r="I2376">
        <v>1330.4879149999999</v>
      </c>
      <c r="J2376">
        <v>1328.3510742000001</v>
      </c>
      <c r="K2376">
        <v>0</v>
      </c>
      <c r="L2376">
        <v>2400</v>
      </c>
      <c r="M2376">
        <v>2400</v>
      </c>
      <c r="N2376">
        <v>0</v>
      </c>
    </row>
    <row r="2377" spans="1:14" x14ac:dyDescent="0.25">
      <c r="A2377">
        <v>1645.0010930000001</v>
      </c>
      <c r="B2377" s="1">
        <f>DATE(2014,11,1) + TIME(0,1,34)</f>
        <v>41944.001087962963</v>
      </c>
      <c r="C2377">
        <v>80</v>
      </c>
      <c r="D2377">
        <v>79.970771790000001</v>
      </c>
      <c r="E2377">
        <v>50</v>
      </c>
      <c r="F2377">
        <v>61.711994171000001</v>
      </c>
      <c r="G2377">
        <v>1334.6951904</v>
      </c>
      <c r="H2377">
        <v>1334.0667725000001</v>
      </c>
      <c r="I2377">
        <v>1331.7541504000001</v>
      </c>
      <c r="J2377">
        <v>1329.5980225000001</v>
      </c>
      <c r="K2377">
        <v>0</v>
      </c>
      <c r="L2377">
        <v>2400</v>
      </c>
      <c r="M2377">
        <v>2400</v>
      </c>
      <c r="N2377">
        <v>0</v>
      </c>
    </row>
    <row r="2378" spans="1:14" x14ac:dyDescent="0.25">
      <c r="A2378">
        <v>1645.0032799999999</v>
      </c>
      <c r="B2378" s="1">
        <f>DATE(2014,11,1) + TIME(0,4,43)</f>
        <v>41944.003275462965</v>
      </c>
      <c r="C2378">
        <v>80</v>
      </c>
      <c r="D2378">
        <v>79.967857361</v>
      </c>
      <c r="E2378">
        <v>50</v>
      </c>
      <c r="F2378">
        <v>61.670753478999998</v>
      </c>
      <c r="G2378">
        <v>1333.8709716999999</v>
      </c>
      <c r="H2378">
        <v>1333.2080077999999</v>
      </c>
      <c r="I2378">
        <v>1333.1031493999999</v>
      </c>
      <c r="J2378">
        <v>1330.9134521000001</v>
      </c>
      <c r="K2378">
        <v>0</v>
      </c>
      <c r="L2378">
        <v>2400</v>
      </c>
      <c r="M2378">
        <v>2400</v>
      </c>
      <c r="N2378">
        <v>0</v>
      </c>
    </row>
    <row r="2379" spans="1:14" x14ac:dyDescent="0.25">
      <c r="A2379">
        <v>1645.0098410000001</v>
      </c>
      <c r="B2379" s="1">
        <f>DATE(2014,11,1) + TIME(0,14,10)</f>
        <v>41944.009837962964</v>
      </c>
      <c r="C2379">
        <v>80</v>
      </c>
      <c r="D2379">
        <v>79.964195251000007</v>
      </c>
      <c r="E2379">
        <v>50</v>
      </c>
      <c r="F2379">
        <v>61.541248322000001</v>
      </c>
      <c r="G2379">
        <v>1333.0080565999999</v>
      </c>
      <c r="H2379">
        <v>1332.2974853999999</v>
      </c>
      <c r="I2379">
        <v>1334.4622803</v>
      </c>
      <c r="J2379">
        <v>1332.2423096</v>
      </c>
      <c r="K2379">
        <v>0</v>
      </c>
      <c r="L2379">
        <v>2400</v>
      </c>
      <c r="M2379">
        <v>2400</v>
      </c>
      <c r="N2379">
        <v>0</v>
      </c>
    </row>
    <row r="2380" spans="1:14" x14ac:dyDescent="0.25">
      <c r="A2380">
        <v>1645.029524</v>
      </c>
      <c r="B2380" s="1">
        <f>DATE(2014,11,1) + TIME(0,42,30)</f>
        <v>41944.029513888891</v>
      </c>
      <c r="C2380">
        <v>80</v>
      </c>
      <c r="D2380">
        <v>79.958435058999996</v>
      </c>
      <c r="E2380">
        <v>50</v>
      </c>
      <c r="F2380">
        <v>61.155288696</v>
      </c>
      <c r="G2380">
        <v>1332.097168</v>
      </c>
      <c r="H2380">
        <v>1331.3226318</v>
      </c>
      <c r="I2380">
        <v>1335.8079834</v>
      </c>
      <c r="J2380">
        <v>1333.5463867000001</v>
      </c>
      <c r="K2380">
        <v>0</v>
      </c>
      <c r="L2380">
        <v>2400</v>
      </c>
      <c r="M2380">
        <v>2400</v>
      </c>
      <c r="N2380">
        <v>0</v>
      </c>
    </row>
    <row r="2381" spans="1:14" x14ac:dyDescent="0.25">
      <c r="A2381">
        <v>1645.0560009999999</v>
      </c>
      <c r="B2381" s="1">
        <f>DATE(2014,11,1) + TIME(1,20,38)</f>
        <v>41944.055995370371</v>
      </c>
      <c r="C2381">
        <v>80</v>
      </c>
      <c r="D2381">
        <v>79.952636718999997</v>
      </c>
      <c r="E2381">
        <v>50</v>
      </c>
      <c r="F2381">
        <v>60.653629303000002</v>
      </c>
      <c r="G2381">
        <v>1331.5191649999999</v>
      </c>
      <c r="H2381">
        <v>1330.6988524999999</v>
      </c>
      <c r="I2381">
        <v>1336.6164550999999</v>
      </c>
      <c r="J2381">
        <v>1334.3192139</v>
      </c>
      <c r="K2381">
        <v>0</v>
      </c>
      <c r="L2381">
        <v>2400</v>
      </c>
      <c r="M2381">
        <v>2400</v>
      </c>
      <c r="N2381">
        <v>0</v>
      </c>
    </row>
    <row r="2382" spans="1:14" x14ac:dyDescent="0.25">
      <c r="A2382">
        <v>1645.0843589999999</v>
      </c>
      <c r="B2382" s="1">
        <f>DATE(2014,11,1) + TIME(2,1,28)</f>
        <v>41944.084351851852</v>
      </c>
      <c r="C2382">
        <v>80</v>
      </c>
      <c r="D2382">
        <v>79.947235106999997</v>
      </c>
      <c r="E2382">
        <v>50</v>
      </c>
      <c r="F2382">
        <v>60.139839172000002</v>
      </c>
      <c r="G2382">
        <v>1331.1624756000001</v>
      </c>
      <c r="H2382">
        <v>1330.3127440999999</v>
      </c>
      <c r="I2382">
        <v>1337.0963135</v>
      </c>
      <c r="J2382">
        <v>1334.7729492000001</v>
      </c>
      <c r="K2382">
        <v>0</v>
      </c>
      <c r="L2382">
        <v>2400</v>
      </c>
      <c r="M2382">
        <v>2400</v>
      </c>
      <c r="N2382">
        <v>0</v>
      </c>
    </row>
    <row r="2383" spans="1:14" x14ac:dyDescent="0.25">
      <c r="A2383">
        <v>1645.1144979999999</v>
      </c>
      <c r="B2383" s="1">
        <f>DATE(2014,11,1) + TIME(2,44,52)</f>
        <v>41944.114490740743</v>
      </c>
      <c r="C2383">
        <v>80</v>
      </c>
      <c r="D2383">
        <v>79.941947936999995</v>
      </c>
      <c r="E2383">
        <v>50</v>
      </c>
      <c r="F2383">
        <v>59.620990753000001</v>
      </c>
      <c r="G2383">
        <v>1330.9197998</v>
      </c>
      <c r="H2383">
        <v>1330.050293</v>
      </c>
      <c r="I2383">
        <v>1337.4125977000001</v>
      </c>
      <c r="J2383">
        <v>1335.0695800999999</v>
      </c>
      <c r="K2383">
        <v>0</v>
      </c>
      <c r="L2383">
        <v>2400</v>
      </c>
      <c r="M2383">
        <v>2400</v>
      </c>
      <c r="N2383">
        <v>0</v>
      </c>
    </row>
    <row r="2384" spans="1:14" x14ac:dyDescent="0.25">
      <c r="A2384">
        <v>1645.146405</v>
      </c>
      <c r="B2384" s="1">
        <f>DATE(2014,11,1) + TIME(3,30,49)</f>
        <v>41944.14640046296</v>
      </c>
      <c r="C2384">
        <v>80</v>
      </c>
      <c r="D2384">
        <v>79.936668396000002</v>
      </c>
      <c r="E2384">
        <v>50</v>
      </c>
      <c r="F2384">
        <v>59.101985931000002</v>
      </c>
      <c r="G2384">
        <v>1330.7440185999999</v>
      </c>
      <c r="H2384">
        <v>1329.8605957</v>
      </c>
      <c r="I2384">
        <v>1337.6346435999999</v>
      </c>
      <c r="J2384">
        <v>1335.2767334</v>
      </c>
      <c r="K2384">
        <v>0</v>
      </c>
      <c r="L2384">
        <v>2400</v>
      </c>
      <c r="M2384">
        <v>2400</v>
      </c>
      <c r="N2384">
        <v>0</v>
      </c>
    </row>
    <row r="2385" spans="1:14" x14ac:dyDescent="0.25">
      <c r="A2385">
        <v>1645.180106</v>
      </c>
      <c r="B2385" s="1">
        <f>DATE(2014,11,1) + TIME(4,19,21)</f>
        <v>41944.180104166669</v>
      </c>
      <c r="C2385">
        <v>80</v>
      </c>
      <c r="D2385">
        <v>79.931350707999997</v>
      </c>
      <c r="E2385">
        <v>50</v>
      </c>
      <c r="F2385">
        <v>58.586399077999999</v>
      </c>
      <c r="G2385">
        <v>1330.6105957</v>
      </c>
      <c r="H2385">
        <v>1329.7171631000001</v>
      </c>
      <c r="I2385">
        <v>1337.7972411999999</v>
      </c>
      <c r="J2385">
        <v>1335.4279785000001</v>
      </c>
      <c r="K2385">
        <v>0</v>
      </c>
      <c r="L2385">
        <v>2400</v>
      </c>
      <c r="M2385">
        <v>2400</v>
      </c>
      <c r="N2385">
        <v>0</v>
      </c>
    </row>
    <row r="2386" spans="1:14" x14ac:dyDescent="0.25">
      <c r="A2386">
        <v>1645.2156620000001</v>
      </c>
      <c r="B2386" s="1">
        <f>DATE(2014,11,1) + TIME(5,10,33)</f>
        <v>41944.21565972222</v>
      </c>
      <c r="C2386">
        <v>80</v>
      </c>
      <c r="D2386">
        <v>79.925949097</v>
      </c>
      <c r="E2386">
        <v>50</v>
      </c>
      <c r="F2386">
        <v>58.0768013</v>
      </c>
      <c r="G2386">
        <v>1330.5058594</v>
      </c>
      <c r="H2386">
        <v>1329.6047363</v>
      </c>
      <c r="I2386">
        <v>1337.9197998</v>
      </c>
      <c r="J2386">
        <v>1335.541626</v>
      </c>
      <c r="K2386">
        <v>0</v>
      </c>
      <c r="L2386">
        <v>2400</v>
      </c>
      <c r="M2386">
        <v>2400</v>
      </c>
      <c r="N2386">
        <v>0</v>
      </c>
    </row>
    <row r="2387" spans="1:14" x14ac:dyDescent="0.25">
      <c r="A2387">
        <v>1645.25316</v>
      </c>
      <c r="B2387" s="1">
        <f>DATE(2014,11,1) + TIME(6,4,33)</f>
        <v>41944.253159722219</v>
      </c>
      <c r="C2387">
        <v>80</v>
      </c>
      <c r="D2387">
        <v>79.920471191000004</v>
      </c>
      <c r="E2387">
        <v>50</v>
      </c>
      <c r="F2387">
        <v>57.575164794999999</v>
      </c>
      <c r="G2387">
        <v>1330.4213867000001</v>
      </c>
      <c r="H2387">
        <v>1329.5142822</v>
      </c>
      <c r="I2387">
        <v>1338.0140381000001</v>
      </c>
      <c r="J2387">
        <v>1335.6286620999999</v>
      </c>
      <c r="K2387">
        <v>0</v>
      </c>
      <c r="L2387">
        <v>2400</v>
      </c>
      <c r="M2387">
        <v>2400</v>
      </c>
      <c r="N2387">
        <v>0</v>
      </c>
    </row>
    <row r="2388" spans="1:14" x14ac:dyDescent="0.25">
      <c r="A2388">
        <v>1645.2926990000001</v>
      </c>
      <c r="B2388" s="1">
        <f>DATE(2014,11,1) + TIME(7,1,29)</f>
        <v>41944.292696759258</v>
      </c>
      <c r="C2388">
        <v>80</v>
      </c>
      <c r="D2388">
        <v>79.914894103999998</v>
      </c>
      <c r="E2388">
        <v>50</v>
      </c>
      <c r="F2388">
        <v>57.083171843999999</v>
      </c>
      <c r="G2388">
        <v>1330.3515625</v>
      </c>
      <c r="H2388">
        <v>1329.4395752</v>
      </c>
      <c r="I2388">
        <v>1338.0874022999999</v>
      </c>
      <c r="J2388">
        <v>1335.6961670000001</v>
      </c>
      <c r="K2388">
        <v>0</v>
      </c>
      <c r="L2388">
        <v>2400</v>
      </c>
      <c r="M2388">
        <v>2400</v>
      </c>
      <c r="N2388">
        <v>0</v>
      </c>
    </row>
    <row r="2389" spans="1:14" x14ac:dyDescent="0.25">
      <c r="A2389">
        <v>1645.3344030000001</v>
      </c>
      <c r="B2389" s="1">
        <f>DATE(2014,11,1) + TIME(8,1,32)</f>
        <v>41944.334398148145</v>
      </c>
      <c r="C2389">
        <v>80</v>
      </c>
      <c r="D2389">
        <v>79.909217834000003</v>
      </c>
      <c r="E2389">
        <v>50</v>
      </c>
      <c r="F2389">
        <v>56.602149963000002</v>
      </c>
      <c r="G2389">
        <v>1330.2929687999999</v>
      </c>
      <c r="H2389">
        <v>1329.3767089999999</v>
      </c>
      <c r="I2389">
        <v>1338.1447754000001</v>
      </c>
      <c r="J2389">
        <v>1335.7485352000001</v>
      </c>
      <c r="K2389">
        <v>0</v>
      </c>
      <c r="L2389">
        <v>2400</v>
      </c>
      <c r="M2389">
        <v>2400</v>
      </c>
      <c r="N2389">
        <v>0</v>
      </c>
    </row>
    <row r="2390" spans="1:14" x14ac:dyDescent="0.25">
      <c r="A2390">
        <v>1645.3784450000001</v>
      </c>
      <c r="B2390" s="1">
        <f>DATE(2014,11,1) + TIME(9,4,57)</f>
        <v>41944.378437500003</v>
      </c>
      <c r="C2390">
        <v>80</v>
      </c>
      <c r="D2390">
        <v>79.903434752999999</v>
      </c>
      <c r="E2390">
        <v>50</v>
      </c>
      <c r="F2390">
        <v>56.132946013999998</v>
      </c>
      <c r="G2390">
        <v>1330.2429199000001</v>
      </c>
      <c r="H2390">
        <v>1329.3231201000001</v>
      </c>
      <c r="I2390">
        <v>1338.1895752</v>
      </c>
      <c r="J2390">
        <v>1335.7891846</v>
      </c>
      <c r="K2390">
        <v>0</v>
      </c>
      <c r="L2390">
        <v>2400</v>
      </c>
      <c r="M2390">
        <v>2400</v>
      </c>
      <c r="N2390">
        <v>0</v>
      </c>
    </row>
    <row r="2391" spans="1:14" x14ac:dyDescent="0.25">
      <c r="A2391">
        <v>1645.4250059999999</v>
      </c>
      <c r="B2391" s="1">
        <f>DATE(2014,11,1) + TIME(10,12,0)</f>
        <v>41944.425000000003</v>
      </c>
      <c r="C2391">
        <v>80</v>
      </c>
      <c r="D2391">
        <v>79.897537231000001</v>
      </c>
      <c r="E2391">
        <v>50</v>
      </c>
      <c r="F2391">
        <v>55.676475525000001</v>
      </c>
      <c r="G2391">
        <v>1330.1998291</v>
      </c>
      <c r="H2391">
        <v>1329.2766113</v>
      </c>
      <c r="I2391">
        <v>1338.2242432</v>
      </c>
      <c r="J2391">
        <v>1335.8201904</v>
      </c>
      <c r="K2391">
        <v>0</v>
      </c>
      <c r="L2391">
        <v>2400</v>
      </c>
      <c r="M2391">
        <v>2400</v>
      </c>
      <c r="N2391">
        <v>0</v>
      </c>
    </row>
    <row r="2392" spans="1:14" x14ac:dyDescent="0.25">
      <c r="A2392">
        <v>1645.474291</v>
      </c>
      <c r="B2392" s="1">
        <f>DATE(2014,11,1) + TIME(11,22,58)</f>
        <v>41944.474282407406</v>
      </c>
      <c r="C2392">
        <v>80</v>
      </c>
      <c r="D2392">
        <v>79.891517639</v>
      </c>
      <c r="E2392">
        <v>50</v>
      </c>
      <c r="F2392">
        <v>55.233585357999999</v>
      </c>
      <c r="G2392">
        <v>1330.1622314000001</v>
      </c>
      <c r="H2392">
        <v>1329.2359618999999</v>
      </c>
      <c r="I2392">
        <v>1338.2506103999999</v>
      </c>
      <c r="J2392">
        <v>1335.8432617000001</v>
      </c>
      <c r="K2392">
        <v>0</v>
      </c>
      <c r="L2392">
        <v>2400</v>
      </c>
      <c r="M2392">
        <v>2400</v>
      </c>
      <c r="N2392">
        <v>0</v>
      </c>
    </row>
    <row r="2393" spans="1:14" x14ac:dyDescent="0.25">
      <c r="A2393">
        <v>1645.526531</v>
      </c>
      <c r="B2393" s="1">
        <f>DATE(2014,11,1) + TIME(12,38,12)</f>
        <v>41944.52652777778</v>
      </c>
      <c r="C2393">
        <v>80</v>
      </c>
      <c r="D2393">
        <v>79.885375976999995</v>
      </c>
      <c r="E2393">
        <v>50</v>
      </c>
      <c r="F2393">
        <v>54.805042266999997</v>
      </c>
      <c r="G2393">
        <v>1330.1292725000001</v>
      </c>
      <c r="H2393">
        <v>1329.1999512</v>
      </c>
      <c r="I2393">
        <v>1338.2700195</v>
      </c>
      <c r="J2393">
        <v>1335.8599853999999</v>
      </c>
      <c r="K2393">
        <v>0</v>
      </c>
      <c r="L2393">
        <v>2400</v>
      </c>
      <c r="M2393">
        <v>2400</v>
      </c>
      <c r="N2393">
        <v>0</v>
      </c>
    </row>
    <row r="2394" spans="1:14" x14ac:dyDescent="0.25">
      <c r="A2394">
        <v>1645.5819899999999</v>
      </c>
      <c r="B2394" s="1">
        <f>DATE(2014,11,1) + TIME(13,58,3)</f>
        <v>41944.581979166665</v>
      </c>
      <c r="C2394">
        <v>80</v>
      </c>
      <c r="D2394">
        <v>79.879112243999998</v>
      </c>
      <c r="E2394">
        <v>50</v>
      </c>
      <c r="F2394">
        <v>54.391590118000003</v>
      </c>
      <c r="G2394">
        <v>1330.0999756000001</v>
      </c>
      <c r="H2394">
        <v>1329.1679687999999</v>
      </c>
      <c r="I2394">
        <v>1338.2836914</v>
      </c>
      <c r="J2394">
        <v>1335.8712158000001</v>
      </c>
      <c r="K2394">
        <v>0</v>
      </c>
      <c r="L2394">
        <v>2400</v>
      </c>
      <c r="M2394">
        <v>2400</v>
      </c>
      <c r="N2394">
        <v>0</v>
      </c>
    </row>
    <row r="2395" spans="1:14" x14ac:dyDescent="0.25">
      <c r="A2395">
        <v>1645.6409650000001</v>
      </c>
      <c r="B2395" s="1">
        <f>DATE(2014,11,1) + TIME(15,22,59)</f>
        <v>41944.640960648147</v>
      </c>
      <c r="C2395">
        <v>80</v>
      </c>
      <c r="D2395">
        <v>79.872703552000004</v>
      </c>
      <c r="E2395">
        <v>50</v>
      </c>
      <c r="F2395">
        <v>53.993949890000003</v>
      </c>
      <c r="G2395">
        <v>1330.0739745999999</v>
      </c>
      <c r="H2395">
        <v>1329.1391602000001</v>
      </c>
      <c r="I2395">
        <v>1338.2927245999999</v>
      </c>
      <c r="J2395">
        <v>1335.8780518000001</v>
      </c>
      <c r="K2395">
        <v>0</v>
      </c>
      <c r="L2395">
        <v>2400</v>
      </c>
      <c r="M2395">
        <v>2400</v>
      </c>
      <c r="N2395">
        <v>0</v>
      </c>
    </row>
    <row r="2396" spans="1:14" x14ac:dyDescent="0.25">
      <c r="A2396">
        <v>1645.703792</v>
      </c>
      <c r="B2396" s="1">
        <f>DATE(2014,11,1) + TIME(16,53,27)</f>
        <v>41944.703784722224</v>
      </c>
      <c r="C2396">
        <v>80</v>
      </c>
      <c r="D2396">
        <v>79.866157532000003</v>
      </c>
      <c r="E2396">
        <v>50</v>
      </c>
      <c r="F2396">
        <v>53.612819672000001</v>
      </c>
      <c r="G2396">
        <v>1330.0507812000001</v>
      </c>
      <c r="H2396">
        <v>1329.1130370999999</v>
      </c>
      <c r="I2396">
        <v>1338.2978516000001</v>
      </c>
      <c r="J2396">
        <v>1335.8811035000001</v>
      </c>
      <c r="K2396">
        <v>0</v>
      </c>
      <c r="L2396">
        <v>2400</v>
      </c>
      <c r="M2396">
        <v>2400</v>
      </c>
      <c r="N2396">
        <v>0</v>
      </c>
    </row>
    <row r="2397" spans="1:14" x14ac:dyDescent="0.25">
      <c r="A2397">
        <v>1645.770851</v>
      </c>
      <c r="B2397" s="1">
        <f>DATE(2014,11,1) + TIME(18,30,1)</f>
        <v>41944.770844907405</v>
      </c>
      <c r="C2397">
        <v>80</v>
      </c>
      <c r="D2397">
        <v>79.859458923000005</v>
      </c>
      <c r="E2397">
        <v>50</v>
      </c>
      <c r="F2397">
        <v>53.248886108000001</v>
      </c>
      <c r="G2397">
        <v>1330.0297852000001</v>
      </c>
      <c r="H2397">
        <v>1329.0893555</v>
      </c>
      <c r="I2397">
        <v>1338.2998047000001</v>
      </c>
      <c r="J2397">
        <v>1335.8813477000001</v>
      </c>
      <c r="K2397">
        <v>0</v>
      </c>
      <c r="L2397">
        <v>2400</v>
      </c>
      <c r="M2397">
        <v>2400</v>
      </c>
      <c r="N2397">
        <v>0</v>
      </c>
    </row>
    <row r="2398" spans="1:14" x14ac:dyDescent="0.25">
      <c r="A2398">
        <v>1645.842574</v>
      </c>
      <c r="B2398" s="1">
        <f>DATE(2014,11,1) + TIME(20,13,18)</f>
        <v>41944.842569444445</v>
      </c>
      <c r="C2398">
        <v>80</v>
      </c>
      <c r="D2398">
        <v>79.852600097999996</v>
      </c>
      <c r="E2398">
        <v>50</v>
      </c>
      <c r="F2398">
        <v>52.902824402</v>
      </c>
      <c r="G2398">
        <v>1330.0107422000001</v>
      </c>
      <c r="H2398">
        <v>1329.0675048999999</v>
      </c>
      <c r="I2398">
        <v>1338.2991943</v>
      </c>
      <c r="J2398">
        <v>1335.8791504000001</v>
      </c>
      <c r="K2398">
        <v>0</v>
      </c>
      <c r="L2398">
        <v>2400</v>
      </c>
      <c r="M2398">
        <v>2400</v>
      </c>
      <c r="N2398">
        <v>0</v>
      </c>
    </row>
    <row r="2399" spans="1:14" x14ac:dyDescent="0.25">
      <c r="A2399">
        <v>1645.9194210000001</v>
      </c>
      <c r="B2399" s="1">
        <f>DATE(2014,11,1) + TIME(22,3,57)</f>
        <v>41944.919409722221</v>
      </c>
      <c r="C2399">
        <v>80</v>
      </c>
      <c r="D2399">
        <v>79.845573424999998</v>
      </c>
      <c r="E2399">
        <v>50</v>
      </c>
      <c r="F2399">
        <v>52.575397490999997</v>
      </c>
      <c r="G2399">
        <v>1329.9932861</v>
      </c>
      <c r="H2399">
        <v>1329.0472411999999</v>
      </c>
      <c r="I2399">
        <v>1338.2967529</v>
      </c>
      <c r="J2399">
        <v>1335.8753661999999</v>
      </c>
      <c r="K2399">
        <v>0</v>
      </c>
      <c r="L2399">
        <v>2400</v>
      </c>
      <c r="M2399">
        <v>2400</v>
      </c>
      <c r="N2399">
        <v>0</v>
      </c>
    </row>
    <row r="2400" spans="1:14" x14ac:dyDescent="0.25">
      <c r="A2400">
        <v>1646.0019669999999</v>
      </c>
      <c r="B2400" s="1">
        <f>DATE(2014,11,2) + TIME(0,2,49)</f>
        <v>41945.001956018517</v>
      </c>
      <c r="C2400">
        <v>80</v>
      </c>
      <c r="D2400">
        <v>79.838356017999999</v>
      </c>
      <c r="E2400">
        <v>50</v>
      </c>
      <c r="F2400">
        <v>52.267150878999999</v>
      </c>
      <c r="G2400">
        <v>1329.9772949000001</v>
      </c>
      <c r="H2400">
        <v>1329.0284423999999</v>
      </c>
      <c r="I2400">
        <v>1338.2929687999999</v>
      </c>
      <c r="J2400">
        <v>1335.8702393000001</v>
      </c>
      <c r="K2400">
        <v>0</v>
      </c>
      <c r="L2400">
        <v>2400</v>
      </c>
      <c r="M2400">
        <v>2400</v>
      </c>
      <c r="N2400">
        <v>0</v>
      </c>
    </row>
    <row r="2401" spans="1:14" x14ac:dyDescent="0.25">
      <c r="A2401">
        <v>1646.0908589999999</v>
      </c>
      <c r="B2401" s="1">
        <f>DATE(2014,11,2) + TIME(2,10,50)</f>
        <v>41945.090856481482</v>
      </c>
      <c r="C2401">
        <v>80</v>
      </c>
      <c r="D2401">
        <v>79.830940247000001</v>
      </c>
      <c r="E2401">
        <v>50</v>
      </c>
      <c r="F2401">
        <v>51.978626251000001</v>
      </c>
      <c r="G2401">
        <v>1329.9625243999999</v>
      </c>
      <c r="H2401">
        <v>1329.0106201000001</v>
      </c>
      <c r="I2401">
        <v>1338.2880858999999</v>
      </c>
      <c r="J2401">
        <v>1335.8643798999999</v>
      </c>
      <c r="K2401">
        <v>0</v>
      </c>
      <c r="L2401">
        <v>2400</v>
      </c>
      <c r="M2401">
        <v>2400</v>
      </c>
      <c r="N2401">
        <v>0</v>
      </c>
    </row>
    <row r="2402" spans="1:14" x14ac:dyDescent="0.25">
      <c r="A2402">
        <v>1646.186827</v>
      </c>
      <c r="B2402" s="1">
        <f>DATE(2014,11,2) + TIME(4,29,1)</f>
        <v>41945.18681712963</v>
      </c>
      <c r="C2402">
        <v>80</v>
      </c>
      <c r="D2402">
        <v>79.823303222999996</v>
      </c>
      <c r="E2402">
        <v>50</v>
      </c>
      <c r="F2402">
        <v>51.710361481</v>
      </c>
      <c r="G2402">
        <v>1329.9486084</v>
      </c>
      <c r="H2402">
        <v>1328.9936522999999</v>
      </c>
      <c r="I2402">
        <v>1338.2828368999999</v>
      </c>
      <c r="J2402">
        <v>1335.8580322</v>
      </c>
      <c r="K2402">
        <v>0</v>
      </c>
      <c r="L2402">
        <v>2400</v>
      </c>
      <c r="M2402">
        <v>2400</v>
      </c>
      <c r="N2402">
        <v>0</v>
      </c>
    </row>
    <row r="2403" spans="1:14" x14ac:dyDescent="0.25">
      <c r="A2403">
        <v>1646.2907130000001</v>
      </c>
      <c r="B2403" s="1">
        <f>DATE(2014,11,2) + TIME(6,58,37)</f>
        <v>41945.290706018517</v>
      </c>
      <c r="C2403">
        <v>80</v>
      </c>
      <c r="D2403">
        <v>79.815406799000002</v>
      </c>
      <c r="E2403">
        <v>50</v>
      </c>
      <c r="F2403">
        <v>51.462806702000002</v>
      </c>
      <c r="G2403">
        <v>1329.9355469</v>
      </c>
      <c r="H2403">
        <v>1328.9774170000001</v>
      </c>
      <c r="I2403">
        <v>1338.2772216999999</v>
      </c>
      <c r="J2403">
        <v>1335.8516846</v>
      </c>
      <c r="K2403">
        <v>0</v>
      </c>
      <c r="L2403">
        <v>2400</v>
      </c>
      <c r="M2403">
        <v>2400</v>
      </c>
      <c r="N2403">
        <v>0</v>
      </c>
    </row>
    <row r="2404" spans="1:14" x14ac:dyDescent="0.25">
      <c r="A2404">
        <v>1646.4034810000001</v>
      </c>
      <c r="B2404" s="1">
        <f>DATE(2014,11,2) + TIME(9,41,0)</f>
        <v>41945.40347222222</v>
      </c>
      <c r="C2404">
        <v>80</v>
      </c>
      <c r="D2404">
        <v>79.807220459000007</v>
      </c>
      <c r="E2404">
        <v>50</v>
      </c>
      <c r="F2404">
        <v>51.236324310000001</v>
      </c>
      <c r="G2404">
        <v>1329.9229736</v>
      </c>
      <c r="H2404">
        <v>1328.9616699000001</v>
      </c>
      <c r="I2404">
        <v>1338.2716064000001</v>
      </c>
      <c r="J2404">
        <v>1335.8454589999999</v>
      </c>
      <c r="K2404">
        <v>0</v>
      </c>
      <c r="L2404">
        <v>2400</v>
      </c>
      <c r="M2404">
        <v>2400</v>
      </c>
      <c r="N2404">
        <v>0</v>
      </c>
    </row>
    <row r="2405" spans="1:14" x14ac:dyDescent="0.25">
      <c r="A2405">
        <v>1646.526245</v>
      </c>
      <c r="B2405" s="1">
        <f>DATE(2014,11,2) + TIME(12,37,47)</f>
        <v>41945.526238425926</v>
      </c>
      <c r="C2405">
        <v>80</v>
      </c>
      <c r="D2405">
        <v>79.798706054999997</v>
      </c>
      <c r="E2405">
        <v>50</v>
      </c>
      <c r="F2405">
        <v>51.031131744</v>
      </c>
      <c r="G2405">
        <v>1329.9110106999999</v>
      </c>
      <c r="H2405">
        <v>1328.9461670000001</v>
      </c>
      <c r="I2405">
        <v>1338.2662353999999</v>
      </c>
      <c r="J2405">
        <v>1335.8395995999999</v>
      </c>
      <c r="K2405">
        <v>0</v>
      </c>
      <c r="L2405">
        <v>2400</v>
      </c>
      <c r="M2405">
        <v>2400</v>
      </c>
      <c r="N2405">
        <v>0</v>
      </c>
    </row>
    <row r="2406" spans="1:14" x14ac:dyDescent="0.25">
      <c r="A2406">
        <v>1646.66029</v>
      </c>
      <c r="B2406" s="1">
        <f>DATE(2014,11,2) + TIME(15,50,49)</f>
        <v>41945.66028935185</v>
      </c>
      <c r="C2406">
        <v>80</v>
      </c>
      <c r="D2406">
        <v>79.789794921999999</v>
      </c>
      <c r="E2406">
        <v>50</v>
      </c>
      <c r="F2406">
        <v>50.847297668000003</v>
      </c>
      <c r="G2406">
        <v>1329.8992920000001</v>
      </c>
      <c r="H2406">
        <v>1328.9309082</v>
      </c>
      <c r="I2406">
        <v>1338.2612305</v>
      </c>
      <c r="J2406">
        <v>1335.8342285000001</v>
      </c>
      <c r="K2406">
        <v>0</v>
      </c>
      <c r="L2406">
        <v>2400</v>
      </c>
      <c r="M2406">
        <v>2400</v>
      </c>
      <c r="N2406">
        <v>0</v>
      </c>
    </row>
    <row r="2407" spans="1:14" x14ac:dyDescent="0.25">
      <c r="A2407">
        <v>1646.807098</v>
      </c>
      <c r="B2407" s="1">
        <f>DATE(2014,11,2) + TIME(19,22,13)</f>
        <v>41945.80709490741</v>
      </c>
      <c r="C2407">
        <v>80</v>
      </c>
      <c r="D2407">
        <v>79.780418396000002</v>
      </c>
      <c r="E2407">
        <v>50</v>
      </c>
      <c r="F2407">
        <v>50.684684752999999</v>
      </c>
      <c r="G2407">
        <v>1329.8876952999999</v>
      </c>
      <c r="H2407">
        <v>1328.9155272999999</v>
      </c>
      <c r="I2407">
        <v>1338.2564697</v>
      </c>
      <c r="J2407">
        <v>1335.8294678</v>
      </c>
      <c r="K2407">
        <v>0</v>
      </c>
      <c r="L2407">
        <v>2400</v>
      </c>
      <c r="M2407">
        <v>2400</v>
      </c>
      <c r="N2407">
        <v>0</v>
      </c>
    </row>
    <row r="2408" spans="1:14" x14ac:dyDescent="0.25">
      <c r="A2408">
        <v>1646.9683829999999</v>
      </c>
      <c r="B2408" s="1">
        <f>DATE(2014,11,2) + TIME(23,14,28)</f>
        <v>41945.96837962963</v>
      </c>
      <c r="C2408">
        <v>80</v>
      </c>
      <c r="D2408">
        <v>79.770484924000002</v>
      </c>
      <c r="E2408">
        <v>50</v>
      </c>
      <c r="F2408">
        <v>50.542926788000003</v>
      </c>
      <c r="G2408">
        <v>1329.8760986</v>
      </c>
      <c r="H2408">
        <v>1328.9000243999999</v>
      </c>
      <c r="I2408">
        <v>1338.2521973</v>
      </c>
      <c r="J2408">
        <v>1335.8253173999999</v>
      </c>
      <c r="K2408">
        <v>0</v>
      </c>
      <c r="L2408">
        <v>2400</v>
      </c>
      <c r="M2408">
        <v>2400</v>
      </c>
      <c r="N2408">
        <v>0</v>
      </c>
    </row>
    <row r="2409" spans="1:14" x14ac:dyDescent="0.25">
      <c r="A2409">
        <v>1647.1461200000001</v>
      </c>
      <c r="B2409" s="1">
        <f>DATE(2014,11,3) + TIME(3,30,24)</f>
        <v>41946.146111111113</v>
      </c>
      <c r="C2409">
        <v>80</v>
      </c>
      <c r="D2409">
        <v>79.759872436999999</v>
      </c>
      <c r="E2409">
        <v>50</v>
      </c>
      <c r="F2409">
        <v>50.421375275000003</v>
      </c>
      <c r="G2409">
        <v>1329.8645019999999</v>
      </c>
      <c r="H2409">
        <v>1328.8841553</v>
      </c>
      <c r="I2409">
        <v>1338.2482910000001</v>
      </c>
      <c r="J2409">
        <v>1335.8217772999999</v>
      </c>
      <c r="K2409">
        <v>0</v>
      </c>
      <c r="L2409">
        <v>2400</v>
      </c>
      <c r="M2409">
        <v>2400</v>
      </c>
      <c r="N2409">
        <v>0</v>
      </c>
    </row>
    <row r="2410" spans="1:14" x14ac:dyDescent="0.25">
      <c r="A2410">
        <v>1647.330483</v>
      </c>
      <c r="B2410" s="1">
        <f>DATE(2014,11,3) + TIME(7,55,53)</f>
        <v>41946.330474537041</v>
      </c>
      <c r="C2410">
        <v>80</v>
      </c>
      <c r="D2410">
        <v>79.749031067000004</v>
      </c>
      <c r="E2410">
        <v>50</v>
      </c>
      <c r="F2410">
        <v>50.323974608999997</v>
      </c>
      <c r="G2410">
        <v>1329.8527832</v>
      </c>
      <c r="H2410">
        <v>1328.8680420000001</v>
      </c>
      <c r="I2410">
        <v>1338.2452393000001</v>
      </c>
      <c r="J2410">
        <v>1335.8192139</v>
      </c>
      <c r="K2410">
        <v>0</v>
      </c>
      <c r="L2410">
        <v>2400</v>
      </c>
      <c r="M2410">
        <v>2400</v>
      </c>
      <c r="N2410">
        <v>0</v>
      </c>
    </row>
    <row r="2411" spans="1:14" x14ac:dyDescent="0.25">
      <c r="A2411">
        <v>1647.517971</v>
      </c>
      <c r="B2411" s="1">
        <f>DATE(2014,11,3) + TIME(12,25,52)</f>
        <v>41946.517962962964</v>
      </c>
      <c r="C2411">
        <v>80</v>
      </c>
      <c r="D2411">
        <v>79.738067627000007</v>
      </c>
      <c r="E2411">
        <v>50</v>
      </c>
      <c r="F2411">
        <v>50.247676849000001</v>
      </c>
      <c r="G2411">
        <v>1329.8413086</v>
      </c>
      <c r="H2411">
        <v>1328.8520507999999</v>
      </c>
      <c r="I2411">
        <v>1338.2425536999999</v>
      </c>
      <c r="J2411">
        <v>1335.8171387</v>
      </c>
      <c r="K2411">
        <v>0</v>
      </c>
      <c r="L2411">
        <v>2400</v>
      </c>
      <c r="M2411">
        <v>2400</v>
      </c>
      <c r="N2411">
        <v>0</v>
      </c>
    </row>
    <row r="2412" spans="1:14" x14ac:dyDescent="0.25">
      <c r="A2412">
        <v>1647.709087</v>
      </c>
      <c r="B2412" s="1">
        <f>DATE(2014,11,3) + TIME(17,1,5)</f>
        <v>41946.709085648145</v>
      </c>
      <c r="C2412">
        <v>80</v>
      </c>
      <c r="D2412">
        <v>79.726890564000001</v>
      </c>
      <c r="E2412">
        <v>50</v>
      </c>
      <c r="F2412">
        <v>50.187973022000001</v>
      </c>
      <c r="G2412">
        <v>1329.8300781</v>
      </c>
      <c r="H2412">
        <v>1328.8363036999999</v>
      </c>
      <c r="I2412">
        <v>1338.2398682</v>
      </c>
      <c r="J2412">
        <v>1335.8154297000001</v>
      </c>
      <c r="K2412">
        <v>0</v>
      </c>
      <c r="L2412">
        <v>2400</v>
      </c>
      <c r="M2412">
        <v>2400</v>
      </c>
      <c r="N2412">
        <v>0</v>
      </c>
    </row>
    <row r="2413" spans="1:14" x14ac:dyDescent="0.25">
      <c r="A2413">
        <v>1647.9042790000001</v>
      </c>
      <c r="B2413" s="1">
        <f>DATE(2014,11,3) + TIME(21,42,9)</f>
        <v>41946.904270833336</v>
      </c>
      <c r="C2413">
        <v>80</v>
      </c>
      <c r="D2413">
        <v>79.715415954999997</v>
      </c>
      <c r="E2413">
        <v>50</v>
      </c>
      <c r="F2413">
        <v>50.141357421999999</v>
      </c>
      <c r="G2413">
        <v>1329.8189697</v>
      </c>
      <c r="H2413">
        <v>1328.8209228999999</v>
      </c>
      <c r="I2413">
        <v>1338.2373047000001</v>
      </c>
      <c r="J2413">
        <v>1335.8139647999999</v>
      </c>
      <c r="K2413">
        <v>0</v>
      </c>
      <c r="L2413">
        <v>2400</v>
      </c>
      <c r="M2413">
        <v>2400</v>
      </c>
      <c r="N2413">
        <v>0</v>
      </c>
    </row>
    <row r="2414" spans="1:14" x14ac:dyDescent="0.25">
      <c r="A2414">
        <v>1648.103938</v>
      </c>
      <c r="B2414" s="1">
        <f>DATE(2014,11,4) + TIME(2,29,40)</f>
        <v>41947.103935185187</v>
      </c>
      <c r="C2414">
        <v>80</v>
      </c>
      <c r="D2414">
        <v>79.703590392999999</v>
      </c>
      <c r="E2414">
        <v>50</v>
      </c>
      <c r="F2414">
        <v>50.105064392000003</v>
      </c>
      <c r="G2414">
        <v>1329.8079834</v>
      </c>
      <c r="H2414">
        <v>1328.8054199000001</v>
      </c>
      <c r="I2414">
        <v>1338.2346190999999</v>
      </c>
      <c r="J2414">
        <v>1335.8125</v>
      </c>
      <c r="K2414">
        <v>0</v>
      </c>
      <c r="L2414">
        <v>2400</v>
      </c>
      <c r="M2414">
        <v>2400</v>
      </c>
      <c r="N2414">
        <v>0</v>
      </c>
    </row>
    <row r="2415" spans="1:14" x14ac:dyDescent="0.25">
      <c r="A2415">
        <v>1648.3084630000001</v>
      </c>
      <c r="B2415" s="1">
        <f>DATE(2014,11,4) + TIME(7,24,11)</f>
        <v>41947.30846064815</v>
      </c>
      <c r="C2415">
        <v>80</v>
      </c>
      <c r="D2415">
        <v>79.691352843999994</v>
      </c>
      <c r="E2415">
        <v>50</v>
      </c>
      <c r="F2415">
        <v>50.076900481999999</v>
      </c>
      <c r="G2415">
        <v>1329.7971190999999</v>
      </c>
      <c r="H2415">
        <v>1328.7900391000001</v>
      </c>
      <c r="I2415">
        <v>1338.2319336</v>
      </c>
      <c r="J2415">
        <v>1335.8110352000001</v>
      </c>
      <c r="K2415">
        <v>0</v>
      </c>
      <c r="L2415">
        <v>2400</v>
      </c>
      <c r="M2415">
        <v>2400</v>
      </c>
      <c r="N2415">
        <v>0</v>
      </c>
    </row>
    <row r="2416" spans="1:14" x14ac:dyDescent="0.25">
      <c r="A2416">
        <v>1648.518399</v>
      </c>
      <c r="B2416" s="1">
        <f>DATE(2014,11,4) + TIME(12,26,29)</f>
        <v>41947.518391203703</v>
      </c>
      <c r="C2416">
        <v>80</v>
      </c>
      <c r="D2416">
        <v>79.678642272999994</v>
      </c>
      <c r="E2416">
        <v>50</v>
      </c>
      <c r="F2416">
        <v>50.055114746000001</v>
      </c>
      <c r="G2416">
        <v>1329.7861327999999</v>
      </c>
      <c r="H2416">
        <v>1328.7746582</v>
      </c>
      <c r="I2416">
        <v>1338.229126</v>
      </c>
      <c r="J2416">
        <v>1335.8096923999999</v>
      </c>
      <c r="K2416">
        <v>0</v>
      </c>
      <c r="L2416">
        <v>2400</v>
      </c>
      <c r="M2416">
        <v>2400</v>
      </c>
      <c r="N2416">
        <v>0</v>
      </c>
    </row>
    <row r="2417" spans="1:14" x14ac:dyDescent="0.25">
      <c r="A2417">
        <v>1648.7342209999999</v>
      </c>
      <c r="B2417" s="1">
        <f>DATE(2014,11,4) + TIME(17,37,16)</f>
        <v>41947.734212962961</v>
      </c>
      <c r="C2417">
        <v>80</v>
      </c>
      <c r="D2417">
        <v>79.665412903000004</v>
      </c>
      <c r="E2417">
        <v>50</v>
      </c>
      <c r="F2417">
        <v>50.038333893000001</v>
      </c>
      <c r="G2417">
        <v>1329.7751464999999</v>
      </c>
      <c r="H2417">
        <v>1328.7590332</v>
      </c>
      <c r="I2417">
        <v>1338.2261963000001</v>
      </c>
      <c r="J2417">
        <v>1335.8082274999999</v>
      </c>
      <c r="K2417">
        <v>0</v>
      </c>
      <c r="L2417">
        <v>2400</v>
      </c>
      <c r="M2417">
        <v>2400</v>
      </c>
      <c r="N2417">
        <v>0</v>
      </c>
    </row>
    <row r="2418" spans="1:14" x14ac:dyDescent="0.25">
      <c r="A2418">
        <v>1648.95643</v>
      </c>
      <c r="B2418" s="1">
        <f>DATE(2014,11,4) + TIME(22,57,15)</f>
        <v>41947.956423611111</v>
      </c>
      <c r="C2418">
        <v>80</v>
      </c>
      <c r="D2418">
        <v>79.651603699000006</v>
      </c>
      <c r="E2418">
        <v>50</v>
      </c>
      <c r="F2418">
        <v>50.025466919000003</v>
      </c>
      <c r="G2418">
        <v>1329.7641602000001</v>
      </c>
      <c r="H2418">
        <v>1328.7434082</v>
      </c>
      <c r="I2418">
        <v>1338.2231445</v>
      </c>
      <c r="J2418">
        <v>1335.8067627</v>
      </c>
      <c r="K2418">
        <v>0</v>
      </c>
      <c r="L2418">
        <v>2400</v>
      </c>
      <c r="M2418">
        <v>2400</v>
      </c>
      <c r="N2418">
        <v>0</v>
      </c>
    </row>
    <row r="2419" spans="1:14" x14ac:dyDescent="0.25">
      <c r="A2419">
        <v>1649.1855539999999</v>
      </c>
      <c r="B2419" s="1">
        <f>DATE(2014,11,5) + TIME(4,27,11)</f>
        <v>41948.185543981483</v>
      </c>
      <c r="C2419">
        <v>80</v>
      </c>
      <c r="D2419">
        <v>79.637184142999999</v>
      </c>
      <c r="E2419">
        <v>50</v>
      </c>
      <c r="F2419">
        <v>50.015640259000001</v>
      </c>
      <c r="G2419">
        <v>1329.7529297000001</v>
      </c>
      <c r="H2419">
        <v>1328.7275391000001</v>
      </c>
      <c r="I2419">
        <v>1338.2199707</v>
      </c>
      <c r="J2419">
        <v>1335.8051757999999</v>
      </c>
      <c r="K2419">
        <v>0</v>
      </c>
      <c r="L2419">
        <v>2400</v>
      </c>
      <c r="M2419">
        <v>2400</v>
      </c>
      <c r="N2419">
        <v>0</v>
      </c>
    </row>
    <row r="2420" spans="1:14" x14ac:dyDescent="0.25">
      <c r="A2420">
        <v>1649.4221600000001</v>
      </c>
      <c r="B2420" s="1">
        <f>DATE(2014,11,5) + TIME(10,7,54)</f>
        <v>41948.422152777777</v>
      </c>
      <c r="C2420">
        <v>80</v>
      </c>
      <c r="D2420">
        <v>79.622100829999994</v>
      </c>
      <c r="E2420">
        <v>50</v>
      </c>
      <c r="F2420">
        <v>50.008174896</v>
      </c>
      <c r="G2420">
        <v>1329.7414550999999</v>
      </c>
      <c r="H2420">
        <v>1328.7114257999999</v>
      </c>
      <c r="I2420">
        <v>1338.2166748</v>
      </c>
      <c r="J2420">
        <v>1335.8035889</v>
      </c>
      <c r="K2420">
        <v>0</v>
      </c>
      <c r="L2420">
        <v>2400</v>
      </c>
      <c r="M2420">
        <v>2400</v>
      </c>
      <c r="N2420">
        <v>0</v>
      </c>
    </row>
    <row r="2421" spans="1:14" x14ac:dyDescent="0.25">
      <c r="A2421">
        <v>1649.6668500000001</v>
      </c>
      <c r="B2421" s="1">
        <f>DATE(2014,11,5) + TIME(16,0,15)</f>
        <v>41948.66684027778</v>
      </c>
      <c r="C2421">
        <v>80</v>
      </c>
      <c r="D2421">
        <v>79.606323242000002</v>
      </c>
      <c r="E2421">
        <v>50</v>
      </c>
      <c r="F2421">
        <v>50.002529144</v>
      </c>
      <c r="G2421">
        <v>1329.7299805</v>
      </c>
      <c r="H2421">
        <v>1328.6950684000001</v>
      </c>
      <c r="I2421">
        <v>1338.2133789</v>
      </c>
      <c r="J2421">
        <v>1335.8018798999999</v>
      </c>
      <c r="K2421">
        <v>0</v>
      </c>
      <c r="L2421">
        <v>2400</v>
      </c>
      <c r="M2421">
        <v>2400</v>
      </c>
      <c r="N2421">
        <v>0</v>
      </c>
    </row>
    <row r="2422" spans="1:14" x14ac:dyDescent="0.25">
      <c r="A2422">
        <v>1649.920273</v>
      </c>
      <c r="B2422" s="1">
        <f>DATE(2014,11,5) + TIME(22,5,11)</f>
        <v>41948.920266203706</v>
      </c>
      <c r="C2422">
        <v>80</v>
      </c>
      <c r="D2422">
        <v>79.589805603000002</v>
      </c>
      <c r="E2422">
        <v>50</v>
      </c>
      <c r="F2422">
        <v>49.998283385999997</v>
      </c>
      <c r="G2422">
        <v>1329.7181396000001</v>
      </c>
      <c r="H2422">
        <v>1328.6784668</v>
      </c>
      <c r="I2422">
        <v>1338.2098389</v>
      </c>
      <c r="J2422">
        <v>1335.8001709</v>
      </c>
      <c r="K2422">
        <v>0</v>
      </c>
      <c r="L2422">
        <v>2400</v>
      </c>
      <c r="M2422">
        <v>2400</v>
      </c>
      <c r="N2422">
        <v>0</v>
      </c>
    </row>
    <row r="2423" spans="1:14" x14ac:dyDescent="0.25">
      <c r="A2423">
        <v>1650.183135</v>
      </c>
      <c r="B2423" s="1">
        <f>DATE(2014,11,6) + TIME(4,23,42)</f>
        <v>41949.183125000003</v>
      </c>
      <c r="C2423">
        <v>80</v>
      </c>
      <c r="D2423">
        <v>79.572509765999996</v>
      </c>
      <c r="E2423">
        <v>50</v>
      </c>
      <c r="F2423">
        <v>49.995101929</v>
      </c>
      <c r="G2423">
        <v>1329.7060547000001</v>
      </c>
      <c r="H2423">
        <v>1328.661499</v>
      </c>
      <c r="I2423">
        <v>1338.2062988</v>
      </c>
      <c r="J2423">
        <v>1335.7983397999999</v>
      </c>
      <c r="K2423">
        <v>0</v>
      </c>
      <c r="L2423">
        <v>2400</v>
      </c>
      <c r="M2423">
        <v>2400</v>
      </c>
      <c r="N2423">
        <v>0</v>
      </c>
    </row>
    <row r="2424" spans="1:14" x14ac:dyDescent="0.25">
      <c r="A2424">
        <v>1650.456197</v>
      </c>
      <c r="B2424" s="1">
        <f>DATE(2014,11,6) + TIME(10,56,55)</f>
        <v>41949.456192129626</v>
      </c>
      <c r="C2424">
        <v>80</v>
      </c>
      <c r="D2424">
        <v>79.554397582999997</v>
      </c>
      <c r="E2424">
        <v>50</v>
      </c>
      <c r="F2424">
        <v>49.992729187000002</v>
      </c>
      <c r="G2424">
        <v>1329.6937256000001</v>
      </c>
      <c r="H2424">
        <v>1328.6441649999999</v>
      </c>
      <c r="I2424">
        <v>1338.2026367000001</v>
      </c>
      <c r="J2424">
        <v>1335.7963867000001</v>
      </c>
      <c r="K2424">
        <v>0</v>
      </c>
      <c r="L2424">
        <v>2400</v>
      </c>
      <c r="M2424">
        <v>2400</v>
      </c>
      <c r="N2424">
        <v>0</v>
      </c>
    </row>
    <row r="2425" spans="1:14" x14ac:dyDescent="0.25">
      <c r="A2425">
        <v>1650.740172</v>
      </c>
      <c r="B2425" s="1">
        <f>DATE(2014,11,6) + TIME(17,45,50)</f>
        <v>41949.740162037036</v>
      </c>
      <c r="C2425">
        <v>80</v>
      </c>
      <c r="D2425">
        <v>79.535446167000003</v>
      </c>
      <c r="E2425">
        <v>50</v>
      </c>
      <c r="F2425">
        <v>49.990966796999999</v>
      </c>
      <c r="G2425">
        <v>1329.6811522999999</v>
      </c>
      <c r="H2425">
        <v>1328.6263428</v>
      </c>
      <c r="I2425">
        <v>1338.1989745999999</v>
      </c>
      <c r="J2425">
        <v>1335.7943115</v>
      </c>
      <c r="K2425">
        <v>0</v>
      </c>
      <c r="L2425">
        <v>2400</v>
      </c>
      <c r="M2425">
        <v>2400</v>
      </c>
      <c r="N2425">
        <v>0</v>
      </c>
    </row>
    <row r="2426" spans="1:14" x14ac:dyDescent="0.25">
      <c r="A2426">
        <v>1651.0360900000001</v>
      </c>
      <c r="B2426" s="1">
        <f>DATE(2014,11,7) + TIME(0,51,58)</f>
        <v>41950.036087962966</v>
      </c>
      <c r="C2426">
        <v>80</v>
      </c>
      <c r="D2426">
        <v>79.515602111999996</v>
      </c>
      <c r="E2426">
        <v>50</v>
      </c>
      <c r="F2426">
        <v>49.989662170000003</v>
      </c>
      <c r="G2426">
        <v>1329.6682129000001</v>
      </c>
      <c r="H2426">
        <v>1328.6081543</v>
      </c>
      <c r="I2426">
        <v>1338.1951904</v>
      </c>
      <c r="J2426">
        <v>1335.7922363</v>
      </c>
      <c r="K2426">
        <v>0</v>
      </c>
      <c r="L2426">
        <v>2400</v>
      </c>
      <c r="M2426">
        <v>2400</v>
      </c>
      <c r="N2426">
        <v>0</v>
      </c>
    </row>
    <row r="2427" spans="1:14" x14ac:dyDescent="0.25">
      <c r="A2427">
        <v>1651.3449599999999</v>
      </c>
      <c r="B2427" s="1">
        <f>DATE(2014,11,7) + TIME(8,16,44)</f>
        <v>41950.344953703701</v>
      </c>
      <c r="C2427">
        <v>80</v>
      </c>
      <c r="D2427">
        <v>79.494834900000001</v>
      </c>
      <c r="E2427">
        <v>50</v>
      </c>
      <c r="F2427">
        <v>49.988697051999999</v>
      </c>
      <c r="G2427">
        <v>1329.6549072</v>
      </c>
      <c r="H2427">
        <v>1328.5893555</v>
      </c>
      <c r="I2427">
        <v>1338.1912841999999</v>
      </c>
      <c r="J2427">
        <v>1335.7901611</v>
      </c>
      <c r="K2427">
        <v>0</v>
      </c>
      <c r="L2427">
        <v>2400</v>
      </c>
      <c r="M2427">
        <v>2400</v>
      </c>
      <c r="N2427">
        <v>0</v>
      </c>
    </row>
    <row r="2428" spans="1:14" x14ac:dyDescent="0.25">
      <c r="A2428">
        <v>1651.6679099999999</v>
      </c>
      <c r="B2428" s="1">
        <f>DATE(2014,11,7) + TIME(16,1,47)</f>
        <v>41950.667905092596</v>
      </c>
      <c r="C2428">
        <v>80</v>
      </c>
      <c r="D2428">
        <v>79.473098754999995</v>
      </c>
      <c r="E2428">
        <v>50</v>
      </c>
      <c r="F2428">
        <v>49.987983704000001</v>
      </c>
      <c r="G2428">
        <v>1329.6411132999999</v>
      </c>
      <c r="H2428">
        <v>1328.5700684000001</v>
      </c>
      <c r="I2428">
        <v>1338.1873779</v>
      </c>
      <c r="J2428">
        <v>1335.7879639</v>
      </c>
      <c r="K2428">
        <v>0</v>
      </c>
      <c r="L2428">
        <v>2400</v>
      </c>
      <c r="M2428">
        <v>2400</v>
      </c>
      <c r="N2428">
        <v>0</v>
      </c>
    </row>
    <row r="2429" spans="1:14" x14ac:dyDescent="0.25">
      <c r="A2429">
        <v>1652.0061909999999</v>
      </c>
      <c r="B2429" s="1">
        <f>DATE(2014,11,8) + TIME(0,8,54)</f>
        <v>41951.006180555552</v>
      </c>
      <c r="C2429">
        <v>80</v>
      </c>
      <c r="D2429">
        <v>79.450347899999997</v>
      </c>
      <c r="E2429">
        <v>50</v>
      </c>
      <c r="F2429">
        <v>49.987453461000001</v>
      </c>
      <c r="G2429">
        <v>1329.6270752</v>
      </c>
      <c r="H2429">
        <v>1328.5501709</v>
      </c>
      <c r="I2429">
        <v>1338.1833495999999</v>
      </c>
      <c r="J2429">
        <v>1335.7856445</v>
      </c>
      <c r="K2429">
        <v>0</v>
      </c>
      <c r="L2429">
        <v>2400</v>
      </c>
      <c r="M2429">
        <v>2400</v>
      </c>
      <c r="N2429">
        <v>0</v>
      </c>
    </row>
    <row r="2430" spans="1:14" x14ac:dyDescent="0.25">
      <c r="A2430">
        <v>1652.361204</v>
      </c>
      <c r="B2430" s="1">
        <f>DATE(2014,11,8) + TIME(8,40,8)</f>
        <v>41951.361203703702</v>
      </c>
      <c r="C2430">
        <v>80</v>
      </c>
      <c r="D2430">
        <v>79.426528931000007</v>
      </c>
      <c r="E2430">
        <v>50</v>
      </c>
      <c r="F2430">
        <v>49.987060546999999</v>
      </c>
      <c r="G2430">
        <v>1329.6124268000001</v>
      </c>
      <c r="H2430">
        <v>1328.5296631000001</v>
      </c>
      <c r="I2430">
        <v>1338.1793213000001</v>
      </c>
      <c r="J2430">
        <v>1335.7833252</v>
      </c>
      <c r="K2430">
        <v>0</v>
      </c>
      <c r="L2430">
        <v>2400</v>
      </c>
      <c r="M2430">
        <v>2400</v>
      </c>
      <c r="N2430">
        <v>0</v>
      </c>
    </row>
    <row r="2431" spans="1:14" x14ac:dyDescent="0.25">
      <c r="A2431">
        <v>1652.7345230000001</v>
      </c>
      <c r="B2431" s="1">
        <f>DATE(2014,11,8) + TIME(17,37,42)</f>
        <v>41951.734513888892</v>
      </c>
      <c r="C2431">
        <v>80</v>
      </c>
      <c r="D2431">
        <v>79.401596068999993</v>
      </c>
      <c r="E2431">
        <v>50</v>
      </c>
      <c r="F2431">
        <v>49.986766815000003</v>
      </c>
      <c r="G2431">
        <v>1329.597168</v>
      </c>
      <c r="H2431">
        <v>1328.5084228999999</v>
      </c>
      <c r="I2431">
        <v>1338.1751709</v>
      </c>
      <c r="J2431">
        <v>1335.7810059000001</v>
      </c>
      <c r="K2431">
        <v>0</v>
      </c>
      <c r="L2431">
        <v>2400</v>
      </c>
      <c r="M2431">
        <v>2400</v>
      </c>
      <c r="N2431">
        <v>0</v>
      </c>
    </row>
    <row r="2432" spans="1:14" x14ac:dyDescent="0.25">
      <c r="A2432">
        <v>1653.1279179999999</v>
      </c>
      <c r="B2432" s="1">
        <f>DATE(2014,11,9) + TIME(3,4,12)</f>
        <v>41952.127916666665</v>
      </c>
      <c r="C2432">
        <v>80</v>
      </c>
      <c r="D2432">
        <v>79.375488281000003</v>
      </c>
      <c r="E2432">
        <v>50</v>
      </c>
      <c r="F2432">
        <v>49.986549377000003</v>
      </c>
      <c r="G2432">
        <v>1329.581543</v>
      </c>
      <c r="H2432">
        <v>1328.4864502</v>
      </c>
      <c r="I2432">
        <v>1338.1710204999999</v>
      </c>
      <c r="J2432">
        <v>1335.7785644999999</v>
      </c>
      <c r="K2432">
        <v>0</v>
      </c>
      <c r="L2432">
        <v>2400</v>
      </c>
      <c r="M2432">
        <v>2400</v>
      </c>
      <c r="N2432">
        <v>0</v>
      </c>
    </row>
    <row r="2433" spans="1:14" x14ac:dyDescent="0.25">
      <c r="A2433">
        <v>1653.543404</v>
      </c>
      <c r="B2433" s="1">
        <f>DATE(2014,11,9) + TIME(13,2,30)</f>
        <v>41952.543402777781</v>
      </c>
      <c r="C2433">
        <v>80</v>
      </c>
      <c r="D2433">
        <v>79.348136901999993</v>
      </c>
      <c r="E2433">
        <v>50</v>
      </c>
      <c r="F2433">
        <v>49.986381530999999</v>
      </c>
      <c r="G2433">
        <v>1329.5651855000001</v>
      </c>
      <c r="H2433">
        <v>1328.463501</v>
      </c>
      <c r="I2433">
        <v>1338.1668701000001</v>
      </c>
      <c r="J2433">
        <v>1335.776001</v>
      </c>
      <c r="K2433">
        <v>0</v>
      </c>
      <c r="L2433">
        <v>2400</v>
      </c>
      <c r="M2433">
        <v>2400</v>
      </c>
      <c r="N2433">
        <v>0</v>
      </c>
    </row>
    <row r="2434" spans="1:14" x14ac:dyDescent="0.25">
      <c r="A2434">
        <v>1653.9832759999999</v>
      </c>
      <c r="B2434" s="1">
        <f>DATE(2014,11,9) + TIME(23,35,55)</f>
        <v>41952.983275462961</v>
      </c>
      <c r="C2434">
        <v>80</v>
      </c>
      <c r="D2434">
        <v>79.319465636999993</v>
      </c>
      <c r="E2434">
        <v>50</v>
      </c>
      <c r="F2434">
        <v>49.986251830999997</v>
      </c>
      <c r="G2434">
        <v>1329.5480957</v>
      </c>
      <c r="H2434">
        <v>1328.4396973</v>
      </c>
      <c r="I2434">
        <v>1338.1624756000001</v>
      </c>
      <c r="J2434">
        <v>1335.7734375</v>
      </c>
      <c r="K2434">
        <v>0</v>
      </c>
      <c r="L2434">
        <v>2400</v>
      </c>
      <c r="M2434">
        <v>2400</v>
      </c>
      <c r="N2434">
        <v>0</v>
      </c>
    </row>
    <row r="2435" spans="1:14" x14ac:dyDescent="0.25">
      <c r="A2435">
        <v>1654.4502259999999</v>
      </c>
      <c r="B2435" s="1">
        <f>DATE(2014,11,10) + TIME(10,48,19)</f>
        <v>41953.450219907405</v>
      </c>
      <c r="C2435">
        <v>80</v>
      </c>
      <c r="D2435">
        <v>79.289375304999993</v>
      </c>
      <c r="E2435">
        <v>50</v>
      </c>
      <c r="F2435">
        <v>49.986152648999997</v>
      </c>
      <c r="G2435">
        <v>1329.5302733999999</v>
      </c>
      <c r="H2435">
        <v>1328.4147949000001</v>
      </c>
      <c r="I2435">
        <v>1338.1582031</v>
      </c>
      <c r="J2435">
        <v>1335.770874</v>
      </c>
      <c r="K2435">
        <v>0</v>
      </c>
      <c r="L2435">
        <v>2400</v>
      </c>
      <c r="M2435">
        <v>2400</v>
      </c>
      <c r="N2435">
        <v>0</v>
      </c>
    </row>
    <row r="2436" spans="1:14" x14ac:dyDescent="0.25">
      <c r="A2436">
        <v>1654.9472949999999</v>
      </c>
      <c r="B2436" s="1">
        <f>DATE(2014,11,10) + TIME(22,44,6)</f>
        <v>41953.947291666664</v>
      </c>
      <c r="C2436">
        <v>80</v>
      </c>
      <c r="D2436">
        <v>79.257774353000002</v>
      </c>
      <c r="E2436">
        <v>50</v>
      </c>
      <c r="F2436">
        <v>49.986076355000002</v>
      </c>
      <c r="G2436">
        <v>1329.5115966999999</v>
      </c>
      <c r="H2436">
        <v>1328.3887939000001</v>
      </c>
      <c r="I2436">
        <v>1338.1536865</v>
      </c>
      <c r="J2436">
        <v>1335.7680664</v>
      </c>
      <c r="K2436">
        <v>0</v>
      </c>
      <c r="L2436">
        <v>2400</v>
      </c>
      <c r="M2436">
        <v>2400</v>
      </c>
      <c r="N2436">
        <v>0</v>
      </c>
    </row>
    <row r="2437" spans="1:14" x14ac:dyDescent="0.25">
      <c r="A2437">
        <v>1655.4681929999999</v>
      </c>
      <c r="B2437" s="1">
        <f>DATE(2014,11,11) + TIME(11,14,11)</f>
        <v>41954.468182870369</v>
      </c>
      <c r="C2437">
        <v>80</v>
      </c>
      <c r="D2437">
        <v>79.224906920999999</v>
      </c>
      <c r="E2437">
        <v>50</v>
      </c>
      <c r="F2437">
        <v>49.98601532</v>
      </c>
      <c r="G2437">
        <v>1329.4920654</v>
      </c>
      <c r="H2437">
        <v>1328.3615723</v>
      </c>
      <c r="I2437">
        <v>1338.1491699000001</v>
      </c>
      <c r="J2437">
        <v>1335.7653809000001</v>
      </c>
      <c r="K2437">
        <v>0</v>
      </c>
      <c r="L2437">
        <v>2400</v>
      </c>
      <c r="M2437">
        <v>2400</v>
      </c>
      <c r="N2437">
        <v>0</v>
      </c>
    </row>
    <row r="2438" spans="1:14" x14ac:dyDescent="0.25">
      <c r="A2438">
        <v>1656.0114450000001</v>
      </c>
      <c r="B2438" s="1">
        <f>DATE(2014,11,12) + TIME(0,16,28)</f>
        <v>41955.011435185188</v>
      </c>
      <c r="C2438">
        <v>80</v>
      </c>
      <c r="D2438">
        <v>79.190917968999997</v>
      </c>
      <c r="E2438">
        <v>50</v>
      </c>
      <c r="F2438">
        <v>49.985965729</v>
      </c>
      <c r="G2438">
        <v>1329.4718018000001</v>
      </c>
      <c r="H2438">
        <v>1328.3332519999999</v>
      </c>
      <c r="I2438">
        <v>1338.1446533000001</v>
      </c>
      <c r="J2438">
        <v>1335.7624512</v>
      </c>
      <c r="K2438">
        <v>0</v>
      </c>
      <c r="L2438">
        <v>2400</v>
      </c>
      <c r="M2438">
        <v>2400</v>
      </c>
      <c r="N2438">
        <v>0</v>
      </c>
    </row>
    <row r="2439" spans="1:14" x14ac:dyDescent="0.25">
      <c r="A2439">
        <v>1656.568473</v>
      </c>
      <c r="B2439" s="1">
        <f>DATE(2014,11,12) + TIME(13,38,36)</f>
        <v>41955.568472222221</v>
      </c>
      <c r="C2439">
        <v>80</v>
      </c>
      <c r="D2439">
        <v>79.156204224000007</v>
      </c>
      <c r="E2439">
        <v>50</v>
      </c>
      <c r="F2439">
        <v>49.985927582000002</v>
      </c>
      <c r="G2439">
        <v>1329.4509277</v>
      </c>
      <c r="H2439">
        <v>1328.3041992000001</v>
      </c>
      <c r="I2439">
        <v>1338.1401367000001</v>
      </c>
      <c r="J2439">
        <v>1335.7596435999999</v>
      </c>
      <c r="K2439">
        <v>0</v>
      </c>
      <c r="L2439">
        <v>2400</v>
      </c>
      <c r="M2439">
        <v>2400</v>
      </c>
      <c r="N2439">
        <v>0</v>
      </c>
    </row>
    <row r="2440" spans="1:14" x14ac:dyDescent="0.25">
      <c r="A2440">
        <v>1657.1365189999999</v>
      </c>
      <c r="B2440" s="1">
        <f>DATE(2014,11,13) + TIME(3,16,35)</f>
        <v>41956.136516203704</v>
      </c>
      <c r="C2440">
        <v>80</v>
      </c>
      <c r="D2440">
        <v>79.121017456000004</v>
      </c>
      <c r="E2440">
        <v>50</v>
      </c>
      <c r="F2440">
        <v>49.985897064</v>
      </c>
      <c r="G2440">
        <v>1329.4296875</v>
      </c>
      <c r="H2440">
        <v>1328.2746582</v>
      </c>
      <c r="I2440">
        <v>1338.1357422000001</v>
      </c>
      <c r="J2440">
        <v>1335.7568358999999</v>
      </c>
      <c r="K2440">
        <v>0</v>
      </c>
      <c r="L2440">
        <v>2400</v>
      </c>
      <c r="M2440">
        <v>2400</v>
      </c>
      <c r="N2440">
        <v>0</v>
      </c>
    </row>
    <row r="2441" spans="1:14" x14ac:dyDescent="0.25">
      <c r="A2441">
        <v>1657.713966</v>
      </c>
      <c r="B2441" s="1">
        <f>DATE(2014,11,13) + TIME(17,8,6)</f>
        <v>41956.713958333334</v>
      </c>
      <c r="C2441">
        <v>80</v>
      </c>
      <c r="D2441">
        <v>79.085525512999993</v>
      </c>
      <c r="E2441">
        <v>50</v>
      </c>
      <c r="F2441">
        <v>49.985874176000003</v>
      </c>
      <c r="G2441">
        <v>1329.4082031</v>
      </c>
      <c r="H2441">
        <v>1328.2448730000001</v>
      </c>
      <c r="I2441">
        <v>1338.1313477000001</v>
      </c>
      <c r="J2441">
        <v>1335.7541504000001</v>
      </c>
      <c r="K2441">
        <v>0</v>
      </c>
      <c r="L2441">
        <v>2400</v>
      </c>
      <c r="M2441">
        <v>2400</v>
      </c>
      <c r="N2441">
        <v>0</v>
      </c>
    </row>
    <row r="2442" spans="1:14" x14ac:dyDescent="0.25">
      <c r="A2442">
        <v>1658.3023029999999</v>
      </c>
      <c r="B2442" s="1">
        <f>DATE(2014,11,14) + TIME(7,15,18)</f>
        <v>41957.302291666667</v>
      </c>
      <c r="C2442">
        <v>80</v>
      </c>
      <c r="D2442">
        <v>79.049758910999998</v>
      </c>
      <c r="E2442">
        <v>50</v>
      </c>
      <c r="F2442">
        <v>49.985855102999999</v>
      </c>
      <c r="G2442">
        <v>1329.3864745999999</v>
      </c>
      <c r="H2442">
        <v>1328.2148437999999</v>
      </c>
      <c r="I2442">
        <v>1338.1271973</v>
      </c>
      <c r="J2442">
        <v>1335.7514647999999</v>
      </c>
      <c r="K2442">
        <v>0</v>
      </c>
      <c r="L2442">
        <v>2400</v>
      </c>
      <c r="M2442">
        <v>2400</v>
      </c>
      <c r="N2442">
        <v>0</v>
      </c>
    </row>
    <row r="2443" spans="1:14" x14ac:dyDescent="0.25">
      <c r="A2443">
        <v>1658.9029129999999</v>
      </c>
      <c r="B2443" s="1">
        <f>DATE(2014,11,14) + TIME(21,40,11)</f>
        <v>41957.902905092589</v>
      </c>
      <c r="C2443">
        <v>80</v>
      </c>
      <c r="D2443">
        <v>79.013717650999993</v>
      </c>
      <c r="E2443">
        <v>50</v>
      </c>
      <c r="F2443">
        <v>49.985836028999998</v>
      </c>
      <c r="G2443">
        <v>1329.3647461</v>
      </c>
      <c r="H2443">
        <v>1328.1845702999999</v>
      </c>
      <c r="I2443">
        <v>1338.1231689000001</v>
      </c>
      <c r="J2443">
        <v>1335.7489014</v>
      </c>
      <c r="K2443">
        <v>0</v>
      </c>
      <c r="L2443">
        <v>2400</v>
      </c>
      <c r="M2443">
        <v>2400</v>
      </c>
      <c r="N2443">
        <v>0</v>
      </c>
    </row>
    <row r="2444" spans="1:14" x14ac:dyDescent="0.25">
      <c r="A2444">
        <v>1659.517245</v>
      </c>
      <c r="B2444" s="1">
        <f>DATE(2014,11,15) + TIME(12,24,50)</f>
        <v>41958.517245370371</v>
      </c>
      <c r="C2444">
        <v>80</v>
      </c>
      <c r="D2444">
        <v>78.977348328000005</v>
      </c>
      <c r="E2444">
        <v>50</v>
      </c>
      <c r="F2444">
        <v>49.985824585000003</v>
      </c>
      <c r="G2444">
        <v>1329.3427733999999</v>
      </c>
      <c r="H2444">
        <v>1328.1540527</v>
      </c>
      <c r="I2444">
        <v>1338.1191406</v>
      </c>
      <c r="J2444">
        <v>1335.7462158000001</v>
      </c>
      <c r="K2444">
        <v>0</v>
      </c>
      <c r="L2444">
        <v>2400</v>
      </c>
      <c r="M2444">
        <v>2400</v>
      </c>
      <c r="N2444">
        <v>0</v>
      </c>
    </row>
    <row r="2445" spans="1:14" x14ac:dyDescent="0.25">
      <c r="A2445">
        <v>1660.1468219999999</v>
      </c>
      <c r="B2445" s="1">
        <f>DATE(2014,11,16) + TIME(3,31,25)</f>
        <v>41959.146817129629</v>
      </c>
      <c r="C2445">
        <v>80</v>
      </c>
      <c r="D2445">
        <v>78.940605164000004</v>
      </c>
      <c r="E2445">
        <v>50</v>
      </c>
      <c r="F2445">
        <v>49.985809326000002</v>
      </c>
      <c r="G2445">
        <v>1329.3204346</v>
      </c>
      <c r="H2445">
        <v>1328.1231689000001</v>
      </c>
      <c r="I2445">
        <v>1338.1152344</v>
      </c>
      <c r="J2445">
        <v>1335.7437743999999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1660.793257</v>
      </c>
      <c r="B2446" s="1">
        <f>DATE(2014,11,16) + TIME(19,2,17)</f>
        <v>41959.793252314812</v>
      </c>
      <c r="C2446">
        <v>80</v>
      </c>
      <c r="D2446">
        <v>78.903404236</v>
      </c>
      <c r="E2446">
        <v>50</v>
      </c>
      <c r="F2446">
        <v>49.985797882</v>
      </c>
      <c r="G2446">
        <v>1329.2979736</v>
      </c>
      <c r="H2446">
        <v>1328.0920410000001</v>
      </c>
      <c r="I2446">
        <v>1338.1114502</v>
      </c>
      <c r="J2446">
        <v>1335.7412108999999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1661.4582929999999</v>
      </c>
      <c r="B2447" s="1">
        <f>DATE(2014,11,17) + TIME(10,59,56)</f>
        <v>41960.458287037036</v>
      </c>
      <c r="C2447">
        <v>80</v>
      </c>
      <c r="D2447">
        <v>78.865676879999995</v>
      </c>
      <c r="E2447">
        <v>50</v>
      </c>
      <c r="F2447">
        <v>49.985790252999998</v>
      </c>
      <c r="G2447">
        <v>1329.2751464999999</v>
      </c>
      <c r="H2447">
        <v>1328.0604248</v>
      </c>
      <c r="I2447">
        <v>1338.1076660000001</v>
      </c>
      <c r="J2447">
        <v>1335.7387695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1662.143785</v>
      </c>
      <c r="B2448" s="1">
        <f>DATE(2014,11,18) + TIME(3,27,3)</f>
        <v>41961.143784722219</v>
      </c>
      <c r="C2448">
        <v>80</v>
      </c>
      <c r="D2448">
        <v>78.827323914000004</v>
      </c>
      <c r="E2448">
        <v>50</v>
      </c>
      <c r="F2448">
        <v>49.985778809000003</v>
      </c>
      <c r="G2448">
        <v>1329.2518310999999</v>
      </c>
      <c r="H2448">
        <v>1328.0283202999999</v>
      </c>
      <c r="I2448">
        <v>1338.1038818</v>
      </c>
      <c r="J2448">
        <v>1335.7363281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1662.851731</v>
      </c>
      <c r="B2449" s="1">
        <f>DATE(2014,11,18) + TIME(20,26,29)</f>
        <v>41961.851724537039</v>
      </c>
      <c r="C2449">
        <v>80</v>
      </c>
      <c r="D2449">
        <v>78.788246154999996</v>
      </c>
      <c r="E2449">
        <v>50</v>
      </c>
      <c r="F2449">
        <v>49.985771178999997</v>
      </c>
      <c r="G2449">
        <v>1329.2282714999999</v>
      </c>
      <c r="H2449">
        <v>1327.9957274999999</v>
      </c>
      <c r="I2449">
        <v>1338.1002197</v>
      </c>
      <c r="J2449">
        <v>1335.7338867000001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1663.5841809999999</v>
      </c>
      <c r="B2450" s="1">
        <f>DATE(2014,11,19) + TIME(14,1,13)</f>
        <v>41962.584178240744</v>
      </c>
      <c r="C2450">
        <v>80</v>
      </c>
      <c r="D2450">
        <v>78.748359679999993</v>
      </c>
      <c r="E2450">
        <v>50</v>
      </c>
      <c r="F2450">
        <v>49.985763550000001</v>
      </c>
      <c r="G2450">
        <v>1329.2041016000001</v>
      </c>
      <c r="H2450">
        <v>1327.9624022999999</v>
      </c>
      <c r="I2450">
        <v>1338.0965576000001</v>
      </c>
      <c r="J2450">
        <v>1335.7315673999999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1664.3433339999999</v>
      </c>
      <c r="B2451" s="1">
        <f>DATE(2014,11,20) + TIME(8,14,24)</f>
        <v>41963.343333333331</v>
      </c>
      <c r="C2451">
        <v>80</v>
      </c>
      <c r="D2451">
        <v>78.707565308</v>
      </c>
      <c r="E2451">
        <v>50</v>
      </c>
      <c r="F2451">
        <v>49.985752106</v>
      </c>
      <c r="G2451">
        <v>1329.1794434000001</v>
      </c>
      <c r="H2451">
        <v>1327.9284668</v>
      </c>
      <c r="I2451">
        <v>1338.0928954999999</v>
      </c>
      <c r="J2451">
        <v>1335.729126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1665.131944</v>
      </c>
      <c r="B2452" s="1">
        <f>DATE(2014,11,21) + TIME(3,9,59)</f>
        <v>41964.131932870368</v>
      </c>
      <c r="C2452">
        <v>80</v>
      </c>
      <c r="D2452">
        <v>78.665733337000006</v>
      </c>
      <c r="E2452">
        <v>50</v>
      </c>
      <c r="F2452">
        <v>49.985744476000001</v>
      </c>
      <c r="G2452">
        <v>1329.1542969</v>
      </c>
      <c r="H2452">
        <v>1327.8937988</v>
      </c>
      <c r="I2452">
        <v>1338.0892334</v>
      </c>
      <c r="J2452">
        <v>1335.7268065999999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1665.9529</v>
      </c>
      <c r="B2453" s="1">
        <f>DATE(2014,11,21) + TIME(22,52,10)</f>
        <v>41964.952893518515</v>
      </c>
      <c r="C2453">
        <v>80</v>
      </c>
      <c r="D2453">
        <v>78.622756957999997</v>
      </c>
      <c r="E2453">
        <v>50</v>
      </c>
      <c r="F2453">
        <v>49.985736846999998</v>
      </c>
      <c r="G2453">
        <v>1329.128418</v>
      </c>
      <c r="H2453">
        <v>1327.8581543</v>
      </c>
      <c r="I2453">
        <v>1338.0856934000001</v>
      </c>
      <c r="J2453">
        <v>1335.7243652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1666.8094180000001</v>
      </c>
      <c r="B2454" s="1">
        <f>DATE(2014,11,22) + TIME(19,25,33)</f>
        <v>41965.80940972222</v>
      </c>
      <c r="C2454">
        <v>80</v>
      </c>
      <c r="D2454">
        <v>78.578498839999995</v>
      </c>
      <c r="E2454">
        <v>50</v>
      </c>
      <c r="F2454">
        <v>49.985729218000003</v>
      </c>
      <c r="G2454">
        <v>1329.1018065999999</v>
      </c>
      <c r="H2454">
        <v>1327.8216553</v>
      </c>
      <c r="I2454">
        <v>1338.0820312000001</v>
      </c>
      <c r="J2454">
        <v>1335.7220459</v>
      </c>
      <c r="K2454">
        <v>0</v>
      </c>
      <c r="L2454">
        <v>2400</v>
      </c>
      <c r="M2454">
        <v>2400</v>
      </c>
      <c r="N2454">
        <v>0</v>
      </c>
    </row>
    <row r="2455" spans="1:14" x14ac:dyDescent="0.25">
      <c r="A2455">
        <v>1667.705119</v>
      </c>
      <c r="B2455" s="1">
        <f>DATE(2014,11,23) + TIME(16,55,22)</f>
        <v>41966.70511574074</v>
      </c>
      <c r="C2455">
        <v>80</v>
      </c>
      <c r="D2455">
        <v>78.532821655000006</v>
      </c>
      <c r="E2455">
        <v>50</v>
      </c>
      <c r="F2455">
        <v>49.985721587999997</v>
      </c>
      <c r="G2455">
        <v>1329.0743408000001</v>
      </c>
      <c r="H2455">
        <v>1327.7840576000001</v>
      </c>
      <c r="I2455">
        <v>1338.0783690999999</v>
      </c>
      <c r="J2455">
        <v>1335.7196045000001</v>
      </c>
      <c r="K2455">
        <v>0</v>
      </c>
      <c r="L2455">
        <v>2400</v>
      </c>
      <c r="M2455">
        <v>2400</v>
      </c>
      <c r="N2455">
        <v>0</v>
      </c>
    </row>
    <row r="2456" spans="1:14" x14ac:dyDescent="0.25">
      <c r="A2456">
        <v>1668.6440729999999</v>
      </c>
      <c r="B2456" s="1">
        <f>DATE(2014,11,24) + TIME(15,27,27)</f>
        <v>41967.644062500003</v>
      </c>
      <c r="C2456">
        <v>80</v>
      </c>
      <c r="D2456">
        <v>78.485565186000002</v>
      </c>
      <c r="E2456">
        <v>50</v>
      </c>
      <c r="F2456">
        <v>49.985713959000002</v>
      </c>
      <c r="G2456">
        <v>1329.0460204999999</v>
      </c>
      <c r="H2456">
        <v>1327.7452393000001</v>
      </c>
      <c r="I2456">
        <v>1338.0748291</v>
      </c>
      <c r="J2456">
        <v>1335.7172852000001</v>
      </c>
      <c r="K2456">
        <v>0</v>
      </c>
      <c r="L2456">
        <v>2400</v>
      </c>
      <c r="M2456">
        <v>2400</v>
      </c>
      <c r="N2456">
        <v>0</v>
      </c>
    </row>
    <row r="2457" spans="1:14" x14ac:dyDescent="0.25">
      <c r="A2457">
        <v>1669.604908</v>
      </c>
      <c r="B2457" s="1">
        <f>DATE(2014,11,25) + TIME(14,31,4)</f>
        <v>41968.604907407411</v>
      </c>
      <c r="C2457">
        <v>80</v>
      </c>
      <c r="D2457">
        <v>78.437133789000001</v>
      </c>
      <c r="E2457">
        <v>50</v>
      </c>
      <c r="F2457">
        <v>49.985706329000003</v>
      </c>
      <c r="G2457">
        <v>1329.0168457</v>
      </c>
      <c r="H2457">
        <v>1327.7053223</v>
      </c>
      <c r="I2457">
        <v>1338.0711670000001</v>
      </c>
      <c r="J2457">
        <v>1335.7148437999999</v>
      </c>
      <c r="K2457">
        <v>0</v>
      </c>
      <c r="L2457">
        <v>2400</v>
      </c>
      <c r="M2457">
        <v>2400</v>
      </c>
      <c r="N2457">
        <v>0</v>
      </c>
    </row>
    <row r="2458" spans="1:14" x14ac:dyDescent="0.25">
      <c r="A2458">
        <v>1670.593247</v>
      </c>
      <c r="B2458" s="1">
        <f>DATE(2014,11,26) + TIME(14,14,16)</f>
        <v>41969.593240740738</v>
      </c>
      <c r="C2458">
        <v>80</v>
      </c>
      <c r="D2458">
        <v>78.387702942000004</v>
      </c>
      <c r="E2458">
        <v>50</v>
      </c>
      <c r="F2458">
        <v>49.9856987</v>
      </c>
      <c r="G2458">
        <v>1328.9870605000001</v>
      </c>
      <c r="H2458">
        <v>1327.6645507999999</v>
      </c>
      <c r="I2458">
        <v>1338.0675048999999</v>
      </c>
      <c r="J2458">
        <v>1335.7125243999999</v>
      </c>
      <c r="K2458">
        <v>0</v>
      </c>
      <c r="L2458">
        <v>2400</v>
      </c>
      <c r="M2458">
        <v>2400</v>
      </c>
      <c r="N2458">
        <v>0</v>
      </c>
    </row>
    <row r="2459" spans="1:14" x14ac:dyDescent="0.25">
      <c r="A2459">
        <v>1671.6171280000001</v>
      </c>
      <c r="B2459" s="1">
        <f>DATE(2014,11,27) + TIME(14,48,39)</f>
        <v>41970.617118055554</v>
      </c>
      <c r="C2459">
        <v>80</v>
      </c>
      <c r="D2459">
        <v>78.337165833</v>
      </c>
      <c r="E2459">
        <v>50</v>
      </c>
      <c r="F2459">
        <v>49.985691070999998</v>
      </c>
      <c r="G2459">
        <v>1328.9567870999999</v>
      </c>
      <c r="H2459">
        <v>1327.6231689000001</v>
      </c>
      <c r="I2459">
        <v>1338.0639647999999</v>
      </c>
      <c r="J2459">
        <v>1335.7102050999999</v>
      </c>
      <c r="K2459">
        <v>0</v>
      </c>
      <c r="L2459">
        <v>2400</v>
      </c>
      <c r="M2459">
        <v>2400</v>
      </c>
      <c r="N2459">
        <v>0</v>
      </c>
    </row>
    <row r="2460" spans="1:14" x14ac:dyDescent="0.25">
      <c r="A2460">
        <v>1672.6855539999999</v>
      </c>
      <c r="B2460" s="1">
        <f>DATE(2014,11,28) + TIME(16,27,11)</f>
        <v>41971.685543981483</v>
      </c>
      <c r="C2460">
        <v>80</v>
      </c>
      <c r="D2460">
        <v>78.285247803000004</v>
      </c>
      <c r="E2460">
        <v>50</v>
      </c>
      <c r="F2460">
        <v>49.985683440999999</v>
      </c>
      <c r="G2460">
        <v>1328.9259033000001</v>
      </c>
      <c r="H2460">
        <v>1327.5809326000001</v>
      </c>
      <c r="I2460">
        <v>1338.0604248</v>
      </c>
      <c r="J2460">
        <v>1335.7080077999999</v>
      </c>
      <c r="K2460">
        <v>0</v>
      </c>
      <c r="L2460">
        <v>2400</v>
      </c>
      <c r="M2460">
        <v>2400</v>
      </c>
      <c r="N2460">
        <v>0</v>
      </c>
    </row>
    <row r="2461" spans="1:14" x14ac:dyDescent="0.25">
      <c r="A2461">
        <v>1673.795511</v>
      </c>
      <c r="B2461" s="1">
        <f>DATE(2014,11,29) + TIME(19,5,32)</f>
        <v>41972.79550925926</v>
      </c>
      <c r="C2461">
        <v>80</v>
      </c>
      <c r="D2461">
        <v>78.231834411999998</v>
      </c>
      <c r="E2461">
        <v>50</v>
      </c>
      <c r="F2461">
        <v>49.985675811999997</v>
      </c>
      <c r="G2461">
        <v>1328.8941649999999</v>
      </c>
      <c r="H2461">
        <v>1327.5375977000001</v>
      </c>
      <c r="I2461">
        <v>1338.0568848</v>
      </c>
      <c r="J2461">
        <v>1335.7056885</v>
      </c>
      <c r="K2461">
        <v>0</v>
      </c>
      <c r="L2461">
        <v>2400</v>
      </c>
      <c r="M2461">
        <v>2400</v>
      </c>
      <c r="N2461">
        <v>0</v>
      </c>
    </row>
    <row r="2462" spans="1:14" x14ac:dyDescent="0.25">
      <c r="A2462">
        <v>1674.928952</v>
      </c>
      <c r="B2462" s="1">
        <f>DATE(2014,11,30) + TIME(22,17,41)</f>
        <v>41973.928946759261</v>
      </c>
      <c r="C2462">
        <v>80</v>
      </c>
      <c r="D2462">
        <v>78.177230835000003</v>
      </c>
      <c r="E2462">
        <v>50</v>
      </c>
      <c r="F2462">
        <v>49.985668181999998</v>
      </c>
      <c r="G2462">
        <v>1328.8615723</v>
      </c>
      <c r="H2462">
        <v>1327.4931641000001</v>
      </c>
      <c r="I2462">
        <v>1338.0533447</v>
      </c>
      <c r="J2462">
        <v>1335.7034911999999</v>
      </c>
      <c r="K2462">
        <v>0</v>
      </c>
      <c r="L2462">
        <v>2400</v>
      </c>
      <c r="M2462">
        <v>2400</v>
      </c>
      <c r="N2462">
        <v>0</v>
      </c>
    </row>
    <row r="2463" spans="1:14" x14ac:dyDescent="0.25">
      <c r="A2463">
        <v>1675</v>
      </c>
      <c r="B2463" s="1">
        <f>DATE(2014,12,1) + TIME(0,0,0)</f>
        <v>41974</v>
      </c>
      <c r="C2463">
        <v>80</v>
      </c>
      <c r="D2463">
        <v>78.169143676999994</v>
      </c>
      <c r="E2463">
        <v>50</v>
      </c>
      <c r="F2463">
        <v>49.985664368000002</v>
      </c>
      <c r="G2463">
        <v>1328.8334961</v>
      </c>
      <c r="H2463">
        <v>1327.4548339999999</v>
      </c>
      <c r="I2463">
        <v>1338.0495605000001</v>
      </c>
      <c r="J2463">
        <v>1335.7011719</v>
      </c>
      <c r="K2463">
        <v>0</v>
      </c>
      <c r="L2463">
        <v>2400</v>
      </c>
      <c r="M2463">
        <v>2400</v>
      </c>
      <c r="N2463">
        <v>0</v>
      </c>
    </row>
    <row r="2464" spans="1:14" x14ac:dyDescent="0.25">
      <c r="A2464">
        <v>1676.1650609999999</v>
      </c>
      <c r="B2464" s="1">
        <f>DATE(2014,12,2) + TIME(3,57,41)</f>
        <v>41975.16505787037</v>
      </c>
      <c r="C2464">
        <v>80</v>
      </c>
      <c r="D2464">
        <v>78.116355896000002</v>
      </c>
      <c r="E2464">
        <v>50</v>
      </c>
      <c r="F2464">
        <v>49.985660553000002</v>
      </c>
      <c r="G2464">
        <v>1328.8249512</v>
      </c>
      <c r="H2464">
        <v>1327.4431152</v>
      </c>
      <c r="I2464">
        <v>1338.0496826000001</v>
      </c>
      <c r="J2464">
        <v>1335.7011719</v>
      </c>
      <c r="K2464">
        <v>0</v>
      </c>
      <c r="L2464">
        <v>2400</v>
      </c>
      <c r="M2464">
        <v>2400</v>
      </c>
      <c r="N2464">
        <v>0</v>
      </c>
    </row>
    <row r="2465" spans="1:14" x14ac:dyDescent="0.25">
      <c r="A2465">
        <v>1677.371519</v>
      </c>
      <c r="B2465" s="1">
        <f>DATE(2014,12,3) + TIME(8,54,59)</f>
        <v>41976.371516203704</v>
      </c>
      <c r="C2465">
        <v>80</v>
      </c>
      <c r="D2465">
        <v>78.060646057</v>
      </c>
      <c r="E2465">
        <v>50</v>
      </c>
      <c r="F2465">
        <v>49.985656738000003</v>
      </c>
      <c r="G2465">
        <v>1328.7924805</v>
      </c>
      <c r="H2465">
        <v>1327.3989257999999</v>
      </c>
      <c r="I2465">
        <v>1338.0462646000001</v>
      </c>
      <c r="J2465">
        <v>1335.6989745999999</v>
      </c>
      <c r="K2465">
        <v>0</v>
      </c>
      <c r="L2465">
        <v>2400</v>
      </c>
      <c r="M2465">
        <v>2400</v>
      </c>
      <c r="N2465">
        <v>0</v>
      </c>
    </row>
    <row r="2466" spans="1:14" x14ac:dyDescent="0.25">
      <c r="A2466">
        <v>1678.597767</v>
      </c>
      <c r="B2466" s="1">
        <f>DATE(2014,12,4) + TIME(14,20,47)</f>
        <v>41977.597766203704</v>
      </c>
      <c r="C2466">
        <v>80</v>
      </c>
      <c r="D2466">
        <v>78.003189086999996</v>
      </c>
      <c r="E2466">
        <v>50</v>
      </c>
      <c r="F2466">
        <v>49.985649109000001</v>
      </c>
      <c r="G2466">
        <v>1328.7586670000001</v>
      </c>
      <c r="H2466">
        <v>1327.3530272999999</v>
      </c>
      <c r="I2466">
        <v>1338.0428466999999</v>
      </c>
      <c r="J2466">
        <v>1335.6968993999999</v>
      </c>
      <c r="K2466">
        <v>0</v>
      </c>
      <c r="L2466">
        <v>2400</v>
      </c>
      <c r="M2466">
        <v>2400</v>
      </c>
      <c r="N2466">
        <v>0</v>
      </c>
    </row>
    <row r="2467" spans="1:14" x14ac:dyDescent="0.25">
      <c r="A2467">
        <v>1679.854059</v>
      </c>
      <c r="B2467" s="1">
        <f>DATE(2014,12,5) + TIME(20,29,50)</f>
        <v>41978.854050925926</v>
      </c>
      <c r="C2467">
        <v>80</v>
      </c>
      <c r="D2467">
        <v>77.944557189999998</v>
      </c>
      <c r="E2467">
        <v>50</v>
      </c>
      <c r="F2467">
        <v>49.985641479000002</v>
      </c>
      <c r="G2467">
        <v>1328.7243652</v>
      </c>
      <c r="H2467">
        <v>1327.3065185999999</v>
      </c>
      <c r="I2467">
        <v>1338.0395507999999</v>
      </c>
      <c r="J2467">
        <v>1335.6948242000001</v>
      </c>
      <c r="K2467">
        <v>0</v>
      </c>
      <c r="L2467">
        <v>2400</v>
      </c>
      <c r="M2467">
        <v>2400</v>
      </c>
      <c r="N2467">
        <v>0</v>
      </c>
    </row>
    <row r="2468" spans="1:14" x14ac:dyDescent="0.25">
      <c r="A2468">
        <v>1681.1450110000001</v>
      </c>
      <c r="B2468" s="1">
        <f>DATE(2014,12,7) + TIME(3,28,48)</f>
        <v>41980.144999999997</v>
      </c>
      <c r="C2468">
        <v>80</v>
      </c>
      <c r="D2468">
        <v>77.884735106999997</v>
      </c>
      <c r="E2468">
        <v>50</v>
      </c>
      <c r="F2468">
        <v>49.985633849999999</v>
      </c>
      <c r="G2468">
        <v>1328.6896973</v>
      </c>
      <c r="H2468">
        <v>1327.2592772999999</v>
      </c>
      <c r="I2468">
        <v>1338.0362548999999</v>
      </c>
      <c r="J2468">
        <v>1335.692749</v>
      </c>
      <c r="K2468">
        <v>0</v>
      </c>
      <c r="L2468">
        <v>2400</v>
      </c>
      <c r="M2468">
        <v>2400</v>
      </c>
      <c r="N2468">
        <v>0</v>
      </c>
    </row>
    <row r="2469" spans="1:14" x14ac:dyDescent="0.25">
      <c r="A2469">
        <v>1682.4701689999999</v>
      </c>
      <c r="B2469" s="1">
        <f>DATE(2014,12,8) + TIME(11,17,2)</f>
        <v>41981.47016203704</v>
      </c>
      <c r="C2469">
        <v>80</v>
      </c>
      <c r="D2469">
        <v>77.823646545000003</v>
      </c>
      <c r="E2469">
        <v>50</v>
      </c>
      <c r="F2469">
        <v>49.985626220999997</v>
      </c>
      <c r="G2469">
        <v>1328.6544189000001</v>
      </c>
      <c r="H2469">
        <v>1327.2115478999999</v>
      </c>
      <c r="I2469">
        <v>1338.0330810999999</v>
      </c>
      <c r="J2469">
        <v>1335.6907959</v>
      </c>
      <c r="K2469">
        <v>0</v>
      </c>
      <c r="L2469">
        <v>2400</v>
      </c>
      <c r="M2469">
        <v>2400</v>
      </c>
      <c r="N2469">
        <v>0</v>
      </c>
    </row>
    <row r="2470" spans="1:14" x14ac:dyDescent="0.25">
      <c r="A2470">
        <v>1683.8384779999999</v>
      </c>
      <c r="B2470" s="1">
        <f>DATE(2014,12,9) + TIME(20,7,24)</f>
        <v>41982.838472222225</v>
      </c>
      <c r="C2470">
        <v>80</v>
      </c>
      <c r="D2470">
        <v>77.761100768999995</v>
      </c>
      <c r="E2470">
        <v>50</v>
      </c>
      <c r="F2470">
        <v>49.985618590999998</v>
      </c>
      <c r="G2470">
        <v>1328.6187743999999</v>
      </c>
      <c r="H2470">
        <v>1327.1633300999999</v>
      </c>
      <c r="I2470">
        <v>1338.0297852000001</v>
      </c>
      <c r="J2470">
        <v>1335.6889647999999</v>
      </c>
      <c r="K2470">
        <v>0</v>
      </c>
      <c r="L2470">
        <v>2400</v>
      </c>
      <c r="M2470">
        <v>2400</v>
      </c>
      <c r="N2470">
        <v>0</v>
      </c>
    </row>
    <row r="2471" spans="1:14" x14ac:dyDescent="0.25">
      <c r="A2471">
        <v>1685.2598800000001</v>
      </c>
      <c r="B2471" s="1">
        <f>DATE(2014,12,11) + TIME(6,14,13)</f>
        <v>41984.259872685187</v>
      </c>
      <c r="C2471">
        <v>80</v>
      </c>
      <c r="D2471">
        <v>77.696708678999997</v>
      </c>
      <c r="E2471">
        <v>50</v>
      </c>
      <c r="F2471">
        <v>49.985610962000003</v>
      </c>
      <c r="G2471">
        <v>1328.5826416</v>
      </c>
      <c r="H2471">
        <v>1327.1142577999999</v>
      </c>
      <c r="I2471">
        <v>1338.0266113</v>
      </c>
      <c r="J2471">
        <v>1335.6870117000001</v>
      </c>
      <c r="K2471">
        <v>0</v>
      </c>
      <c r="L2471">
        <v>2400</v>
      </c>
      <c r="M2471">
        <v>2400</v>
      </c>
      <c r="N2471">
        <v>0</v>
      </c>
    </row>
    <row r="2472" spans="1:14" x14ac:dyDescent="0.25">
      <c r="A2472">
        <v>1686.7460120000001</v>
      </c>
      <c r="B2472" s="1">
        <f>DATE(2014,12,12) + TIME(17,54,15)</f>
        <v>41985.746006944442</v>
      </c>
      <c r="C2472">
        <v>80</v>
      </c>
      <c r="D2472">
        <v>77.629981994999994</v>
      </c>
      <c r="E2472">
        <v>50</v>
      </c>
      <c r="F2472">
        <v>49.985607147000003</v>
      </c>
      <c r="G2472">
        <v>1328.5455322</v>
      </c>
      <c r="H2472">
        <v>1327.0640868999999</v>
      </c>
      <c r="I2472">
        <v>1338.0234375</v>
      </c>
      <c r="J2472">
        <v>1335.6851807</v>
      </c>
      <c r="K2472">
        <v>0</v>
      </c>
      <c r="L2472">
        <v>2400</v>
      </c>
      <c r="M2472">
        <v>2400</v>
      </c>
      <c r="N2472">
        <v>0</v>
      </c>
    </row>
    <row r="2473" spans="1:14" x14ac:dyDescent="0.25">
      <c r="A2473">
        <v>1688.2560080000001</v>
      </c>
      <c r="B2473" s="1">
        <f>DATE(2014,12,14) + TIME(6,8,39)</f>
        <v>41987.256006944444</v>
      </c>
      <c r="C2473">
        <v>80</v>
      </c>
      <c r="D2473">
        <v>77.561088561999995</v>
      </c>
      <c r="E2473">
        <v>50</v>
      </c>
      <c r="F2473">
        <v>49.985599518000001</v>
      </c>
      <c r="G2473">
        <v>1328.5075684000001</v>
      </c>
      <c r="H2473">
        <v>1327.0128173999999</v>
      </c>
      <c r="I2473">
        <v>1338.0201416</v>
      </c>
      <c r="J2473">
        <v>1335.6832274999999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1689.7906599999999</v>
      </c>
      <c r="B2474" s="1">
        <f>DATE(2014,12,15) + TIME(18,58,33)</f>
        <v>41988.790659722225</v>
      </c>
      <c r="C2474">
        <v>80</v>
      </c>
      <c r="D2474">
        <v>77.490722656000003</v>
      </c>
      <c r="E2474">
        <v>50</v>
      </c>
      <c r="F2474">
        <v>49.985591888000002</v>
      </c>
      <c r="G2474">
        <v>1328.4691161999999</v>
      </c>
      <c r="H2474">
        <v>1326.9610596</v>
      </c>
      <c r="I2474">
        <v>1338.0169678</v>
      </c>
      <c r="J2474">
        <v>1335.6813964999999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1691.3503450000001</v>
      </c>
      <c r="B2475" s="1">
        <f>DATE(2014,12,17) + TIME(8,24,29)</f>
        <v>41990.350335648145</v>
      </c>
      <c r="C2475">
        <v>80</v>
      </c>
      <c r="D2475">
        <v>77.419029236</v>
      </c>
      <c r="E2475">
        <v>50</v>
      </c>
      <c r="F2475">
        <v>49.985584258999999</v>
      </c>
      <c r="G2475">
        <v>1328.4306641000001</v>
      </c>
      <c r="H2475">
        <v>1326.9089355000001</v>
      </c>
      <c r="I2475">
        <v>1338.0137939000001</v>
      </c>
      <c r="J2475">
        <v>1335.6796875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1692.9476830000001</v>
      </c>
      <c r="B2476" s="1">
        <f>DATE(2014,12,18) + TIME(22,44,39)</f>
        <v>41991.94767361111</v>
      </c>
      <c r="C2476">
        <v>80</v>
      </c>
      <c r="D2476">
        <v>77.345817565999994</v>
      </c>
      <c r="E2476">
        <v>50</v>
      </c>
      <c r="F2476">
        <v>49.985576629999997</v>
      </c>
      <c r="G2476">
        <v>1328.3919678</v>
      </c>
      <c r="H2476">
        <v>1326.8569336</v>
      </c>
      <c r="I2476">
        <v>1338.0107422000001</v>
      </c>
      <c r="J2476">
        <v>1335.6779785000001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1694.595943</v>
      </c>
      <c r="B2477" s="1">
        <f>DATE(2014,12,20) + TIME(14,18,9)</f>
        <v>41993.595937500002</v>
      </c>
      <c r="C2477">
        <v>80</v>
      </c>
      <c r="D2477">
        <v>77.270553589000002</v>
      </c>
      <c r="E2477">
        <v>50</v>
      </c>
      <c r="F2477">
        <v>49.985568999999998</v>
      </c>
      <c r="G2477">
        <v>1328.3531493999999</v>
      </c>
      <c r="H2477">
        <v>1326.8044434000001</v>
      </c>
      <c r="I2477">
        <v>1338.0076904</v>
      </c>
      <c r="J2477">
        <v>1335.6763916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1696.309835</v>
      </c>
      <c r="B2478" s="1">
        <f>DATE(2014,12,22) + TIME(7,26,9)</f>
        <v>41995.30982638889</v>
      </c>
      <c r="C2478">
        <v>80</v>
      </c>
      <c r="D2478">
        <v>77.192543029999996</v>
      </c>
      <c r="E2478">
        <v>50</v>
      </c>
      <c r="F2478">
        <v>49.985561371000003</v>
      </c>
      <c r="G2478">
        <v>1328.3137207</v>
      </c>
      <c r="H2478">
        <v>1326.7514647999999</v>
      </c>
      <c r="I2478">
        <v>1338.0046387</v>
      </c>
      <c r="J2478">
        <v>1335.6746826000001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1698.0884679999999</v>
      </c>
      <c r="B2479" s="1">
        <f>DATE(2014,12,24) + TIME(2,7,23)</f>
        <v>41997.088460648149</v>
      </c>
      <c r="C2479">
        <v>80</v>
      </c>
      <c r="D2479">
        <v>77.111198424999998</v>
      </c>
      <c r="E2479">
        <v>50</v>
      </c>
      <c r="F2479">
        <v>49.985553740999997</v>
      </c>
      <c r="G2479">
        <v>1328.2735596</v>
      </c>
      <c r="H2479">
        <v>1326.6975098</v>
      </c>
      <c r="I2479">
        <v>1338.0015868999999</v>
      </c>
      <c r="J2479">
        <v>1335.6730957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1699.897518</v>
      </c>
      <c r="B2480" s="1">
        <f>DATE(2014,12,25) + TIME(21,32,25)</f>
        <v>41998.897511574076</v>
      </c>
      <c r="C2480">
        <v>80</v>
      </c>
      <c r="D2480">
        <v>77.026679993000002</v>
      </c>
      <c r="E2480">
        <v>50</v>
      </c>
      <c r="F2480">
        <v>49.985546112000002</v>
      </c>
      <c r="G2480">
        <v>1328.2325439000001</v>
      </c>
      <c r="H2480">
        <v>1326.6424560999999</v>
      </c>
      <c r="I2480">
        <v>1337.9985352000001</v>
      </c>
      <c r="J2480">
        <v>1335.6715088000001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1701.7494529999999</v>
      </c>
      <c r="B2481" s="1">
        <f>DATE(2014,12,27) + TIME(17,59,12)</f>
        <v>42000.749444444446</v>
      </c>
      <c r="C2481">
        <v>80</v>
      </c>
      <c r="D2481">
        <v>76.939559936999999</v>
      </c>
      <c r="E2481">
        <v>50</v>
      </c>
      <c r="F2481">
        <v>49.985538482999999</v>
      </c>
      <c r="G2481">
        <v>1328.1911620999999</v>
      </c>
      <c r="H2481">
        <v>1326.5869141000001</v>
      </c>
      <c r="I2481">
        <v>1337.9954834</v>
      </c>
      <c r="J2481">
        <v>1335.6700439000001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1703.6290690000001</v>
      </c>
      <c r="B2482" s="1">
        <f>DATE(2014,12,29) + TIME(15,5,51)</f>
        <v>42002.629062499997</v>
      </c>
      <c r="C2482">
        <v>80</v>
      </c>
      <c r="D2482">
        <v>76.849800110000004</v>
      </c>
      <c r="E2482">
        <v>50</v>
      </c>
      <c r="F2482">
        <v>49.985530853</v>
      </c>
      <c r="G2482">
        <v>1328.1496582</v>
      </c>
      <c r="H2482">
        <v>1326.53125</v>
      </c>
      <c r="I2482">
        <v>1337.9924315999999</v>
      </c>
      <c r="J2482">
        <v>1335.6685791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1705.5524600000001</v>
      </c>
      <c r="B2483" s="1">
        <f>DATE(2014,12,31) + TIME(13,15,32)</f>
        <v>42004.552453703705</v>
      </c>
      <c r="C2483">
        <v>80</v>
      </c>
      <c r="D2483">
        <v>76.757476807000003</v>
      </c>
      <c r="E2483">
        <v>50</v>
      </c>
      <c r="F2483">
        <v>49.985523223999998</v>
      </c>
      <c r="G2483">
        <v>1328.1079102000001</v>
      </c>
      <c r="H2483">
        <v>1326.4753418</v>
      </c>
      <c r="I2483">
        <v>1337.9895019999999</v>
      </c>
      <c r="J2483">
        <v>1335.6671143000001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1706</v>
      </c>
      <c r="B2484" s="1">
        <f>DATE(2015,1,1) + TIME(0,0,0)</f>
        <v>42005</v>
      </c>
      <c r="C2484">
        <v>80</v>
      </c>
      <c r="D2484">
        <v>76.705070496000005</v>
      </c>
      <c r="E2484">
        <v>50</v>
      </c>
      <c r="F2484">
        <v>49.985515593999999</v>
      </c>
      <c r="G2484">
        <v>1328.0684814000001</v>
      </c>
      <c r="H2484">
        <v>1326.4238281</v>
      </c>
      <c r="I2484">
        <v>1337.9862060999999</v>
      </c>
      <c r="J2484">
        <v>1335.6654053</v>
      </c>
      <c r="K2484">
        <v>0</v>
      </c>
      <c r="L2484">
        <v>2400</v>
      </c>
      <c r="M2484">
        <v>2400</v>
      </c>
      <c r="N2484">
        <v>0</v>
      </c>
    </row>
    <row r="2485" spans="1:14" x14ac:dyDescent="0.25">
      <c r="A2485">
        <v>1707.9836110000001</v>
      </c>
      <c r="B2485" s="1">
        <f>DATE(2015,1,2) + TIME(23,36,23)</f>
        <v>42006.983599537038</v>
      </c>
      <c r="C2485">
        <v>80</v>
      </c>
      <c r="D2485">
        <v>76.632217406999999</v>
      </c>
      <c r="E2485">
        <v>50</v>
      </c>
      <c r="F2485">
        <v>49.985511780000003</v>
      </c>
      <c r="G2485">
        <v>1328.0505370999999</v>
      </c>
      <c r="H2485">
        <v>1326.3964844</v>
      </c>
      <c r="I2485">
        <v>1337.9858397999999</v>
      </c>
      <c r="J2485">
        <v>1335.6654053</v>
      </c>
      <c r="K2485">
        <v>0</v>
      </c>
      <c r="L2485">
        <v>2400</v>
      </c>
      <c r="M2485">
        <v>2400</v>
      </c>
      <c r="N2485">
        <v>0</v>
      </c>
    </row>
    <row r="2486" spans="1:14" x14ac:dyDescent="0.25">
      <c r="A2486">
        <v>1710.039904</v>
      </c>
      <c r="B2486" s="1">
        <f>DATE(2015,1,5) + TIME(0,57,27)</f>
        <v>42009.039895833332</v>
      </c>
      <c r="C2486">
        <v>80</v>
      </c>
      <c r="D2486">
        <v>76.537918090999995</v>
      </c>
      <c r="E2486">
        <v>50</v>
      </c>
      <c r="F2486">
        <v>49.985504149999997</v>
      </c>
      <c r="G2486">
        <v>1328.0128173999999</v>
      </c>
      <c r="H2486">
        <v>1326.3475341999999</v>
      </c>
      <c r="I2486">
        <v>1337.9829102000001</v>
      </c>
      <c r="J2486">
        <v>1335.6640625</v>
      </c>
      <c r="K2486">
        <v>0</v>
      </c>
      <c r="L2486">
        <v>2400</v>
      </c>
      <c r="M2486">
        <v>2400</v>
      </c>
      <c r="N2486">
        <v>0</v>
      </c>
    </row>
    <row r="2487" spans="1:14" x14ac:dyDescent="0.25">
      <c r="A2487">
        <v>1712.173131</v>
      </c>
      <c r="B2487" s="1">
        <f>DATE(2015,1,7) + TIME(4,9,18)</f>
        <v>42011.173125000001</v>
      </c>
      <c r="C2487">
        <v>80</v>
      </c>
      <c r="D2487">
        <v>76.434509277000004</v>
      </c>
      <c r="E2487">
        <v>50</v>
      </c>
      <c r="F2487">
        <v>49.985496521000002</v>
      </c>
      <c r="G2487">
        <v>1327.9711914</v>
      </c>
      <c r="H2487">
        <v>1326.2922363</v>
      </c>
      <c r="I2487">
        <v>1337.9799805</v>
      </c>
      <c r="J2487">
        <v>1335.6627197</v>
      </c>
      <c r="K2487">
        <v>0</v>
      </c>
      <c r="L2487">
        <v>2400</v>
      </c>
      <c r="M2487">
        <v>2400</v>
      </c>
      <c r="N2487">
        <v>0</v>
      </c>
    </row>
    <row r="2488" spans="1:14" x14ac:dyDescent="0.25">
      <c r="A2488">
        <v>1714.398584</v>
      </c>
      <c r="B2488" s="1">
        <f>DATE(2015,1,9) + TIME(9,33,57)</f>
        <v>42013.398576388892</v>
      </c>
      <c r="C2488">
        <v>80</v>
      </c>
      <c r="D2488">
        <v>76.324676514000004</v>
      </c>
      <c r="E2488">
        <v>50</v>
      </c>
      <c r="F2488">
        <v>49.985488891999999</v>
      </c>
      <c r="G2488">
        <v>1327.9278564000001</v>
      </c>
      <c r="H2488">
        <v>1326.2346190999999</v>
      </c>
      <c r="I2488">
        <v>1337.9769286999999</v>
      </c>
      <c r="J2488">
        <v>1335.6613769999999</v>
      </c>
      <c r="K2488">
        <v>0</v>
      </c>
      <c r="L2488">
        <v>2400</v>
      </c>
      <c r="M2488">
        <v>2400</v>
      </c>
      <c r="N2488">
        <v>0</v>
      </c>
    </row>
    <row r="2489" spans="1:14" x14ac:dyDescent="0.25">
      <c r="A2489">
        <v>1716.6446579999999</v>
      </c>
      <c r="B2489" s="1">
        <f>DATE(2015,1,11) + TIME(15,28,18)</f>
        <v>42015.644652777781</v>
      </c>
      <c r="C2489">
        <v>80</v>
      </c>
      <c r="D2489">
        <v>76.209220885999997</v>
      </c>
      <c r="E2489">
        <v>50</v>
      </c>
      <c r="F2489">
        <v>49.985481262</v>
      </c>
      <c r="G2489">
        <v>1327.8835449000001</v>
      </c>
      <c r="H2489">
        <v>1326.1755370999999</v>
      </c>
      <c r="I2489">
        <v>1337.9738769999999</v>
      </c>
      <c r="J2489">
        <v>1335.6600341999999</v>
      </c>
      <c r="K2489">
        <v>0</v>
      </c>
      <c r="L2489">
        <v>2400</v>
      </c>
      <c r="M2489">
        <v>2400</v>
      </c>
      <c r="N2489">
        <v>0</v>
      </c>
    </row>
    <row r="2490" spans="1:14" x14ac:dyDescent="0.25">
      <c r="A2490">
        <v>1718.9314569999999</v>
      </c>
      <c r="B2490" s="1">
        <f>DATE(2015,1,13) + TIME(22,21,17)</f>
        <v>42017.931446759256</v>
      </c>
      <c r="C2490">
        <v>80</v>
      </c>
      <c r="D2490">
        <v>76.090141295999999</v>
      </c>
      <c r="E2490">
        <v>50</v>
      </c>
      <c r="F2490">
        <v>49.985473632999998</v>
      </c>
      <c r="G2490">
        <v>1327.8389893000001</v>
      </c>
      <c r="H2490">
        <v>1326.1162108999999</v>
      </c>
      <c r="I2490">
        <v>1337.9708252</v>
      </c>
      <c r="J2490">
        <v>1335.6588135</v>
      </c>
      <c r="K2490">
        <v>0</v>
      </c>
      <c r="L2490">
        <v>2400</v>
      </c>
      <c r="M2490">
        <v>2400</v>
      </c>
      <c r="N2490">
        <v>0</v>
      </c>
    </row>
    <row r="2491" spans="1:14" x14ac:dyDescent="0.25">
      <c r="A2491">
        <v>1721.2798110000001</v>
      </c>
      <c r="B2491" s="1">
        <f>DATE(2015,1,16) + TIME(6,42,55)</f>
        <v>42020.279803240737</v>
      </c>
      <c r="C2491">
        <v>80</v>
      </c>
      <c r="D2491">
        <v>75.966964722</v>
      </c>
      <c r="E2491">
        <v>50</v>
      </c>
      <c r="F2491">
        <v>49.985462189000003</v>
      </c>
      <c r="G2491">
        <v>1327.7945557</v>
      </c>
      <c r="H2491">
        <v>1326.0568848</v>
      </c>
      <c r="I2491">
        <v>1337.9677733999999</v>
      </c>
      <c r="J2491">
        <v>1335.6575928</v>
      </c>
      <c r="K2491">
        <v>0</v>
      </c>
      <c r="L2491">
        <v>2400</v>
      </c>
      <c r="M2491">
        <v>2400</v>
      </c>
      <c r="N2491">
        <v>0</v>
      </c>
    </row>
    <row r="2492" spans="1:14" x14ac:dyDescent="0.25">
      <c r="A2492">
        <v>1723.694211</v>
      </c>
      <c r="B2492" s="1">
        <f>DATE(2015,1,18) + TIME(16,39,39)</f>
        <v>42022.694201388891</v>
      </c>
      <c r="C2492">
        <v>80</v>
      </c>
      <c r="D2492">
        <v>75.838775635000005</v>
      </c>
      <c r="E2492">
        <v>50</v>
      </c>
      <c r="F2492">
        <v>49.985454558999997</v>
      </c>
      <c r="G2492">
        <v>1327.7498779</v>
      </c>
      <c r="H2492">
        <v>1325.9974365</v>
      </c>
      <c r="I2492">
        <v>1337.9648437999999</v>
      </c>
      <c r="J2492">
        <v>1335.6563721</v>
      </c>
      <c r="K2492">
        <v>0</v>
      </c>
      <c r="L2492">
        <v>2400</v>
      </c>
      <c r="M2492">
        <v>2400</v>
      </c>
      <c r="N2492">
        <v>0</v>
      </c>
    </row>
    <row r="2493" spans="1:14" x14ac:dyDescent="0.25">
      <c r="A2493">
        <v>1726.1595809999999</v>
      </c>
      <c r="B2493" s="1">
        <f>DATE(2015,1,21) + TIME(3,49,47)</f>
        <v>42025.159571759257</v>
      </c>
      <c r="C2493">
        <v>80</v>
      </c>
      <c r="D2493">
        <v>75.705261230000005</v>
      </c>
      <c r="E2493">
        <v>50</v>
      </c>
      <c r="F2493">
        <v>49.985446930000002</v>
      </c>
      <c r="G2493">
        <v>1327.7049560999999</v>
      </c>
      <c r="H2493">
        <v>1325.9377440999999</v>
      </c>
      <c r="I2493">
        <v>1337.9617920000001</v>
      </c>
      <c r="J2493">
        <v>1335.6551514</v>
      </c>
      <c r="K2493">
        <v>0</v>
      </c>
      <c r="L2493">
        <v>2400</v>
      </c>
      <c r="M2493">
        <v>2400</v>
      </c>
      <c r="N2493">
        <v>0</v>
      </c>
    </row>
    <row r="2494" spans="1:14" x14ac:dyDescent="0.25">
      <c r="A2494">
        <v>1728.6725240000001</v>
      </c>
      <c r="B2494" s="1">
        <f>DATE(2015,1,23) + TIME(16,8,26)</f>
        <v>42027.672523148147</v>
      </c>
      <c r="C2494">
        <v>80</v>
      </c>
      <c r="D2494">
        <v>75.566802979000002</v>
      </c>
      <c r="E2494">
        <v>50</v>
      </c>
      <c r="F2494">
        <v>49.985439301</v>
      </c>
      <c r="G2494">
        <v>1327.6599120999999</v>
      </c>
      <c r="H2494">
        <v>1325.8778076000001</v>
      </c>
      <c r="I2494">
        <v>1337.9587402</v>
      </c>
      <c r="J2494">
        <v>1335.6540527</v>
      </c>
      <c r="K2494">
        <v>0</v>
      </c>
      <c r="L2494">
        <v>2400</v>
      </c>
      <c r="M2494">
        <v>2400</v>
      </c>
      <c r="N2494">
        <v>0</v>
      </c>
    </row>
    <row r="2495" spans="1:14" x14ac:dyDescent="0.25">
      <c r="A2495">
        <v>1731.252516</v>
      </c>
      <c r="B2495" s="1">
        <f>DATE(2015,1,26) + TIME(6,3,37)</f>
        <v>42030.252511574072</v>
      </c>
      <c r="C2495">
        <v>80</v>
      </c>
      <c r="D2495">
        <v>75.423301696999999</v>
      </c>
      <c r="E2495">
        <v>50</v>
      </c>
      <c r="F2495">
        <v>49.985427856000001</v>
      </c>
      <c r="G2495">
        <v>1327.6148682</v>
      </c>
      <c r="H2495">
        <v>1325.8179932</v>
      </c>
      <c r="I2495">
        <v>1337.9556885</v>
      </c>
      <c r="J2495">
        <v>1335.652832</v>
      </c>
      <c r="K2495">
        <v>0</v>
      </c>
      <c r="L2495">
        <v>2400</v>
      </c>
      <c r="M2495">
        <v>2400</v>
      </c>
      <c r="N2495">
        <v>0</v>
      </c>
    </row>
    <row r="2496" spans="1:14" x14ac:dyDescent="0.25">
      <c r="A2496">
        <v>1733.9205899999999</v>
      </c>
      <c r="B2496" s="1">
        <f>DATE(2015,1,28) + TIME(22,5,39)</f>
        <v>42032.920590277776</v>
      </c>
      <c r="C2496">
        <v>80</v>
      </c>
      <c r="D2496">
        <v>75.273773192999997</v>
      </c>
      <c r="E2496">
        <v>50</v>
      </c>
      <c r="F2496">
        <v>49.985420226999999</v>
      </c>
      <c r="G2496">
        <v>1327.5695800999999</v>
      </c>
      <c r="H2496">
        <v>1325.7579346</v>
      </c>
      <c r="I2496">
        <v>1337.9526367000001</v>
      </c>
      <c r="J2496">
        <v>1335.6517334</v>
      </c>
      <c r="K2496">
        <v>0</v>
      </c>
      <c r="L2496">
        <v>2400</v>
      </c>
      <c r="M2496">
        <v>2400</v>
      </c>
      <c r="N2496">
        <v>0</v>
      </c>
    </row>
    <row r="2497" spans="1:14" x14ac:dyDescent="0.25">
      <c r="A2497">
        <v>1736.6713319999999</v>
      </c>
      <c r="B2497" s="1">
        <f>DATE(2015,1,31) + TIME(16,6,43)</f>
        <v>42035.671331018515</v>
      </c>
      <c r="C2497">
        <v>80</v>
      </c>
      <c r="D2497">
        <v>75.117210388000004</v>
      </c>
      <c r="E2497">
        <v>50</v>
      </c>
      <c r="F2497">
        <v>49.985412598000003</v>
      </c>
      <c r="G2497">
        <v>1327.5239257999999</v>
      </c>
      <c r="H2497">
        <v>1325.6973877</v>
      </c>
      <c r="I2497">
        <v>1337.9495850000001</v>
      </c>
      <c r="J2497">
        <v>1335.6506348</v>
      </c>
      <c r="K2497">
        <v>0</v>
      </c>
      <c r="L2497">
        <v>2400</v>
      </c>
      <c r="M2497">
        <v>2400</v>
      </c>
      <c r="N2497">
        <v>0</v>
      </c>
    </row>
    <row r="2498" spans="1:14" x14ac:dyDescent="0.25">
      <c r="A2498">
        <v>1737</v>
      </c>
      <c r="B2498" s="1">
        <f>DATE(2015,2,1) + TIME(0,0,0)</f>
        <v>42036</v>
      </c>
      <c r="C2498">
        <v>80</v>
      </c>
      <c r="D2498">
        <v>75.045364379999995</v>
      </c>
      <c r="E2498">
        <v>50</v>
      </c>
      <c r="F2498">
        <v>49.985404967999997</v>
      </c>
      <c r="G2498">
        <v>1327.4805908000001</v>
      </c>
      <c r="H2498">
        <v>1325.6425781</v>
      </c>
      <c r="I2498">
        <v>1337.9464111</v>
      </c>
      <c r="J2498">
        <v>1335.6494141000001</v>
      </c>
      <c r="K2498">
        <v>0</v>
      </c>
      <c r="L2498">
        <v>2400</v>
      </c>
      <c r="M2498">
        <v>2400</v>
      </c>
      <c r="N2498">
        <v>0</v>
      </c>
    </row>
    <row r="2499" spans="1:14" x14ac:dyDescent="0.25">
      <c r="A2499">
        <v>1739.807791</v>
      </c>
      <c r="B2499" s="1">
        <f>DATE(2015,2,3) + TIME(19,23,13)</f>
        <v>42038.807789351849</v>
      </c>
      <c r="C2499">
        <v>80</v>
      </c>
      <c r="D2499">
        <v>74.924842834000003</v>
      </c>
      <c r="E2499">
        <v>50</v>
      </c>
      <c r="F2499">
        <v>49.985401154000002</v>
      </c>
      <c r="G2499">
        <v>1327.4663086</v>
      </c>
      <c r="H2499">
        <v>1325.6188964999999</v>
      </c>
      <c r="I2499">
        <v>1337.9461670000001</v>
      </c>
      <c r="J2499">
        <v>1335.6494141000001</v>
      </c>
      <c r="K2499">
        <v>0</v>
      </c>
      <c r="L2499">
        <v>2400</v>
      </c>
      <c r="M2499">
        <v>2400</v>
      </c>
      <c r="N2499">
        <v>0</v>
      </c>
    </row>
    <row r="2500" spans="1:14" x14ac:dyDescent="0.25">
      <c r="A2500">
        <v>1742.712262</v>
      </c>
      <c r="B2500" s="1">
        <f>DATE(2015,2,6) + TIME(17,5,39)</f>
        <v>42041.712256944447</v>
      </c>
      <c r="C2500">
        <v>80</v>
      </c>
      <c r="D2500">
        <v>74.761772156000006</v>
      </c>
      <c r="E2500">
        <v>50</v>
      </c>
      <c r="F2500">
        <v>49.985393524000003</v>
      </c>
      <c r="G2500">
        <v>1327.4251709</v>
      </c>
      <c r="H2500">
        <v>1325.5660399999999</v>
      </c>
      <c r="I2500">
        <v>1337.9429932</v>
      </c>
      <c r="J2500">
        <v>1335.6484375</v>
      </c>
      <c r="K2500">
        <v>0</v>
      </c>
      <c r="L2500">
        <v>2400</v>
      </c>
      <c r="M2500">
        <v>2400</v>
      </c>
      <c r="N2500">
        <v>0</v>
      </c>
    </row>
    <row r="2501" spans="1:14" x14ac:dyDescent="0.25">
      <c r="A2501">
        <v>1745.7323240000001</v>
      </c>
      <c r="B2501" s="1">
        <f>DATE(2015,2,9) + TIME(17,34,32)</f>
        <v>42044.732314814813</v>
      </c>
      <c r="C2501">
        <v>80</v>
      </c>
      <c r="D2501">
        <v>74.584259032999995</v>
      </c>
      <c r="E2501">
        <v>50</v>
      </c>
      <c r="F2501">
        <v>49.985385895</v>
      </c>
      <c r="G2501">
        <v>1327.3795166</v>
      </c>
      <c r="H2501">
        <v>1325.5062256000001</v>
      </c>
      <c r="I2501">
        <v>1337.9398193</v>
      </c>
      <c r="J2501">
        <v>1335.6473389</v>
      </c>
      <c r="K2501">
        <v>0</v>
      </c>
      <c r="L2501">
        <v>2400</v>
      </c>
      <c r="M2501">
        <v>2400</v>
      </c>
      <c r="N2501">
        <v>0</v>
      </c>
    </row>
    <row r="2502" spans="1:14" x14ac:dyDescent="0.25">
      <c r="A2502">
        <v>1748.7727850000001</v>
      </c>
      <c r="B2502" s="1">
        <f>DATE(2015,2,12) + TIME(18,32,48)</f>
        <v>42047.772777777776</v>
      </c>
      <c r="C2502">
        <v>80</v>
      </c>
      <c r="D2502">
        <v>74.397224425999994</v>
      </c>
      <c r="E2502">
        <v>50</v>
      </c>
      <c r="F2502">
        <v>49.985374450999998</v>
      </c>
      <c r="G2502">
        <v>1327.3327637</v>
      </c>
      <c r="H2502">
        <v>1325.4443358999999</v>
      </c>
      <c r="I2502">
        <v>1337.9365233999999</v>
      </c>
      <c r="J2502">
        <v>1335.6462402</v>
      </c>
      <c r="K2502">
        <v>0</v>
      </c>
      <c r="L2502">
        <v>2400</v>
      </c>
      <c r="M2502">
        <v>2400</v>
      </c>
      <c r="N2502">
        <v>0</v>
      </c>
    </row>
    <row r="2503" spans="1:14" x14ac:dyDescent="0.25">
      <c r="A2503">
        <v>1751.8449149999999</v>
      </c>
      <c r="B2503" s="1">
        <f>DATE(2015,2,15) + TIME(20,16,40)</f>
        <v>42050.844907407409</v>
      </c>
      <c r="C2503">
        <v>80</v>
      </c>
      <c r="D2503">
        <v>74.205291747999993</v>
      </c>
      <c r="E2503">
        <v>50</v>
      </c>
      <c r="F2503">
        <v>49.985366821</v>
      </c>
      <c r="G2503">
        <v>1327.2858887</v>
      </c>
      <c r="H2503">
        <v>1325.3824463000001</v>
      </c>
      <c r="I2503">
        <v>1337.9333495999999</v>
      </c>
      <c r="J2503">
        <v>1335.6451416</v>
      </c>
      <c r="K2503">
        <v>0</v>
      </c>
      <c r="L2503">
        <v>2400</v>
      </c>
      <c r="M2503">
        <v>2400</v>
      </c>
      <c r="N2503">
        <v>0</v>
      </c>
    </row>
    <row r="2504" spans="1:14" x14ac:dyDescent="0.25">
      <c r="A2504">
        <v>1754.9889009999999</v>
      </c>
      <c r="B2504" s="1">
        <f>DATE(2015,2,18) + TIME(23,44,1)</f>
        <v>42053.988900462966</v>
      </c>
      <c r="C2504">
        <v>80</v>
      </c>
      <c r="D2504">
        <v>74.008377074999999</v>
      </c>
      <c r="E2504">
        <v>50</v>
      </c>
      <c r="F2504">
        <v>49.985355376999998</v>
      </c>
      <c r="G2504">
        <v>1327.2397461</v>
      </c>
      <c r="H2504">
        <v>1325.3212891000001</v>
      </c>
      <c r="I2504">
        <v>1337.9301757999999</v>
      </c>
      <c r="J2504">
        <v>1335.6441649999999</v>
      </c>
      <c r="K2504">
        <v>0</v>
      </c>
      <c r="L2504">
        <v>2400</v>
      </c>
      <c r="M2504">
        <v>2400</v>
      </c>
      <c r="N2504">
        <v>0</v>
      </c>
    </row>
    <row r="2505" spans="1:14" x14ac:dyDescent="0.25">
      <c r="A2505">
        <v>1758.2357790000001</v>
      </c>
      <c r="B2505" s="1">
        <f>DATE(2015,2,22) + TIME(5,39,31)</f>
        <v>42057.235775462963</v>
      </c>
      <c r="C2505">
        <v>80</v>
      </c>
      <c r="D2505">
        <v>73.804313660000005</v>
      </c>
      <c r="E2505">
        <v>50</v>
      </c>
      <c r="F2505">
        <v>49.985347748000002</v>
      </c>
      <c r="G2505">
        <v>1327.1937256000001</v>
      </c>
      <c r="H2505">
        <v>1325.2604980000001</v>
      </c>
      <c r="I2505">
        <v>1337.9268798999999</v>
      </c>
      <c r="J2505">
        <v>1335.6430664</v>
      </c>
      <c r="K2505">
        <v>0</v>
      </c>
      <c r="L2505">
        <v>2400</v>
      </c>
      <c r="M2505">
        <v>2400</v>
      </c>
      <c r="N2505">
        <v>0</v>
      </c>
    </row>
    <row r="2506" spans="1:14" x14ac:dyDescent="0.25">
      <c r="A2506">
        <v>1761.6150889999999</v>
      </c>
      <c r="B2506" s="1">
        <f>DATE(2015,2,25) + TIME(14,45,43)</f>
        <v>42060.615081018521</v>
      </c>
      <c r="C2506">
        <v>80</v>
      </c>
      <c r="D2506">
        <v>73.591041564999998</v>
      </c>
      <c r="E2506">
        <v>50</v>
      </c>
      <c r="F2506">
        <v>49.985340118000003</v>
      </c>
      <c r="G2506">
        <v>1327.1474608999999</v>
      </c>
      <c r="H2506">
        <v>1325.1994629000001</v>
      </c>
      <c r="I2506">
        <v>1337.9235839999999</v>
      </c>
      <c r="J2506">
        <v>1335.6420897999999</v>
      </c>
      <c r="K2506">
        <v>0</v>
      </c>
      <c r="L2506">
        <v>2400</v>
      </c>
      <c r="M2506">
        <v>2400</v>
      </c>
      <c r="N2506">
        <v>0</v>
      </c>
    </row>
    <row r="2507" spans="1:14" x14ac:dyDescent="0.25">
      <c r="A2507">
        <v>1765</v>
      </c>
      <c r="B2507" s="1">
        <f>DATE(2015,3,1) + TIME(0,0,0)</f>
        <v>42064</v>
      </c>
      <c r="C2507">
        <v>80</v>
      </c>
      <c r="D2507">
        <v>73.367820739999999</v>
      </c>
      <c r="E2507">
        <v>50</v>
      </c>
      <c r="F2507">
        <v>49.985328674000002</v>
      </c>
      <c r="G2507">
        <v>1327.1007079999999</v>
      </c>
      <c r="H2507">
        <v>1325.1379394999999</v>
      </c>
      <c r="I2507">
        <v>1337.9202881000001</v>
      </c>
      <c r="J2507">
        <v>1335.6409911999999</v>
      </c>
      <c r="K2507">
        <v>0</v>
      </c>
      <c r="L2507">
        <v>2400</v>
      </c>
      <c r="M2507">
        <v>2400</v>
      </c>
      <c r="N2507">
        <v>0</v>
      </c>
    </row>
    <row r="2508" spans="1:14" x14ac:dyDescent="0.25">
      <c r="A2508">
        <v>1768.530127</v>
      </c>
      <c r="B2508" s="1">
        <f>DATE(2015,3,4) + TIME(12,43,22)</f>
        <v>42067.530115740738</v>
      </c>
      <c r="C2508">
        <v>80</v>
      </c>
      <c r="D2508">
        <v>73.139358521000005</v>
      </c>
      <c r="E2508">
        <v>50</v>
      </c>
      <c r="F2508">
        <v>49.985321044999999</v>
      </c>
      <c r="G2508">
        <v>1327.0543213000001</v>
      </c>
      <c r="H2508">
        <v>1325.0766602000001</v>
      </c>
      <c r="I2508">
        <v>1337.9168701000001</v>
      </c>
      <c r="J2508">
        <v>1335.6398925999999</v>
      </c>
      <c r="K2508">
        <v>0</v>
      </c>
      <c r="L2508">
        <v>2400</v>
      </c>
      <c r="M2508">
        <v>2400</v>
      </c>
      <c r="N2508">
        <v>0</v>
      </c>
    </row>
    <row r="2509" spans="1:14" x14ac:dyDescent="0.25">
      <c r="A2509">
        <v>1772.298485</v>
      </c>
      <c r="B2509" s="1">
        <f>DATE(2015,3,8) + TIME(7,9,49)</f>
        <v>42071.298483796294</v>
      </c>
      <c r="C2509">
        <v>80</v>
      </c>
      <c r="D2509">
        <v>72.898681640999996</v>
      </c>
      <c r="E2509">
        <v>50</v>
      </c>
      <c r="F2509">
        <v>49.985313415999997</v>
      </c>
      <c r="G2509">
        <v>1327.0078125</v>
      </c>
      <c r="H2509">
        <v>1325.0153809000001</v>
      </c>
      <c r="I2509">
        <v>1337.9134521000001</v>
      </c>
      <c r="J2509">
        <v>1335.6389160000001</v>
      </c>
      <c r="K2509">
        <v>0</v>
      </c>
      <c r="L2509">
        <v>2400</v>
      </c>
      <c r="M2509">
        <v>2400</v>
      </c>
      <c r="N2509">
        <v>0</v>
      </c>
    </row>
    <row r="2510" spans="1:14" x14ac:dyDescent="0.25">
      <c r="A2510">
        <v>1776.1186520000001</v>
      </c>
      <c r="B2510" s="1">
        <f>DATE(2015,3,12) + TIME(2,50,51)</f>
        <v>42075.118645833332</v>
      </c>
      <c r="C2510">
        <v>80</v>
      </c>
      <c r="D2510">
        <v>72.641410828000005</v>
      </c>
      <c r="E2510">
        <v>50</v>
      </c>
      <c r="F2510">
        <v>49.985301970999998</v>
      </c>
      <c r="G2510">
        <v>1326.9598389</v>
      </c>
      <c r="H2510">
        <v>1324.9525146000001</v>
      </c>
      <c r="I2510">
        <v>1337.9097899999999</v>
      </c>
      <c r="J2510">
        <v>1335.6376952999999</v>
      </c>
      <c r="K2510">
        <v>0</v>
      </c>
      <c r="L2510">
        <v>2400</v>
      </c>
      <c r="M2510">
        <v>2400</v>
      </c>
      <c r="N2510">
        <v>0</v>
      </c>
    </row>
    <row r="2511" spans="1:14" x14ac:dyDescent="0.25">
      <c r="A2511">
        <v>1779.955395</v>
      </c>
      <c r="B2511" s="1">
        <f>DATE(2015,3,15) + TIME(22,55,46)</f>
        <v>42078.955393518518</v>
      </c>
      <c r="C2511">
        <v>80</v>
      </c>
      <c r="D2511">
        <v>72.376655579000001</v>
      </c>
      <c r="E2511">
        <v>50</v>
      </c>
      <c r="F2511">
        <v>49.985294342000003</v>
      </c>
      <c r="G2511">
        <v>1326.9117432</v>
      </c>
      <c r="H2511">
        <v>1324.8890381000001</v>
      </c>
      <c r="I2511">
        <v>1337.90625</v>
      </c>
      <c r="J2511">
        <v>1335.6365966999999</v>
      </c>
      <c r="K2511">
        <v>0</v>
      </c>
      <c r="L2511">
        <v>2400</v>
      </c>
      <c r="M2511">
        <v>2400</v>
      </c>
      <c r="N2511">
        <v>0</v>
      </c>
    </row>
    <row r="2512" spans="1:14" x14ac:dyDescent="0.25">
      <c r="A2512">
        <v>1783.8408320000001</v>
      </c>
      <c r="B2512" s="1">
        <f>DATE(2015,3,19) + TIME(20,10,47)</f>
        <v>42082.840821759259</v>
      </c>
      <c r="C2512">
        <v>80</v>
      </c>
      <c r="D2512">
        <v>72.107238769999995</v>
      </c>
      <c r="E2512">
        <v>50</v>
      </c>
      <c r="F2512">
        <v>49.985286713000001</v>
      </c>
      <c r="G2512">
        <v>1326.8643798999999</v>
      </c>
      <c r="H2512">
        <v>1324.8266602000001</v>
      </c>
      <c r="I2512">
        <v>1337.9025879000001</v>
      </c>
      <c r="J2512">
        <v>1335.635376</v>
      </c>
      <c r="K2512">
        <v>0</v>
      </c>
      <c r="L2512">
        <v>2400</v>
      </c>
      <c r="M2512">
        <v>2400</v>
      </c>
      <c r="N2512">
        <v>0</v>
      </c>
    </row>
    <row r="2513" spans="1:14" x14ac:dyDescent="0.25">
      <c r="A2513">
        <v>1787.811297</v>
      </c>
      <c r="B2513" s="1">
        <f>DATE(2015,3,23) + TIME(19,28,16)</f>
        <v>42086.811296296299</v>
      </c>
      <c r="C2513">
        <v>80</v>
      </c>
      <c r="D2513">
        <v>71.831398010000001</v>
      </c>
      <c r="E2513">
        <v>50</v>
      </c>
      <c r="F2513">
        <v>49.985279083000002</v>
      </c>
      <c r="G2513">
        <v>1326.8178711</v>
      </c>
      <c r="H2513">
        <v>1324.7652588000001</v>
      </c>
      <c r="I2513">
        <v>1337.8989257999999</v>
      </c>
      <c r="J2513">
        <v>1335.6342772999999</v>
      </c>
      <c r="K2513">
        <v>0</v>
      </c>
      <c r="L2513">
        <v>2400</v>
      </c>
      <c r="M2513">
        <v>2400</v>
      </c>
      <c r="N2513">
        <v>0</v>
      </c>
    </row>
    <row r="2514" spans="1:14" x14ac:dyDescent="0.25">
      <c r="A2514">
        <v>1791.9356379999999</v>
      </c>
      <c r="B2514" s="1">
        <f>DATE(2015,3,27) + TIME(22,27,19)</f>
        <v>42090.935636574075</v>
      </c>
      <c r="C2514">
        <v>80</v>
      </c>
      <c r="D2514">
        <v>71.546607971</v>
      </c>
      <c r="E2514">
        <v>50</v>
      </c>
      <c r="F2514">
        <v>49.985267639</v>
      </c>
      <c r="G2514">
        <v>1326.7718506000001</v>
      </c>
      <c r="H2514">
        <v>1324.7044678</v>
      </c>
      <c r="I2514">
        <v>1337.8952637</v>
      </c>
      <c r="J2514">
        <v>1335.6330565999999</v>
      </c>
      <c r="K2514">
        <v>0</v>
      </c>
      <c r="L2514">
        <v>2400</v>
      </c>
      <c r="M2514">
        <v>2400</v>
      </c>
      <c r="N2514">
        <v>0</v>
      </c>
    </row>
    <row r="2515" spans="1:14" x14ac:dyDescent="0.25">
      <c r="A2515">
        <v>1796</v>
      </c>
      <c r="B2515" s="1">
        <f>DATE(2015,4,1) + TIME(0,0,0)</f>
        <v>42095</v>
      </c>
      <c r="C2515">
        <v>80</v>
      </c>
      <c r="D2515">
        <v>71.250144958000007</v>
      </c>
      <c r="E2515">
        <v>50</v>
      </c>
      <c r="F2515">
        <v>49.985260009999998</v>
      </c>
      <c r="G2515">
        <v>1326.7255858999999</v>
      </c>
      <c r="H2515">
        <v>1324.6436768000001</v>
      </c>
      <c r="I2515">
        <v>1337.8914795000001</v>
      </c>
      <c r="J2515">
        <v>1335.6318358999999</v>
      </c>
      <c r="K2515">
        <v>0</v>
      </c>
      <c r="L2515">
        <v>2400</v>
      </c>
      <c r="M2515">
        <v>2400</v>
      </c>
      <c r="N251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2022-07-20T06:45:58Z</dcterms:created>
  <dcterms:modified xsi:type="dcterms:W3CDTF">2022-07-20T06:46:36Z</dcterms:modified>
</cp:coreProperties>
</file>