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78A66975-2BA7-4592-A083-0983BEA38398}" xr6:coauthVersionLast="47" xr6:coauthVersionMax="47" xr10:uidLastSave="{00000000-0000-0000-0000-000000000000}"/>
  <bookViews>
    <workbookView xWindow="-26220" yWindow="2580" windowWidth="15375" windowHeight="7875" xr2:uid="{75A62B73-8CE7-46F3-9C7A-2B86E2CFA627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95" i="1" l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<sst xmlns="http://schemas.openxmlformats.org/spreadsheetml/2006/main" count="15" uniqueCount="15">
  <si>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MODEL\SCENARIOS\2022\Parameterstudy_kh_kv\kh10_kv1.sr3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</si>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</sst>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9F303-32DA-4D9E-ABB7-8D451A82CA0C}" name="Table1" displayName="Table1" ref="A3:N2095" totalsRowShown="0">
  <autoFilter ref="A3:N2095" xr:uid="{5F49F303-32DA-4D9E-ABB7-8D451A82CA0C}"/>
  <tableColumns count="14">
    <tableColumn id="1" xr3:uid="{153D31E0-8836-4273-843F-0601775B13CB}" name="Time (day)"/>
    <tableColumn id="2" xr3:uid="{33859C57-20AC-4832-8B70-008647A44E06}" name="Date" dataDxfId="0"/>
    <tableColumn id="3" xr3:uid="{994F5965-8C32-411B-A43F-E9A238F09C16}" name="Hot well INJ-Well bottom hole temperature (C)"/>
    <tableColumn id="4" xr3:uid="{AC900FCA-D867-43E4-971C-138F036EC2F7}" name="Hot well PROD-Well bottom hole temperature (C)"/>
    <tableColumn id="5" xr3:uid="{21D46F62-8EFB-4A2A-83E4-002A8447DDCB}" name="Warm well INJ-Well bottom hole temperature (C)"/>
    <tableColumn id="6" xr3:uid="{F8E0E7A0-5CE4-4654-87A2-749731795A6E}" name="Warm well PROD-Well bottom hole temperature (C)"/>
    <tableColumn id="7" xr3:uid="{400D37CF-D25E-409E-8746-D58ED67AAC49}" name="Hot well INJ-Well Bottom-hole Pressure (kPa)"/>
    <tableColumn id="8" xr3:uid="{85BEA5CA-2185-48F5-B8E3-EEE5CA4B5E3B}" name="Hot well PROD-Well Bottom-hole Pressure (kPa)"/>
    <tableColumn id="9" xr3:uid="{8EF97B8F-A172-45D6-BD5A-AEDA423CC761}" name="Warm well INJ-Well Bottom-hole Pressure (kPa)"/>
    <tableColumn id="10" xr3:uid="{C8596179-30B4-4F57-9323-352D04B1838F}" name="Warm well PROD-Well Bottom-hole Pressure (kPa)"/>
    <tableColumn id="11" xr3:uid="{EF6B1374-CDCC-4AD5-AADB-65DABD372646}" name="Hot well INJ-Fluid Rate SC (m³/day)"/>
    <tableColumn id="12" xr3:uid="{29102A79-4549-4F61-87DA-FDA2D0E435BA}" name="Hot well PROD-Fluid Rate SC (m³/day)"/>
    <tableColumn id="13" xr3:uid="{E989245C-B38B-44B4-83DC-8DF074425250}" name="Warm well INJ-Fluid Rate SC (m³/day)"/>
    <tableColumn id="14" xr3:uid="{2A97761D-3C08-4226-848F-2AFE871A3D56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611B-365B-4DC2-9F3F-0776FF9247C9}">
  <dimension ref="A1:N2095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1368.8392334</v>
      </c>
      <c r="H4">
        <v>1329.4145507999999</v>
      </c>
      <c r="I4">
        <v>1329.4047852000001</v>
      </c>
      <c r="J4">
        <v>1289.9792480000001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1368.8536377</v>
      </c>
      <c r="H5">
        <v>1329.4291992000001</v>
      </c>
      <c r="I5">
        <v>1329.3902588000001</v>
      </c>
      <c r="J5">
        <v>1289.9647216999999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14.999977112</v>
      </c>
      <c r="G6">
        <v>1368.8967285000001</v>
      </c>
      <c r="H6">
        <v>1329.4729004000001</v>
      </c>
      <c r="I6">
        <v>1329.3466797000001</v>
      </c>
      <c r="J6">
        <v>1289.9211425999999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15.003149033</v>
      </c>
      <c r="E7">
        <v>50</v>
      </c>
      <c r="F7">
        <v>14.999930382000001</v>
      </c>
      <c r="G7">
        <v>1369.0251464999999</v>
      </c>
      <c r="H7">
        <v>1329.6033935999999</v>
      </c>
      <c r="I7">
        <v>1329.2167969</v>
      </c>
      <c r="J7">
        <v>1289.7911377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15.009523392</v>
      </c>
      <c r="E8">
        <v>50</v>
      </c>
      <c r="F8">
        <v>14.999792099</v>
      </c>
      <c r="G8">
        <v>1369.4033202999999</v>
      </c>
      <c r="H8">
        <v>1329.9876709</v>
      </c>
      <c r="I8">
        <v>1328.8339844</v>
      </c>
      <c r="J8">
        <v>1289.4082031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15.028621674</v>
      </c>
      <c r="E9">
        <v>50</v>
      </c>
      <c r="F9">
        <v>14.999398232000001</v>
      </c>
      <c r="G9">
        <v>1370.479126</v>
      </c>
      <c r="H9">
        <v>1331.0820312000001</v>
      </c>
      <c r="I9">
        <v>1327.7441406</v>
      </c>
      <c r="J9">
        <v>1288.3179932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15.085733414</v>
      </c>
      <c r="E10">
        <v>50</v>
      </c>
      <c r="F10">
        <v>14.998375893</v>
      </c>
      <c r="G10">
        <v>1373.2692870999999</v>
      </c>
      <c r="H10">
        <v>1333.9277344</v>
      </c>
      <c r="I10">
        <v>1324.909668</v>
      </c>
      <c r="J10">
        <v>1285.4824219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15.255607605</v>
      </c>
      <c r="E11">
        <v>50</v>
      </c>
      <c r="F11">
        <v>14.996196747000001</v>
      </c>
      <c r="G11">
        <v>1379.159668</v>
      </c>
      <c r="H11">
        <v>1339.9841309000001</v>
      </c>
      <c r="I11">
        <v>1318.8625488</v>
      </c>
      <c r="J11">
        <v>1279.4329834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15.758148193</v>
      </c>
      <c r="E12">
        <v>50</v>
      </c>
      <c r="F12">
        <v>14.992823601</v>
      </c>
      <c r="G12">
        <v>1388.0393065999999</v>
      </c>
      <c r="H12">
        <v>1349.3507079999999</v>
      </c>
      <c r="I12">
        <v>1309.4013672000001</v>
      </c>
      <c r="J12">
        <v>1269.9681396000001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2.2897000000000001E-2</v>
      </c>
      <c r="B13" s="1">
        <f>DATE(2010,5,1) + TIME(0,32,58)</f>
        <v>40299.022893518515</v>
      </c>
      <c r="C13">
        <v>80</v>
      </c>
      <c r="D13">
        <v>16.739908218</v>
      </c>
      <c r="E13">
        <v>50</v>
      </c>
      <c r="F13">
        <v>14.989778519</v>
      </c>
      <c r="G13">
        <v>1395.5302733999999</v>
      </c>
      <c r="H13">
        <v>1357.7646483999999</v>
      </c>
      <c r="I13">
        <v>1300.6308594</v>
      </c>
      <c r="J13">
        <v>1261.1944579999999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3.6194999999999998E-2</v>
      </c>
      <c r="B14" s="1">
        <f>DATE(2010,5,1) + TIME(0,52,7)</f>
        <v>40299.036192129628</v>
      </c>
      <c r="C14">
        <v>80</v>
      </c>
      <c r="D14">
        <v>17.724552155000001</v>
      </c>
      <c r="E14">
        <v>50</v>
      </c>
      <c r="F14">
        <v>14.988027573</v>
      </c>
      <c r="G14">
        <v>1399.4418945</v>
      </c>
      <c r="H14">
        <v>1362.5567627</v>
      </c>
      <c r="I14">
        <v>1295.4317627</v>
      </c>
      <c r="J14">
        <v>1255.9935303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4.9700000000000001E-2</v>
      </c>
      <c r="B15" s="1">
        <f>DATE(2010,5,1) + TIME(1,11,34)</f>
        <v>40299.049699074072</v>
      </c>
      <c r="C15">
        <v>80</v>
      </c>
      <c r="D15">
        <v>18.710376740000001</v>
      </c>
      <c r="E15">
        <v>50</v>
      </c>
      <c r="F15">
        <v>14.986861229000001</v>
      </c>
      <c r="G15">
        <v>1401.7613524999999</v>
      </c>
      <c r="H15">
        <v>1365.7252197</v>
      </c>
      <c r="I15">
        <v>1291.8505858999999</v>
      </c>
      <c r="J15">
        <v>1252.4111327999999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6.3399999999999998E-2</v>
      </c>
      <c r="B16" s="1">
        <f>DATE(2010,5,1) + TIME(1,31,17)</f>
        <v>40299.063391203701</v>
      </c>
      <c r="C16">
        <v>80</v>
      </c>
      <c r="D16">
        <v>19.696510315000001</v>
      </c>
      <c r="E16">
        <v>50</v>
      </c>
      <c r="F16">
        <v>14.986008644</v>
      </c>
      <c r="G16">
        <v>1403.2510986</v>
      </c>
      <c r="H16">
        <v>1368.0322266000001</v>
      </c>
      <c r="I16">
        <v>1289.1392822</v>
      </c>
      <c r="J16">
        <v>1249.6989745999999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7.7293000000000001E-2</v>
      </c>
      <c r="B17" s="1">
        <f>DATE(2010,5,1) + TIME(1,51,18)</f>
        <v>40299.077291666668</v>
      </c>
      <c r="C17">
        <v>80</v>
      </c>
      <c r="D17">
        <v>20.683218002</v>
      </c>
      <c r="E17">
        <v>50</v>
      </c>
      <c r="F17">
        <v>14.985346794</v>
      </c>
      <c r="G17">
        <v>1404.2523193</v>
      </c>
      <c r="H17">
        <v>1369.8201904</v>
      </c>
      <c r="I17">
        <v>1286.9594727000001</v>
      </c>
      <c r="J17">
        <v>1247.5183105000001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9.1371999999999995E-2</v>
      </c>
      <c r="B18" s="1">
        <f>DATE(2010,5,1) + TIME(2,11,34)</f>
        <v>40299.091365740744</v>
      </c>
      <c r="C18">
        <v>80</v>
      </c>
      <c r="D18">
        <v>21.669479370000001</v>
      </c>
      <c r="E18">
        <v>50</v>
      </c>
      <c r="F18">
        <v>14.984812737</v>
      </c>
      <c r="G18">
        <v>1404.9404297000001</v>
      </c>
      <c r="H18">
        <v>1371.2653809000001</v>
      </c>
      <c r="I18">
        <v>1285.1358643000001</v>
      </c>
      <c r="J18">
        <v>1245.6942139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0.10564800000000001</v>
      </c>
      <c r="B19" s="1">
        <f>DATE(2010,5,1) + TIME(2,32,7)</f>
        <v>40299.105636574073</v>
      </c>
      <c r="C19">
        <v>80</v>
      </c>
      <c r="D19">
        <v>22.655282973999999</v>
      </c>
      <c r="E19">
        <v>50</v>
      </c>
      <c r="F19">
        <v>14.984370232</v>
      </c>
      <c r="G19">
        <v>1405.4171143000001</v>
      </c>
      <c r="H19">
        <v>1372.4703368999999</v>
      </c>
      <c r="I19">
        <v>1283.5660399999999</v>
      </c>
      <c r="J19">
        <v>1244.1239014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0.120129</v>
      </c>
      <c r="B20" s="1">
        <f>DATE(2010,5,1) + TIME(2,52,59)</f>
        <v>40299.120127314818</v>
      </c>
      <c r="C20">
        <v>80</v>
      </c>
      <c r="D20">
        <v>23.640832901</v>
      </c>
      <c r="E20">
        <v>50</v>
      </c>
      <c r="F20">
        <v>14.983995438000001</v>
      </c>
      <c r="G20">
        <v>1405.7446289</v>
      </c>
      <c r="H20">
        <v>1373.4990233999999</v>
      </c>
      <c r="I20">
        <v>1282.1855469</v>
      </c>
      <c r="J20">
        <v>1242.7430420000001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0.134823</v>
      </c>
      <c r="B21" s="1">
        <f>DATE(2010,5,1) + TIME(3,14,8)</f>
        <v>40299.134814814817</v>
      </c>
      <c r="C21">
        <v>80</v>
      </c>
      <c r="D21">
        <v>24.626102448000001</v>
      </c>
      <c r="E21">
        <v>50</v>
      </c>
      <c r="F21">
        <v>14.983673096</v>
      </c>
      <c r="G21">
        <v>1405.9639893000001</v>
      </c>
      <c r="H21">
        <v>1374.3939209</v>
      </c>
      <c r="I21">
        <v>1280.9517822</v>
      </c>
      <c r="J21">
        <v>1241.5089111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0.14973600000000001</v>
      </c>
      <c r="B22" s="1">
        <f>DATE(2010,5,1) + TIME(3,35,37)</f>
        <v>40299.149733796294</v>
      </c>
      <c r="C22">
        <v>80</v>
      </c>
      <c r="D22">
        <v>25.611465454000001</v>
      </c>
      <c r="E22">
        <v>50</v>
      </c>
      <c r="F22">
        <v>14.983392715000001</v>
      </c>
      <c r="G22">
        <v>1406.1035156</v>
      </c>
      <c r="H22">
        <v>1375.184082</v>
      </c>
      <c r="I22">
        <v>1279.8348389</v>
      </c>
      <c r="J22">
        <v>1240.3916016000001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0.16487099999999999</v>
      </c>
      <c r="B23" s="1">
        <f>DATE(2010,5,1) + TIME(3,57,24)</f>
        <v>40299.164861111109</v>
      </c>
      <c r="C23">
        <v>80</v>
      </c>
      <c r="D23">
        <v>26.596370697000001</v>
      </c>
      <c r="E23">
        <v>50</v>
      </c>
      <c r="F23">
        <v>14.983146667</v>
      </c>
      <c r="G23">
        <v>1406.1828613</v>
      </c>
      <c r="H23">
        <v>1375.890625</v>
      </c>
      <c r="I23">
        <v>1278.8133545000001</v>
      </c>
      <c r="J23">
        <v>1239.3698730000001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0.18023800000000001</v>
      </c>
      <c r="B24" s="1">
        <f>DATE(2010,5,1) + TIME(4,19,32)</f>
        <v>40299.180231481485</v>
      </c>
      <c r="C24">
        <v>80</v>
      </c>
      <c r="D24">
        <v>27.580711364999999</v>
      </c>
      <c r="E24">
        <v>50</v>
      </c>
      <c r="F24">
        <v>14.98292923</v>
      </c>
      <c r="G24">
        <v>1406.2169189000001</v>
      </c>
      <c r="H24">
        <v>1376.5291748</v>
      </c>
      <c r="I24">
        <v>1277.8709716999999</v>
      </c>
      <c r="J24">
        <v>1238.427124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0.195849</v>
      </c>
      <c r="B25" s="1">
        <f>DATE(2010,5,1) + TIME(4,42,1)</f>
        <v>40299.195844907408</v>
      </c>
      <c r="C25">
        <v>80</v>
      </c>
      <c r="D25">
        <v>28.564702988000001</v>
      </c>
      <c r="E25">
        <v>50</v>
      </c>
      <c r="F25">
        <v>14.98273468</v>
      </c>
      <c r="G25">
        <v>1406.2169189000001</v>
      </c>
      <c r="H25">
        <v>1377.1120605000001</v>
      </c>
      <c r="I25">
        <v>1276.9948730000001</v>
      </c>
      <c r="J25">
        <v>1237.5509033000001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0.21171400000000001</v>
      </c>
      <c r="B26" s="1">
        <f>DATE(2010,5,1) + TIME(5,4,52)</f>
        <v>40299.211712962962</v>
      </c>
      <c r="C26">
        <v>80</v>
      </c>
      <c r="D26">
        <v>29.548334122</v>
      </c>
      <c r="E26">
        <v>50</v>
      </c>
      <c r="F26">
        <v>14.982561111000001</v>
      </c>
      <c r="G26">
        <v>1406.190918</v>
      </c>
      <c r="H26">
        <v>1377.6486815999999</v>
      </c>
      <c r="I26">
        <v>1276.175293</v>
      </c>
      <c r="J26">
        <v>1236.7310791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0.22784399999999999</v>
      </c>
      <c r="B27" s="1">
        <f>DATE(2010,5,1) + TIME(5,28,5)</f>
        <v>40299.227835648147</v>
      </c>
      <c r="C27">
        <v>80</v>
      </c>
      <c r="D27">
        <v>30.531703949000001</v>
      </c>
      <c r="E27">
        <v>50</v>
      </c>
      <c r="F27">
        <v>14.982405663</v>
      </c>
      <c r="G27">
        <v>1406.1455077999999</v>
      </c>
      <c r="H27">
        <v>1378.1461182</v>
      </c>
      <c r="I27">
        <v>1275.4044189000001</v>
      </c>
      <c r="J27">
        <v>1235.9599608999999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0.24424599999999999</v>
      </c>
      <c r="B28" s="1">
        <f>DATE(2010,5,1) + TIME(5,51,42)</f>
        <v>40299.24423611111</v>
      </c>
      <c r="C28">
        <v>80</v>
      </c>
      <c r="D28">
        <v>31.514669418</v>
      </c>
      <c r="E28">
        <v>50</v>
      </c>
      <c r="F28">
        <v>14.982264518999999</v>
      </c>
      <c r="G28">
        <v>1406.0856934000001</v>
      </c>
      <c r="H28">
        <v>1378.6103516000001</v>
      </c>
      <c r="I28">
        <v>1274.6759033000001</v>
      </c>
      <c r="J28">
        <v>1235.2314452999999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0.260932</v>
      </c>
      <c r="B29" s="1">
        <f>DATE(2010,5,1) + TIME(6,15,44)</f>
        <v>40299.260925925926</v>
      </c>
      <c r="C29">
        <v>80</v>
      </c>
      <c r="D29">
        <v>32.497135161999999</v>
      </c>
      <c r="E29">
        <v>50</v>
      </c>
      <c r="F29">
        <v>14.982136726</v>
      </c>
      <c r="G29">
        <v>1406.0152588000001</v>
      </c>
      <c r="H29">
        <v>1379.0461425999999</v>
      </c>
      <c r="I29">
        <v>1273.9847411999999</v>
      </c>
      <c r="J29">
        <v>1234.5399170000001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0.277916</v>
      </c>
      <c r="B30" s="1">
        <f>DATE(2010,5,1) + TIME(6,40,11)</f>
        <v>40299.277905092589</v>
      </c>
      <c r="C30">
        <v>80</v>
      </c>
      <c r="D30">
        <v>33.479183196999998</v>
      </c>
      <c r="E30">
        <v>50</v>
      </c>
      <c r="F30">
        <v>14.982021332</v>
      </c>
      <c r="G30">
        <v>1405.9375</v>
      </c>
      <c r="H30">
        <v>1379.4573975000001</v>
      </c>
      <c r="I30">
        <v>1273.3261719</v>
      </c>
      <c r="J30">
        <v>1233.8813477000001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0.295211</v>
      </c>
      <c r="B31" s="1">
        <f>DATE(2010,5,1) + TIME(7,5,6)</f>
        <v>40299.295208333337</v>
      </c>
      <c r="C31">
        <v>80</v>
      </c>
      <c r="D31">
        <v>34.460792542</v>
      </c>
      <c r="E31">
        <v>50</v>
      </c>
      <c r="F31">
        <v>14.981916428</v>
      </c>
      <c r="G31">
        <v>1405.8549805</v>
      </c>
      <c r="H31">
        <v>1379.8472899999999</v>
      </c>
      <c r="I31">
        <v>1272.6967772999999</v>
      </c>
      <c r="J31">
        <v>1233.2517089999999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0.31282900000000002</v>
      </c>
      <c r="B32" s="1">
        <f>DATE(2010,5,1) + TIME(7,30,28)</f>
        <v>40299.312824074077</v>
      </c>
      <c r="C32">
        <v>80</v>
      </c>
      <c r="D32">
        <v>35.441944122000002</v>
      </c>
      <c r="E32">
        <v>50</v>
      </c>
      <c r="F32">
        <v>14.98182106</v>
      </c>
      <c r="G32">
        <v>1405.7695312000001</v>
      </c>
      <c r="H32">
        <v>1380.2186279</v>
      </c>
      <c r="I32">
        <v>1272.0932617000001</v>
      </c>
      <c r="J32">
        <v>1232.6481934000001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0.33078600000000002</v>
      </c>
      <c r="B33" s="1">
        <f>DATE(2010,5,1) + TIME(7,56,19)</f>
        <v>40299.330775462964</v>
      </c>
      <c r="C33">
        <v>80</v>
      </c>
      <c r="D33">
        <v>36.422626495000003</v>
      </c>
      <c r="E33">
        <v>50</v>
      </c>
      <c r="F33">
        <v>14.981734275999999</v>
      </c>
      <c r="G33">
        <v>1405.6827393000001</v>
      </c>
      <c r="H33">
        <v>1380.5737305</v>
      </c>
      <c r="I33">
        <v>1271.5131836</v>
      </c>
      <c r="J33">
        <v>1232.0679932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0.34909699999999999</v>
      </c>
      <c r="B34" s="1">
        <f>DATE(2010,5,1) + TIME(8,22,41)</f>
        <v>40299.349085648151</v>
      </c>
      <c r="C34">
        <v>80</v>
      </c>
      <c r="D34">
        <v>37.402812957999998</v>
      </c>
      <c r="E34">
        <v>50</v>
      </c>
      <c r="F34">
        <v>14.981654167</v>
      </c>
      <c r="G34">
        <v>1405.5960693</v>
      </c>
      <c r="H34">
        <v>1380.9144286999999</v>
      </c>
      <c r="I34">
        <v>1270.9541016000001</v>
      </c>
      <c r="J34">
        <v>1231.5087891000001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0.36777799999999999</v>
      </c>
      <c r="B35" s="1">
        <f>DATE(2010,5,1) + TIME(8,49,35)</f>
        <v>40299.367766203701</v>
      </c>
      <c r="C35">
        <v>80</v>
      </c>
      <c r="D35">
        <v>38.382488250999998</v>
      </c>
      <c r="E35">
        <v>50</v>
      </c>
      <c r="F35">
        <v>14.981582641999999</v>
      </c>
      <c r="G35">
        <v>1405.5104980000001</v>
      </c>
      <c r="H35">
        <v>1381.2423096</v>
      </c>
      <c r="I35">
        <v>1270.4140625</v>
      </c>
      <c r="J35">
        <v>1230.9686279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0.38684600000000002</v>
      </c>
      <c r="B36" s="1">
        <f>DATE(2010,5,1) + TIME(9,17,3)</f>
        <v>40299.386840277781</v>
      </c>
      <c r="C36">
        <v>80</v>
      </c>
      <c r="D36">
        <v>39.361625670999999</v>
      </c>
      <c r="E36">
        <v>50</v>
      </c>
      <c r="F36">
        <v>14.981516837999999</v>
      </c>
      <c r="G36">
        <v>1405.4267577999999</v>
      </c>
      <c r="H36">
        <v>1381.5588379000001</v>
      </c>
      <c r="I36">
        <v>1269.8912353999999</v>
      </c>
      <c r="J36">
        <v>1230.4458007999999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0.40632099999999999</v>
      </c>
      <c r="B37" s="1">
        <f>DATE(2010,5,1) + TIME(9,45,6)</f>
        <v>40299.406319444446</v>
      </c>
      <c r="C37">
        <v>80</v>
      </c>
      <c r="D37">
        <v>40.340278625000003</v>
      </c>
      <c r="E37">
        <v>50</v>
      </c>
      <c r="F37">
        <v>14.981456757</v>
      </c>
      <c r="G37">
        <v>1405.3454589999999</v>
      </c>
      <c r="H37">
        <v>1381.8652344</v>
      </c>
      <c r="I37">
        <v>1269.3842772999999</v>
      </c>
      <c r="J37">
        <v>1229.9385986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0.42621999999999999</v>
      </c>
      <c r="B38" s="1">
        <f>DATE(2010,5,1) + TIME(10,13,45)</f>
        <v>40299.426215277781</v>
      </c>
      <c r="C38">
        <v>80</v>
      </c>
      <c r="D38">
        <v>41.318416595000002</v>
      </c>
      <c r="E38">
        <v>50</v>
      </c>
      <c r="F38">
        <v>14.981402397</v>
      </c>
      <c r="G38">
        <v>1405.2673339999999</v>
      </c>
      <c r="H38">
        <v>1382.1624756000001</v>
      </c>
      <c r="I38">
        <v>1268.8916016000001</v>
      </c>
      <c r="J38">
        <v>1229.4459228999999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0.44656499999999999</v>
      </c>
      <c r="B39" s="1">
        <f>DATE(2010,5,1) + TIME(10,43,3)</f>
        <v>40299.446562500001</v>
      </c>
      <c r="C39">
        <v>80</v>
      </c>
      <c r="D39">
        <v>42.295806884999998</v>
      </c>
      <c r="E39">
        <v>50</v>
      </c>
      <c r="F39">
        <v>14.981353759999999</v>
      </c>
      <c r="G39">
        <v>1405.1926269999999</v>
      </c>
      <c r="H39">
        <v>1382.4512939000001</v>
      </c>
      <c r="I39">
        <v>1268.4122314000001</v>
      </c>
      <c r="J39">
        <v>1228.9665527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0.46738000000000002</v>
      </c>
      <c r="B40" s="1">
        <f>DATE(2010,5,1) + TIME(11,13,1)</f>
        <v>40299.467372685183</v>
      </c>
      <c r="C40">
        <v>80</v>
      </c>
      <c r="D40">
        <v>43.272552490000002</v>
      </c>
      <c r="E40">
        <v>50</v>
      </c>
      <c r="F40">
        <v>14.981308937</v>
      </c>
      <c r="G40">
        <v>1405.1217041</v>
      </c>
      <c r="H40">
        <v>1382.7326660000001</v>
      </c>
      <c r="I40">
        <v>1267.9449463000001</v>
      </c>
      <c r="J40">
        <v>1228.4991454999999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0.48869000000000001</v>
      </c>
      <c r="B41" s="1">
        <f>DATE(2010,5,1) + TIME(11,43,42)</f>
        <v>40299.488680555558</v>
      </c>
      <c r="C41">
        <v>80</v>
      </c>
      <c r="D41">
        <v>44.248622894</v>
      </c>
      <c r="E41">
        <v>50</v>
      </c>
      <c r="F41">
        <v>14.981268883</v>
      </c>
      <c r="G41">
        <v>1405.0546875</v>
      </c>
      <c r="H41">
        <v>1383.0072021000001</v>
      </c>
      <c r="I41">
        <v>1267.4887695</v>
      </c>
      <c r="J41">
        <v>1228.0429687999999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0.51052299999999995</v>
      </c>
      <c r="B42" s="1">
        <f>DATE(2010,5,1) + TIME(12,15,9)</f>
        <v>40299.510520833333</v>
      </c>
      <c r="C42">
        <v>80</v>
      </c>
      <c r="D42">
        <v>45.223983765</v>
      </c>
      <c r="E42">
        <v>50</v>
      </c>
      <c r="F42">
        <v>14.981232643</v>
      </c>
      <c r="G42">
        <v>1404.9919434000001</v>
      </c>
      <c r="H42">
        <v>1383.2753906</v>
      </c>
      <c r="I42">
        <v>1267.0428466999999</v>
      </c>
      <c r="J42">
        <v>1227.5969238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0.53290800000000005</v>
      </c>
      <c r="B43" s="1">
        <f>DATE(2010,5,1) + TIME(12,47,23)</f>
        <v>40299.532905092594</v>
      </c>
      <c r="C43">
        <v>80</v>
      </c>
      <c r="D43">
        <v>46.19859314</v>
      </c>
      <c r="E43">
        <v>50</v>
      </c>
      <c r="F43">
        <v>14.981201172</v>
      </c>
      <c r="G43">
        <v>1404.9334716999999</v>
      </c>
      <c r="H43">
        <v>1383.5379639</v>
      </c>
      <c r="I43">
        <v>1266.6064452999999</v>
      </c>
      <c r="J43">
        <v>1227.1604004000001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0.55587500000000001</v>
      </c>
      <c r="B44" s="1">
        <f>DATE(2010,5,1) + TIME(13,20,27)</f>
        <v>40299.555868055555</v>
      </c>
      <c r="C44">
        <v>80</v>
      </c>
      <c r="D44">
        <v>47.172416687000002</v>
      </c>
      <c r="E44">
        <v>50</v>
      </c>
      <c r="F44">
        <v>14.981172561999999</v>
      </c>
      <c r="G44">
        <v>1404.8792725000001</v>
      </c>
      <c r="H44">
        <v>1383.7951660000001</v>
      </c>
      <c r="I44">
        <v>1266.1785889</v>
      </c>
      <c r="J44">
        <v>1226.7325439000001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0.57945999999999998</v>
      </c>
      <c r="B45" s="1">
        <f>DATE(2010,5,1) + TIME(13,54,25)</f>
        <v>40299.579456018517</v>
      </c>
      <c r="C45">
        <v>80</v>
      </c>
      <c r="D45">
        <v>48.145401001000003</v>
      </c>
      <c r="E45">
        <v>50</v>
      </c>
      <c r="F45">
        <v>14.981147765999999</v>
      </c>
      <c r="G45">
        <v>1404.8294678</v>
      </c>
      <c r="H45">
        <v>1384.0474853999999</v>
      </c>
      <c r="I45">
        <v>1265.7589111</v>
      </c>
      <c r="J45">
        <v>1226.3127440999999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0.60370000000000001</v>
      </c>
      <c r="B46" s="1">
        <f>DATE(2010,5,1) + TIME(14,29,19)</f>
        <v>40299.603692129633</v>
      </c>
      <c r="C46">
        <v>80</v>
      </c>
      <c r="D46">
        <v>49.117507934999999</v>
      </c>
      <c r="E46">
        <v>50</v>
      </c>
      <c r="F46">
        <v>14.981126785000001</v>
      </c>
      <c r="G46">
        <v>1404.7840576000001</v>
      </c>
      <c r="H46">
        <v>1384.2952881000001</v>
      </c>
      <c r="I46">
        <v>1265.3465576000001</v>
      </c>
      <c r="J46">
        <v>1225.9003906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0.62863500000000005</v>
      </c>
      <c r="B47" s="1">
        <f>DATE(2010,5,1) + TIME(15,5,14)</f>
        <v>40299.628634259258</v>
      </c>
      <c r="C47">
        <v>80</v>
      </c>
      <c r="D47">
        <v>50.088638306</v>
      </c>
      <c r="E47">
        <v>50</v>
      </c>
      <c r="F47">
        <v>14.981107712</v>
      </c>
      <c r="G47">
        <v>1404.7430420000001</v>
      </c>
      <c r="H47">
        <v>1384.5388184000001</v>
      </c>
      <c r="I47">
        <v>1264.9410399999999</v>
      </c>
      <c r="J47">
        <v>1225.4948730000001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0.654312</v>
      </c>
      <c r="B48" s="1">
        <f>DATE(2010,5,1) + TIME(15,42,12)</f>
        <v>40299.654305555552</v>
      </c>
      <c r="C48">
        <v>80</v>
      </c>
      <c r="D48">
        <v>51.058410645000002</v>
      </c>
      <c r="E48">
        <v>50</v>
      </c>
      <c r="F48">
        <v>14.981092453</v>
      </c>
      <c r="G48">
        <v>1404.7064209</v>
      </c>
      <c r="H48">
        <v>1384.7781981999999</v>
      </c>
      <c r="I48">
        <v>1264.5418701000001</v>
      </c>
      <c r="J48">
        <v>1225.0957031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0.68078899999999998</v>
      </c>
      <c r="B49" s="1">
        <f>DATE(2010,5,1) + TIME(16,20,20)</f>
        <v>40299.680787037039</v>
      </c>
      <c r="C49">
        <v>80</v>
      </c>
      <c r="D49">
        <v>52.027496337999999</v>
      </c>
      <c r="E49">
        <v>50</v>
      </c>
      <c r="F49">
        <v>14.981080055</v>
      </c>
      <c r="G49">
        <v>1404.6740723</v>
      </c>
      <c r="H49">
        <v>1385.0140381000001</v>
      </c>
      <c r="I49">
        <v>1264.1483154</v>
      </c>
      <c r="J49">
        <v>1224.7020264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0.70811100000000005</v>
      </c>
      <c r="B50" s="1">
        <f>DATE(2010,5,1) + TIME(16,59,40)</f>
        <v>40299.708101851851</v>
      </c>
      <c r="C50">
        <v>80</v>
      </c>
      <c r="D50">
        <v>52.995456695999998</v>
      </c>
      <c r="E50">
        <v>50</v>
      </c>
      <c r="F50">
        <v>14.981070517999999</v>
      </c>
      <c r="G50">
        <v>1404.645874</v>
      </c>
      <c r="H50">
        <v>1385.2463379000001</v>
      </c>
      <c r="I50">
        <v>1263.7601318</v>
      </c>
      <c r="J50">
        <v>1224.3137207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0.73633599999999999</v>
      </c>
      <c r="B51" s="1">
        <f>DATE(2010,5,1) + TIME(17,40,19)</f>
        <v>40299.736331018517</v>
      </c>
      <c r="C51">
        <v>80</v>
      </c>
      <c r="D51">
        <v>53.962211609000001</v>
      </c>
      <c r="E51">
        <v>50</v>
      </c>
      <c r="F51">
        <v>14.981063842999999</v>
      </c>
      <c r="G51">
        <v>1404.6218262</v>
      </c>
      <c r="H51">
        <v>1385.4752197</v>
      </c>
      <c r="I51">
        <v>1263.3767089999999</v>
      </c>
      <c r="J51">
        <v>1223.9302978999999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0.76553300000000002</v>
      </c>
      <c r="B52" s="1">
        <f>DATE(2010,5,1) + TIME(18,22,22)</f>
        <v>40299.765532407408</v>
      </c>
      <c r="C52">
        <v>80</v>
      </c>
      <c r="D52">
        <v>54.927680969000001</v>
      </c>
      <c r="E52">
        <v>50</v>
      </c>
      <c r="F52">
        <v>14.981060028</v>
      </c>
      <c r="G52">
        <v>1404.6018065999999</v>
      </c>
      <c r="H52">
        <v>1385.7009277</v>
      </c>
      <c r="I52">
        <v>1262.9978027</v>
      </c>
      <c r="J52">
        <v>1223.5512695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0.79577399999999998</v>
      </c>
      <c r="B53" s="1">
        <f>DATE(2010,5,1) + TIME(19,5,54)</f>
        <v>40299.795763888891</v>
      </c>
      <c r="C53">
        <v>80</v>
      </c>
      <c r="D53">
        <v>55.891761780000003</v>
      </c>
      <c r="E53">
        <v>50</v>
      </c>
      <c r="F53">
        <v>14.981058121</v>
      </c>
      <c r="G53">
        <v>1404.5856934000001</v>
      </c>
      <c r="H53">
        <v>1385.9235839999999</v>
      </c>
      <c r="I53">
        <v>1262.6226807</v>
      </c>
      <c r="J53">
        <v>1223.1761475000001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0.82714200000000004</v>
      </c>
      <c r="B54" s="1">
        <f>DATE(2010,5,1) + TIME(19,51,5)</f>
        <v>40299.827141203707</v>
      </c>
      <c r="C54">
        <v>80</v>
      </c>
      <c r="D54">
        <v>56.854351043999998</v>
      </c>
      <c r="E54">
        <v>50</v>
      </c>
      <c r="F54">
        <v>14.981059073999999</v>
      </c>
      <c r="G54">
        <v>1404.5733643000001</v>
      </c>
      <c r="H54">
        <v>1386.1431885</v>
      </c>
      <c r="I54">
        <v>1262.2512207</v>
      </c>
      <c r="J54">
        <v>1222.8045654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0.85972800000000005</v>
      </c>
      <c r="B55" s="1">
        <f>DATE(2010,5,1) + TIME(20,38,0)</f>
        <v>40299.859722222223</v>
      </c>
      <c r="C55">
        <v>80</v>
      </c>
      <c r="D55">
        <v>57.815334319999998</v>
      </c>
      <c r="E55">
        <v>50</v>
      </c>
      <c r="F55">
        <v>14.981062889</v>
      </c>
      <c r="G55">
        <v>1404.5648193</v>
      </c>
      <c r="H55">
        <v>1386.3599853999999</v>
      </c>
      <c r="I55">
        <v>1261.8828125</v>
      </c>
      <c r="J55">
        <v>1222.4361572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0.89363800000000004</v>
      </c>
      <c r="B56" s="1">
        <f>DATE(2010,5,1) + TIME(21,26,50)</f>
        <v>40299.893634259257</v>
      </c>
      <c r="C56">
        <v>80</v>
      </c>
      <c r="D56">
        <v>58.774581908999998</v>
      </c>
      <c r="E56">
        <v>50</v>
      </c>
      <c r="F56">
        <v>14.981068611</v>
      </c>
      <c r="G56">
        <v>1404.5598144999999</v>
      </c>
      <c r="H56">
        <v>1386.5740966999999</v>
      </c>
      <c r="I56">
        <v>1261.5172118999999</v>
      </c>
      <c r="J56">
        <v>1222.0703125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0.92898800000000004</v>
      </c>
      <c r="B57" s="1">
        <f>DATE(2010,5,1) + TIME(22,17,44)</f>
        <v>40299.928981481484</v>
      </c>
      <c r="C57">
        <v>80</v>
      </c>
      <c r="D57">
        <v>59.731941223</v>
      </c>
      <c r="E57">
        <v>50</v>
      </c>
      <c r="F57">
        <v>14.981077193999999</v>
      </c>
      <c r="G57">
        <v>1404.5583495999999</v>
      </c>
      <c r="H57">
        <v>1386.7854004000001</v>
      </c>
      <c r="I57">
        <v>1261.1538086</v>
      </c>
      <c r="J57">
        <v>1221.7067870999999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0.96591300000000002</v>
      </c>
      <c r="B58" s="1">
        <f>DATE(2010,5,1) + TIME(23,10,54)</f>
        <v>40299.965902777774</v>
      </c>
      <c r="C58">
        <v>80</v>
      </c>
      <c r="D58">
        <v>60.686767578000001</v>
      </c>
      <c r="E58">
        <v>50</v>
      </c>
      <c r="F58">
        <v>14.981087685</v>
      </c>
      <c r="G58">
        <v>1404.5601807</v>
      </c>
      <c r="H58">
        <v>1386.9942627</v>
      </c>
      <c r="I58">
        <v>1260.7922363</v>
      </c>
      <c r="J58">
        <v>1221.3450928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1.0045839999999999</v>
      </c>
      <c r="B59" s="1">
        <f>DATE(2010,5,2) + TIME(0,6,36)</f>
        <v>40300.004583333335</v>
      </c>
      <c r="C59">
        <v>80</v>
      </c>
      <c r="D59">
        <v>61.639591217000003</v>
      </c>
      <c r="E59">
        <v>50</v>
      </c>
      <c r="F59">
        <v>14.981101036</v>
      </c>
      <c r="G59">
        <v>1404.5654297000001</v>
      </c>
      <c r="H59">
        <v>1387.2005615</v>
      </c>
      <c r="I59">
        <v>1260.4317627</v>
      </c>
      <c r="J59">
        <v>1220.9846190999999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1.0451710000000001</v>
      </c>
      <c r="B60" s="1">
        <f>DATE(2010,5,2) + TIME(1,5,2)</f>
        <v>40300.045162037037</v>
      </c>
      <c r="C60">
        <v>80</v>
      </c>
      <c r="D60">
        <v>62.590114593999999</v>
      </c>
      <c r="E60">
        <v>50</v>
      </c>
      <c r="F60">
        <v>14.981116295</v>
      </c>
      <c r="G60">
        <v>1404.5738524999999</v>
      </c>
      <c r="H60">
        <v>1387.4045410000001</v>
      </c>
      <c r="I60">
        <v>1260.0721435999999</v>
      </c>
      <c r="J60">
        <v>1220.6248779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1.0878699999999999</v>
      </c>
      <c r="B61" s="1">
        <f>DATE(2010,5,2) + TIME(2,6,31)</f>
        <v>40300.087858796294</v>
      </c>
      <c r="C61">
        <v>80</v>
      </c>
      <c r="D61">
        <v>63.537918091000002</v>
      </c>
      <c r="E61">
        <v>50</v>
      </c>
      <c r="F61">
        <v>14.981134415</v>
      </c>
      <c r="G61">
        <v>1404.5854492000001</v>
      </c>
      <c r="H61">
        <v>1387.6060791</v>
      </c>
      <c r="I61">
        <v>1259.7130127</v>
      </c>
      <c r="J61">
        <v>1220.2655029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1.1328830000000001</v>
      </c>
      <c r="B62" s="1">
        <f>DATE(2010,5,2) + TIME(3,11,21)</f>
        <v>40300.132881944446</v>
      </c>
      <c r="C62">
        <v>80</v>
      </c>
      <c r="D62">
        <v>64.481979370000005</v>
      </c>
      <c r="E62">
        <v>50</v>
      </c>
      <c r="F62">
        <v>14.981155396</v>
      </c>
      <c r="G62">
        <v>1404.5999756000001</v>
      </c>
      <c r="H62">
        <v>1387.8049315999999</v>
      </c>
      <c r="I62">
        <v>1259.3538818</v>
      </c>
      <c r="J62">
        <v>1219.90625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1.1804589999999999</v>
      </c>
      <c r="B63" s="1">
        <f>DATE(2010,5,2) + TIME(4,19,51)</f>
        <v>40300.180451388886</v>
      </c>
      <c r="C63">
        <v>80</v>
      </c>
      <c r="D63">
        <v>65.421600342000005</v>
      </c>
      <c r="E63">
        <v>50</v>
      </c>
      <c r="F63">
        <v>14.981179236999999</v>
      </c>
      <c r="G63">
        <v>1404.6174315999999</v>
      </c>
      <c r="H63">
        <v>1388.0013428</v>
      </c>
      <c r="I63">
        <v>1258.9943848</v>
      </c>
      <c r="J63">
        <v>1219.5467529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1.230802</v>
      </c>
      <c r="B64" s="1">
        <f>DATE(2010,5,2) + TIME(5,32,21)</f>
        <v>40300.230798611112</v>
      </c>
      <c r="C64">
        <v>80</v>
      </c>
      <c r="D64">
        <v>66.354415893999999</v>
      </c>
      <c r="E64">
        <v>50</v>
      </c>
      <c r="F64">
        <v>14.981205940000001</v>
      </c>
      <c r="G64">
        <v>1404.6374512</v>
      </c>
      <c r="H64">
        <v>1388.1945800999999</v>
      </c>
      <c r="I64">
        <v>1258.6348877</v>
      </c>
      <c r="J64">
        <v>1219.1870117000001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1.2841149999999999</v>
      </c>
      <c r="B65" s="1">
        <f>DATE(2010,5,2) + TIME(6,49,7)</f>
        <v>40300.284108796295</v>
      </c>
      <c r="C65">
        <v>80</v>
      </c>
      <c r="D65">
        <v>67.277427673000005</v>
      </c>
      <c r="E65">
        <v>50</v>
      </c>
      <c r="F65">
        <v>14.98123455</v>
      </c>
      <c r="G65">
        <v>1404.6600341999999</v>
      </c>
      <c r="H65">
        <v>1388.3840332</v>
      </c>
      <c r="I65">
        <v>1258.2753906</v>
      </c>
      <c r="J65">
        <v>1218.8272704999999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1.3109440000000001</v>
      </c>
      <c r="B66" s="1">
        <f>DATE(2010,5,2) + TIME(7,27,45)</f>
        <v>40300.310937499999</v>
      </c>
      <c r="C66">
        <v>80</v>
      </c>
      <c r="D66">
        <v>67.727035521999994</v>
      </c>
      <c r="E66">
        <v>50</v>
      </c>
      <c r="F66">
        <v>14.981247902</v>
      </c>
      <c r="G66">
        <v>1404.6817627</v>
      </c>
      <c r="H66">
        <v>1388.4479980000001</v>
      </c>
      <c r="I66">
        <v>1258.0997314000001</v>
      </c>
      <c r="J66">
        <v>1218.6514893000001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1.337774</v>
      </c>
      <c r="B67" s="1">
        <f>DATE(2010,5,2) + TIME(8,6,23)</f>
        <v>40300.337766203702</v>
      </c>
      <c r="C67">
        <v>80</v>
      </c>
      <c r="D67">
        <v>68.161117554</v>
      </c>
      <c r="E67">
        <v>50</v>
      </c>
      <c r="F67">
        <v>14.981262207</v>
      </c>
      <c r="G67">
        <v>1404.6790771000001</v>
      </c>
      <c r="H67">
        <v>1388.5242920000001</v>
      </c>
      <c r="I67">
        <v>1257.9289550999999</v>
      </c>
      <c r="J67">
        <v>1218.4807129000001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1.391432</v>
      </c>
      <c r="B68" s="1">
        <f>DATE(2010,5,2) + TIME(9,23,39)</f>
        <v>40300.391423611109</v>
      </c>
      <c r="C68">
        <v>80</v>
      </c>
      <c r="D68">
        <v>68.969665527000004</v>
      </c>
      <c r="E68">
        <v>50</v>
      </c>
      <c r="F68">
        <v>14.981292724999999</v>
      </c>
      <c r="G68">
        <v>1404.6960449000001</v>
      </c>
      <c r="H68">
        <v>1388.7138672000001</v>
      </c>
      <c r="I68">
        <v>1257.6058350000001</v>
      </c>
      <c r="J68">
        <v>1218.1573486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1.4451240000000001</v>
      </c>
      <c r="B69" s="1">
        <f>DATE(2010,5,2) + TIME(10,40,58)</f>
        <v>40300.445115740738</v>
      </c>
      <c r="C69">
        <v>80</v>
      </c>
      <c r="D69">
        <v>69.724609375</v>
      </c>
      <c r="E69">
        <v>50</v>
      </c>
      <c r="F69">
        <v>14.981323242</v>
      </c>
      <c r="G69">
        <v>1404.7264404</v>
      </c>
      <c r="H69">
        <v>1388.8676757999999</v>
      </c>
      <c r="I69">
        <v>1257.2994385</v>
      </c>
      <c r="J69">
        <v>1217.8507079999999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1.4989920000000001</v>
      </c>
      <c r="B70" s="1">
        <f>DATE(2010,5,2) + TIME(11,58,32)</f>
        <v>40300.498981481483</v>
      </c>
      <c r="C70">
        <v>80</v>
      </c>
      <c r="D70">
        <v>70.430671692000004</v>
      </c>
      <c r="E70">
        <v>50</v>
      </c>
      <c r="F70">
        <v>14.981354713</v>
      </c>
      <c r="G70">
        <v>1404.7496338000001</v>
      </c>
      <c r="H70">
        <v>1389.005249</v>
      </c>
      <c r="I70">
        <v>1257.0078125</v>
      </c>
      <c r="J70">
        <v>1217.5589600000001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1.5531269999999999</v>
      </c>
      <c r="B71" s="1">
        <f>DATE(2010,5,2) + TIME(13,16,30)</f>
        <v>40300.553124999999</v>
      </c>
      <c r="C71">
        <v>80</v>
      </c>
      <c r="D71">
        <v>71.091758728000002</v>
      </c>
      <c r="E71">
        <v>50</v>
      </c>
      <c r="F71">
        <v>14.981386185</v>
      </c>
      <c r="G71">
        <v>1404.7707519999999</v>
      </c>
      <c r="H71">
        <v>1389.1318358999999</v>
      </c>
      <c r="I71">
        <v>1256.7296143000001</v>
      </c>
      <c r="J71">
        <v>1217.2805175999999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1.607612</v>
      </c>
      <c r="B72" s="1">
        <f>DATE(2010,5,2) + TIME(14,34,57)</f>
        <v>40300.607604166667</v>
      </c>
      <c r="C72">
        <v>80</v>
      </c>
      <c r="D72">
        <v>71.711372374999996</v>
      </c>
      <c r="E72">
        <v>50</v>
      </c>
      <c r="F72">
        <v>14.981417656</v>
      </c>
      <c r="G72">
        <v>1404.7904053</v>
      </c>
      <c r="H72">
        <v>1389.2489014</v>
      </c>
      <c r="I72">
        <v>1256.4636230000001</v>
      </c>
      <c r="J72">
        <v>1217.0142822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1.6625270000000001</v>
      </c>
      <c r="B73" s="1">
        <f>DATE(2010,5,2) + TIME(15,54,2)</f>
        <v>40300.662523148145</v>
      </c>
      <c r="C73">
        <v>80</v>
      </c>
      <c r="D73">
        <v>72.292472838999998</v>
      </c>
      <c r="E73">
        <v>50</v>
      </c>
      <c r="F73">
        <v>14.981450081</v>
      </c>
      <c r="G73">
        <v>1404.8089600000001</v>
      </c>
      <c r="H73">
        <v>1389.3574219</v>
      </c>
      <c r="I73">
        <v>1256.2086182</v>
      </c>
      <c r="J73">
        <v>1216.7591553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1.717954</v>
      </c>
      <c r="B74" s="1">
        <f>DATE(2010,5,2) + TIME(17,13,51)</f>
        <v>40300.717951388891</v>
      </c>
      <c r="C74">
        <v>80</v>
      </c>
      <c r="D74">
        <v>72.837707519999995</v>
      </c>
      <c r="E74">
        <v>50</v>
      </c>
      <c r="F74">
        <v>14.981482506000001</v>
      </c>
      <c r="G74">
        <v>1404.8264160000001</v>
      </c>
      <c r="H74">
        <v>1389.4578856999999</v>
      </c>
      <c r="I74">
        <v>1255.9638672000001</v>
      </c>
      <c r="J74">
        <v>1216.5141602000001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1.7739689999999999</v>
      </c>
      <c r="B75" s="1">
        <f>DATE(2010,5,2) + TIME(18,34,30)</f>
        <v>40300.773958333331</v>
      </c>
      <c r="C75">
        <v>80</v>
      </c>
      <c r="D75">
        <v>73.349464416999993</v>
      </c>
      <c r="E75">
        <v>50</v>
      </c>
      <c r="F75">
        <v>14.981515884</v>
      </c>
      <c r="G75">
        <v>1404.8425293</v>
      </c>
      <c r="H75">
        <v>1389.5510254000001</v>
      </c>
      <c r="I75">
        <v>1255.7283935999999</v>
      </c>
      <c r="J75">
        <v>1216.2784423999999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1.8306469999999999</v>
      </c>
      <c r="B76" s="1">
        <f>DATE(2010,5,2) + TIME(19,56,7)</f>
        <v>40300.830636574072</v>
      </c>
      <c r="C76">
        <v>80</v>
      </c>
      <c r="D76">
        <v>73.829841614000003</v>
      </c>
      <c r="E76">
        <v>50</v>
      </c>
      <c r="F76">
        <v>14.981548309000001</v>
      </c>
      <c r="G76">
        <v>1404.8574219</v>
      </c>
      <c r="H76">
        <v>1389.6370850000001</v>
      </c>
      <c r="I76">
        <v>1255.5017089999999</v>
      </c>
      <c r="J76">
        <v>1216.0515137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1.8880680000000001</v>
      </c>
      <c r="B77" s="1">
        <f>DATE(2010,5,2) + TIME(21,18,49)</f>
        <v>40300.888067129628</v>
      </c>
      <c r="C77">
        <v>80</v>
      </c>
      <c r="D77">
        <v>74.280815125000004</v>
      </c>
      <c r="E77">
        <v>50</v>
      </c>
      <c r="F77">
        <v>14.981582641999999</v>
      </c>
      <c r="G77">
        <v>1404.8709716999999</v>
      </c>
      <c r="H77">
        <v>1389.7165527</v>
      </c>
      <c r="I77">
        <v>1255.2828368999999</v>
      </c>
      <c r="J77">
        <v>1215.8325195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1.9463189999999999</v>
      </c>
      <c r="B78" s="1">
        <f>DATE(2010,5,2) + TIME(22,42,41)</f>
        <v>40300.94630787037</v>
      </c>
      <c r="C78">
        <v>80</v>
      </c>
      <c r="D78">
        <v>74.704208374000004</v>
      </c>
      <c r="E78">
        <v>50</v>
      </c>
      <c r="F78">
        <v>14.981616020000001</v>
      </c>
      <c r="G78">
        <v>1404.8830565999999</v>
      </c>
      <c r="H78">
        <v>1389.7899170000001</v>
      </c>
      <c r="I78">
        <v>1255.0715332</v>
      </c>
      <c r="J78">
        <v>1215.6209716999999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2.0054859999999999</v>
      </c>
      <c r="B79" s="1">
        <f>DATE(2010,5,3) + TIME(0,7,53)</f>
        <v>40301.005474537036</v>
      </c>
      <c r="C79">
        <v>80</v>
      </c>
      <c r="D79">
        <v>75.101593018000003</v>
      </c>
      <c r="E79">
        <v>50</v>
      </c>
      <c r="F79">
        <v>14.981650352000001</v>
      </c>
      <c r="G79">
        <v>1404.8936768000001</v>
      </c>
      <c r="H79">
        <v>1389.8572998</v>
      </c>
      <c r="I79">
        <v>1254.8670654</v>
      </c>
      <c r="J79">
        <v>1215.4162598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2.0656560000000002</v>
      </c>
      <c r="B80" s="1">
        <f>DATE(2010,5,3) + TIME(1,34,32)</f>
        <v>40301.065648148149</v>
      </c>
      <c r="C80">
        <v>80</v>
      </c>
      <c r="D80">
        <v>75.474319457999997</v>
      </c>
      <c r="E80">
        <v>50</v>
      </c>
      <c r="F80">
        <v>14.981684684999999</v>
      </c>
      <c r="G80">
        <v>1404.9027100000001</v>
      </c>
      <c r="H80">
        <v>1389.9189452999999</v>
      </c>
      <c r="I80">
        <v>1254.6689452999999</v>
      </c>
      <c r="J80">
        <v>1215.2180175999999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2.126922</v>
      </c>
      <c r="B81" s="1">
        <f>DATE(2010,5,3) + TIME(3,2,46)</f>
        <v>40301.126921296294</v>
      </c>
      <c r="C81">
        <v>80</v>
      </c>
      <c r="D81">
        <v>75.823982239000003</v>
      </c>
      <c r="E81">
        <v>50</v>
      </c>
      <c r="F81">
        <v>14.981719971</v>
      </c>
      <c r="G81">
        <v>1404.9101562000001</v>
      </c>
      <c r="H81">
        <v>1389.9752197</v>
      </c>
      <c r="I81">
        <v>1254.4769286999999</v>
      </c>
      <c r="J81">
        <v>1215.0257568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2.1893820000000002</v>
      </c>
      <c r="B82" s="1">
        <f>DATE(2010,5,3) + TIME(4,32,42)</f>
        <v>40301.189375000002</v>
      </c>
      <c r="C82">
        <v>80</v>
      </c>
      <c r="D82">
        <v>76.151847838999998</v>
      </c>
      <c r="E82">
        <v>50</v>
      </c>
      <c r="F82">
        <v>14.98175621</v>
      </c>
      <c r="G82">
        <v>1404.9157714999999</v>
      </c>
      <c r="H82">
        <v>1390.0262451000001</v>
      </c>
      <c r="I82">
        <v>1254.2905272999999</v>
      </c>
      <c r="J82">
        <v>1214.8391113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2.2531370000000002</v>
      </c>
      <c r="B83" s="1">
        <f>DATE(2010,5,3) + TIME(6,4,31)</f>
        <v>40301.253136574072</v>
      </c>
      <c r="C83">
        <v>80</v>
      </c>
      <c r="D83">
        <v>76.459106445000003</v>
      </c>
      <c r="E83">
        <v>50</v>
      </c>
      <c r="F83">
        <v>14.98179245</v>
      </c>
      <c r="G83">
        <v>1404.9196777</v>
      </c>
      <c r="H83">
        <v>1390.0721435999999</v>
      </c>
      <c r="I83">
        <v>1254.1094971</v>
      </c>
      <c r="J83">
        <v>1214.6579589999999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2.3182999999999998</v>
      </c>
      <c r="B84" s="1">
        <f>DATE(2010,5,3) + TIME(7,38,21)</f>
        <v>40301.318298611113</v>
      </c>
      <c r="C84">
        <v>80</v>
      </c>
      <c r="D84">
        <v>76.746864318999997</v>
      </c>
      <c r="E84">
        <v>50</v>
      </c>
      <c r="F84">
        <v>14.981829642999999</v>
      </c>
      <c r="G84">
        <v>1404.9217529</v>
      </c>
      <c r="H84">
        <v>1390.1132812000001</v>
      </c>
      <c r="I84">
        <v>1253.9334716999999</v>
      </c>
      <c r="J84">
        <v>1214.4816894999999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2.3849870000000002</v>
      </c>
      <c r="B85" s="1">
        <f>DATE(2010,5,3) + TIME(9,14,22)</f>
        <v>40301.384976851848</v>
      </c>
      <c r="C85">
        <v>80</v>
      </c>
      <c r="D85">
        <v>77.016143799000005</v>
      </c>
      <c r="E85">
        <v>50</v>
      </c>
      <c r="F85">
        <v>14.981866837</v>
      </c>
      <c r="G85">
        <v>1404.921875</v>
      </c>
      <c r="H85">
        <v>1390.1495361</v>
      </c>
      <c r="I85">
        <v>1253.7620850000001</v>
      </c>
      <c r="J85">
        <v>1214.3101807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2.4533360000000002</v>
      </c>
      <c r="B86" s="1">
        <f>DATE(2010,5,3) + TIME(10,52,48)</f>
        <v>40301.453333333331</v>
      </c>
      <c r="C86">
        <v>80</v>
      </c>
      <c r="D86">
        <v>77.267936707000004</v>
      </c>
      <c r="E86">
        <v>50</v>
      </c>
      <c r="F86">
        <v>14.981904984</v>
      </c>
      <c r="G86">
        <v>1404.9200439000001</v>
      </c>
      <c r="H86">
        <v>1390.1811522999999</v>
      </c>
      <c r="I86">
        <v>1253.5952147999999</v>
      </c>
      <c r="J86">
        <v>1214.1430664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2.5234939999999999</v>
      </c>
      <c r="B87" s="1">
        <f>DATE(2010,5,3) + TIME(12,33,49)</f>
        <v>40301.5234837963</v>
      </c>
      <c r="C87">
        <v>80</v>
      </c>
      <c r="D87">
        <v>77.503158568999993</v>
      </c>
      <c r="E87">
        <v>50</v>
      </c>
      <c r="F87">
        <v>14.981945037999999</v>
      </c>
      <c r="G87">
        <v>1404.9160156</v>
      </c>
      <c r="H87">
        <v>1390.2082519999999</v>
      </c>
      <c r="I87">
        <v>1253.4326172000001</v>
      </c>
      <c r="J87">
        <v>1213.9802245999999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2.5955940000000002</v>
      </c>
      <c r="B88" s="1">
        <f>DATE(2010,5,3) + TIME(14,17,39)</f>
        <v>40301.595590277779</v>
      </c>
      <c r="C88">
        <v>80</v>
      </c>
      <c r="D88">
        <v>77.722595214999998</v>
      </c>
      <c r="E88">
        <v>50</v>
      </c>
      <c r="F88">
        <v>14.981985092</v>
      </c>
      <c r="G88">
        <v>1404.9099120999999</v>
      </c>
      <c r="H88">
        <v>1390.2307129000001</v>
      </c>
      <c r="I88">
        <v>1253.2740478999999</v>
      </c>
      <c r="J88">
        <v>1213.8215332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2.6697989999999998</v>
      </c>
      <c r="B89" s="1">
        <f>DATE(2010,5,3) + TIME(16,4,30)</f>
        <v>40301.669791666667</v>
      </c>
      <c r="C89">
        <v>80</v>
      </c>
      <c r="D89">
        <v>77.927040099999999</v>
      </c>
      <c r="E89">
        <v>50</v>
      </c>
      <c r="F89">
        <v>14.982026100000001</v>
      </c>
      <c r="G89">
        <v>1404.9013672000001</v>
      </c>
      <c r="H89">
        <v>1390.2486572</v>
      </c>
      <c r="I89">
        <v>1253.1193848</v>
      </c>
      <c r="J89">
        <v>1213.666626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2.7462909999999998</v>
      </c>
      <c r="B90" s="1">
        <f>DATE(2010,5,3) + TIME(17,54,39)</f>
        <v>40301.74628472222</v>
      </c>
      <c r="C90">
        <v>80</v>
      </c>
      <c r="D90">
        <v>78.117248535000002</v>
      </c>
      <c r="E90">
        <v>50</v>
      </c>
      <c r="F90">
        <v>14.982069016000001</v>
      </c>
      <c r="G90">
        <v>1404.8903809000001</v>
      </c>
      <c r="H90">
        <v>1390.262207</v>
      </c>
      <c r="I90">
        <v>1252.9683838000001</v>
      </c>
      <c r="J90">
        <v>1213.5155029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2.8252679999999999</v>
      </c>
      <c r="B91" s="1">
        <f>DATE(2010,5,3) + TIME(19,48,23)</f>
        <v>40301.825266203705</v>
      </c>
      <c r="C91">
        <v>80</v>
      </c>
      <c r="D91">
        <v>78.293922424000002</v>
      </c>
      <c r="E91">
        <v>50</v>
      </c>
      <c r="F91">
        <v>14.982112884999999</v>
      </c>
      <c r="G91">
        <v>1404.8769531</v>
      </c>
      <c r="H91">
        <v>1390.2711182</v>
      </c>
      <c r="I91">
        <v>1252.8210449000001</v>
      </c>
      <c r="J91">
        <v>1213.3679199000001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2.906787</v>
      </c>
      <c r="B92" s="1">
        <f>DATE(2010,5,3) + TIME(21,45,46)</f>
        <v>40301.906782407408</v>
      </c>
      <c r="C92">
        <v>80</v>
      </c>
      <c r="D92">
        <v>78.457443237000007</v>
      </c>
      <c r="E92">
        <v>50</v>
      </c>
      <c r="F92">
        <v>14.982157707000001</v>
      </c>
      <c r="G92">
        <v>1404.8605957</v>
      </c>
      <c r="H92">
        <v>1390.2753906</v>
      </c>
      <c r="I92">
        <v>1252.6773682</v>
      </c>
      <c r="J92">
        <v>1213.2241211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2.9909309999999998</v>
      </c>
      <c r="B93" s="1">
        <f>DATE(2010,5,3) + TIME(23,46,56)</f>
        <v>40301.990925925929</v>
      </c>
      <c r="C93">
        <v>80</v>
      </c>
      <c r="D93">
        <v>78.608291625999996</v>
      </c>
      <c r="E93">
        <v>50</v>
      </c>
      <c r="F93">
        <v>14.982204437</v>
      </c>
      <c r="G93">
        <v>1404.8411865</v>
      </c>
      <c r="H93">
        <v>1390.2747803</v>
      </c>
      <c r="I93">
        <v>1252.5374756000001</v>
      </c>
      <c r="J93">
        <v>1213.0841064000001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3.0775649999999999</v>
      </c>
      <c r="B94" s="1">
        <f>DATE(2010,5,4) + TIME(1,51,41)</f>
        <v>40302.077557870369</v>
      </c>
      <c r="C94">
        <v>80</v>
      </c>
      <c r="D94">
        <v>78.746650696000003</v>
      </c>
      <c r="E94">
        <v>50</v>
      </c>
      <c r="F94">
        <v>14.982252121</v>
      </c>
      <c r="G94">
        <v>1404.8186035000001</v>
      </c>
      <c r="H94">
        <v>1390.2691649999999</v>
      </c>
      <c r="I94">
        <v>1252.4018555</v>
      </c>
      <c r="J94">
        <v>1212.9483643000001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3.1668880000000001</v>
      </c>
      <c r="B95" s="1">
        <f>DATE(2010,5,4) + TIME(4,0,19)</f>
        <v>40302.166886574072</v>
      </c>
      <c r="C95">
        <v>80</v>
      </c>
      <c r="D95">
        <v>78.873306274000001</v>
      </c>
      <c r="E95">
        <v>50</v>
      </c>
      <c r="F95">
        <v>14.982301712</v>
      </c>
      <c r="G95">
        <v>1404.7928466999999</v>
      </c>
      <c r="H95">
        <v>1390.2589111</v>
      </c>
      <c r="I95">
        <v>1252.2703856999999</v>
      </c>
      <c r="J95">
        <v>1212.8167725000001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3.2589419999999998</v>
      </c>
      <c r="B96" s="1">
        <f>DATE(2010,5,4) + TIME(6,12,52)</f>
        <v>40302.258935185186</v>
      </c>
      <c r="C96">
        <v>80</v>
      </c>
      <c r="D96">
        <v>78.988815308</v>
      </c>
      <c r="E96">
        <v>50</v>
      </c>
      <c r="F96">
        <v>14.982352257000001</v>
      </c>
      <c r="G96">
        <v>1404.7636719</v>
      </c>
      <c r="H96">
        <v>1390.2437743999999</v>
      </c>
      <c r="I96">
        <v>1252.1431885</v>
      </c>
      <c r="J96">
        <v>1212.6893310999999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3.3539650000000001</v>
      </c>
      <c r="B97" s="1">
        <f>DATE(2010,5,4) + TIME(8,29,42)</f>
        <v>40302.353958333333</v>
      </c>
      <c r="C97">
        <v>80</v>
      </c>
      <c r="D97">
        <v>79.093933105000005</v>
      </c>
      <c r="E97">
        <v>50</v>
      </c>
      <c r="F97">
        <v>14.982404709000001</v>
      </c>
      <c r="G97">
        <v>1404.7313231999999</v>
      </c>
      <c r="H97">
        <v>1390.2238769999999</v>
      </c>
      <c r="I97">
        <v>1252.0200195</v>
      </c>
      <c r="J97">
        <v>1212.5661620999999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3.4522140000000001</v>
      </c>
      <c r="B98" s="1">
        <f>DATE(2010,5,4) + TIME(10,51,11)</f>
        <v>40302.452210648145</v>
      </c>
      <c r="C98">
        <v>80</v>
      </c>
      <c r="D98">
        <v>79.189384459999999</v>
      </c>
      <c r="E98">
        <v>50</v>
      </c>
      <c r="F98">
        <v>14.982458115</v>
      </c>
      <c r="G98">
        <v>1404.6954346</v>
      </c>
      <c r="H98">
        <v>1390.1993408000001</v>
      </c>
      <c r="I98">
        <v>1251.901001</v>
      </c>
      <c r="J98">
        <v>1212.4468993999999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3.5539770000000002</v>
      </c>
      <c r="B99" s="1">
        <f>DATE(2010,5,4) + TIME(13,17,43)</f>
        <v>40302.553969907407</v>
      </c>
      <c r="C99">
        <v>80</v>
      </c>
      <c r="D99">
        <v>79.275848389000004</v>
      </c>
      <c r="E99">
        <v>50</v>
      </c>
      <c r="F99">
        <v>14.982514381</v>
      </c>
      <c r="G99">
        <v>1404.6560059000001</v>
      </c>
      <c r="H99">
        <v>1390.1700439000001</v>
      </c>
      <c r="I99">
        <v>1251.7858887</v>
      </c>
      <c r="J99">
        <v>1212.3316649999999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3.6594380000000002</v>
      </c>
      <c r="B100" s="1">
        <f>DATE(2010,5,4) + TIME(15,49,35)</f>
        <v>40302.659432870372</v>
      </c>
      <c r="C100">
        <v>80</v>
      </c>
      <c r="D100">
        <v>79.353858947999996</v>
      </c>
      <c r="E100">
        <v>50</v>
      </c>
      <c r="F100">
        <v>14.982571602</v>
      </c>
      <c r="G100">
        <v>1404.6126709</v>
      </c>
      <c r="H100">
        <v>1390.1356201000001</v>
      </c>
      <c r="I100">
        <v>1251.6746826000001</v>
      </c>
      <c r="J100">
        <v>1212.2204589999999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3.7687349999999999</v>
      </c>
      <c r="B101" s="1">
        <f>DATE(2010,5,4) + TIME(18,26,58)</f>
        <v>40302.768726851849</v>
      </c>
      <c r="C101">
        <v>80</v>
      </c>
      <c r="D101">
        <v>79.423942565999994</v>
      </c>
      <c r="E101">
        <v>50</v>
      </c>
      <c r="F101">
        <v>14.982631682999999</v>
      </c>
      <c r="G101">
        <v>1404.5651855000001</v>
      </c>
      <c r="H101">
        <v>1390.0961914</v>
      </c>
      <c r="I101">
        <v>1251.567749</v>
      </c>
      <c r="J101">
        <v>1212.1134033000001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3.8817469999999998</v>
      </c>
      <c r="B102" s="1">
        <f>DATE(2010,5,4) + TIME(21,9,42)</f>
        <v>40302.881736111114</v>
      </c>
      <c r="C102">
        <v>80</v>
      </c>
      <c r="D102">
        <v>79.486488342000001</v>
      </c>
      <c r="E102">
        <v>50</v>
      </c>
      <c r="F102">
        <v>14.982693672</v>
      </c>
      <c r="G102">
        <v>1404.5134277</v>
      </c>
      <c r="H102">
        <v>1390.0513916</v>
      </c>
      <c r="I102">
        <v>1251.4652100000001</v>
      </c>
      <c r="J102">
        <v>1212.0107422000001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3.9950610000000002</v>
      </c>
      <c r="B103" s="1">
        <f>DATE(2010,5,4) + TIME(23,52,53)</f>
        <v>40302.995057870372</v>
      </c>
      <c r="C103">
        <v>80</v>
      </c>
      <c r="D103">
        <v>79.540603637999993</v>
      </c>
      <c r="E103">
        <v>50</v>
      </c>
      <c r="F103">
        <v>14.982755661000001</v>
      </c>
      <c r="G103">
        <v>1404.4556885</v>
      </c>
      <c r="H103">
        <v>1389.9993896000001</v>
      </c>
      <c r="I103">
        <v>1251.3698730000001</v>
      </c>
      <c r="J103">
        <v>1211.9154053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4.108886</v>
      </c>
      <c r="B104" s="1">
        <f>DATE(2010,5,5) + TIME(2,36,47)</f>
        <v>40303.108877314815</v>
      </c>
      <c r="C104">
        <v>80</v>
      </c>
      <c r="D104">
        <v>79.587501525999997</v>
      </c>
      <c r="E104">
        <v>50</v>
      </c>
      <c r="F104">
        <v>14.982818604</v>
      </c>
      <c r="G104">
        <v>1404.3951416</v>
      </c>
      <c r="H104">
        <v>1389.9439697</v>
      </c>
      <c r="I104">
        <v>1251.28125</v>
      </c>
      <c r="J104">
        <v>1211.8266602000001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4.2234280000000002</v>
      </c>
      <c r="B105" s="1">
        <f>DATE(2010,5,5) + TIME(5,21,44)</f>
        <v>40303.223425925928</v>
      </c>
      <c r="C105">
        <v>80</v>
      </c>
      <c r="D105">
        <v>79.628204346000004</v>
      </c>
      <c r="E105">
        <v>50</v>
      </c>
      <c r="F105">
        <v>14.982881546</v>
      </c>
      <c r="G105">
        <v>1404.3325195</v>
      </c>
      <c r="H105">
        <v>1389.8854980000001</v>
      </c>
      <c r="I105">
        <v>1251.1987305</v>
      </c>
      <c r="J105">
        <v>1211.7441406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4.3386550000000002</v>
      </c>
      <c r="B106" s="1">
        <f>DATE(2010,5,5) + TIME(8,7,39)</f>
        <v>40303.338645833333</v>
      </c>
      <c r="C106">
        <v>80</v>
      </c>
      <c r="D106">
        <v>79.663505553999997</v>
      </c>
      <c r="E106">
        <v>50</v>
      </c>
      <c r="F106">
        <v>14.982944488999999</v>
      </c>
      <c r="G106">
        <v>1404.2678223</v>
      </c>
      <c r="H106">
        <v>1389.8244629000001</v>
      </c>
      <c r="I106">
        <v>1251.1219481999999</v>
      </c>
      <c r="J106">
        <v>1211.6672363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4.4544860000000002</v>
      </c>
      <c r="B107" s="1">
        <f>DATE(2010,5,5) + TIME(10,54,27)</f>
        <v>40303.454479166663</v>
      </c>
      <c r="C107">
        <v>80</v>
      </c>
      <c r="D107">
        <v>79.694091796999999</v>
      </c>
      <c r="E107">
        <v>50</v>
      </c>
      <c r="F107">
        <v>14.983008385</v>
      </c>
      <c r="G107">
        <v>1404.2010498</v>
      </c>
      <c r="H107">
        <v>1389.7608643000001</v>
      </c>
      <c r="I107">
        <v>1251.0506591999999</v>
      </c>
      <c r="J107">
        <v>1211.5959473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4.5710790000000001</v>
      </c>
      <c r="B108" s="1">
        <f>DATE(2010,5,5) + TIME(13,42,21)</f>
        <v>40303.571076388886</v>
      </c>
      <c r="C108">
        <v>80</v>
      </c>
      <c r="D108">
        <v>79.720619201999995</v>
      </c>
      <c r="E108">
        <v>50</v>
      </c>
      <c r="F108">
        <v>14.983072281</v>
      </c>
      <c r="G108">
        <v>1404.1324463000001</v>
      </c>
      <c r="H108">
        <v>1389.6950684000001</v>
      </c>
      <c r="I108">
        <v>1250.984375</v>
      </c>
      <c r="J108">
        <v>1211.5295410000001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4.6886000000000001</v>
      </c>
      <c r="B109" s="1">
        <f>DATE(2010,5,5) + TIME(16,31,35)</f>
        <v>40303.688599537039</v>
      </c>
      <c r="C109">
        <v>80</v>
      </c>
      <c r="D109">
        <v>79.743652343999997</v>
      </c>
      <c r="E109">
        <v>50</v>
      </c>
      <c r="F109">
        <v>14.983136177</v>
      </c>
      <c r="G109">
        <v>1404.0622559000001</v>
      </c>
      <c r="H109">
        <v>1389.6271973</v>
      </c>
      <c r="I109">
        <v>1250.9227295000001</v>
      </c>
      <c r="J109">
        <v>1211.4678954999999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4.8072280000000003</v>
      </c>
      <c r="B110" s="1">
        <f>DATE(2010,5,5) + TIME(19,22,24)</f>
        <v>40303.807222222225</v>
      </c>
      <c r="C110">
        <v>80</v>
      </c>
      <c r="D110">
        <v>79.763656616000006</v>
      </c>
      <c r="E110">
        <v>50</v>
      </c>
      <c r="F110">
        <v>14.983201027</v>
      </c>
      <c r="G110">
        <v>1403.9904785000001</v>
      </c>
      <c r="H110">
        <v>1389.5573730000001</v>
      </c>
      <c r="I110">
        <v>1250.8654785000001</v>
      </c>
      <c r="J110">
        <v>1211.4106445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4.9271289999999999</v>
      </c>
      <c r="B111" s="1">
        <f>DATE(2010,5,5) + TIME(22,15,3)</f>
        <v>40303.927118055559</v>
      </c>
      <c r="C111">
        <v>80</v>
      </c>
      <c r="D111">
        <v>79.781051636000001</v>
      </c>
      <c r="E111">
        <v>50</v>
      </c>
      <c r="F111">
        <v>14.98326683</v>
      </c>
      <c r="G111">
        <v>1403.9168701000001</v>
      </c>
      <c r="H111">
        <v>1389.4857178</v>
      </c>
      <c r="I111">
        <v>1250.8122559000001</v>
      </c>
      <c r="J111">
        <v>1211.3574219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5.0484749999999998</v>
      </c>
      <c r="B112" s="1">
        <f>DATE(2010,5,6) + TIME(1,9,48)</f>
        <v>40304.048472222225</v>
      </c>
      <c r="C112">
        <v>80</v>
      </c>
      <c r="D112">
        <v>79.796188353999995</v>
      </c>
      <c r="E112">
        <v>50</v>
      </c>
      <c r="F112">
        <v>14.983332634</v>
      </c>
      <c r="G112">
        <v>1403.8416748</v>
      </c>
      <c r="H112">
        <v>1389.4119873</v>
      </c>
      <c r="I112">
        <v>1250.7628173999999</v>
      </c>
      <c r="J112">
        <v>1211.3078613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5.1714409999999997</v>
      </c>
      <c r="B113" s="1">
        <f>DATE(2010,5,6) + TIME(4,6,52)</f>
        <v>40304.171435185184</v>
      </c>
      <c r="C113">
        <v>80</v>
      </c>
      <c r="D113">
        <v>79.809356688999998</v>
      </c>
      <c r="E113">
        <v>50</v>
      </c>
      <c r="F113">
        <v>14.983398438</v>
      </c>
      <c r="G113">
        <v>1403.7646483999999</v>
      </c>
      <c r="H113">
        <v>1389.3364257999999</v>
      </c>
      <c r="I113">
        <v>1250.7169189000001</v>
      </c>
      <c r="J113">
        <v>1211.2619629000001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5.296208</v>
      </c>
      <c r="B114" s="1">
        <f>DATE(2010,5,6) + TIME(7,6,32)</f>
        <v>40304.296203703707</v>
      </c>
      <c r="C114">
        <v>80</v>
      </c>
      <c r="D114">
        <v>79.820823669000006</v>
      </c>
      <c r="E114">
        <v>50</v>
      </c>
      <c r="F114">
        <v>14.983466148</v>
      </c>
      <c r="G114">
        <v>1403.6859131000001</v>
      </c>
      <c r="H114">
        <v>1389.2590332</v>
      </c>
      <c r="I114">
        <v>1250.6743164</v>
      </c>
      <c r="J114">
        <v>1211.2193603999999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5.4229690000000002</v>
      </c>
      <c r="B115" s="1">
        <f>DATE(2010,5,6) + TIME(10,9,4)</f>
        <v>40304.422962962963</v>
      </c>
      <c r="C115">
        <v>80</v>
      </c>
      <c r="D115">
        <v>79.830802917</v>
      </c>
      <c r="E115">
        <v>50</v>
      </c>
      <c r="F115">
        <v>14.983533859</v>
      </c>
      <c r="G115">
        <v>1403.6053466999999</v>
      </c>
      <c r="H115">
        <v>1389.1795654</v>
      </c>
      <c r="I115">
        <v>1250.6348877</v>
      </c>
      <c r="J115">
        <v>1211.1798096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5.5519210000000001</v>
      </c>
      <c r="B116" s="1">
        <f>DATE(2010,5,6) + TIME(13,14,45)</f>
        <v>40304.55190972222</v>
      </c>
      <c r="C116">
        <v>80</v>
      </c>
      <c r="D116">
        <v>79.839500427000004</v>
      </c>
      <c r="E116">
        <v>50</v>
      </c>
      <c r="F116">
        <v>14.983602524</v>
      </c>
      <c r="G116">
        <v>1403.5229492000001</v>
      </c>
      <c r="H116">
        <v>1389.0982666</v>
      </c>
      <c r="I116">
        <v>1250.5983887</v>
      </c>
      <c r="J116">
        <v>1211.1433105000001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5.6832779999999996</v>
      </c>
      <c r="B117" s="1">
        <f>DATE(2010,5,6) + TIME(16,23,55)</f>
        <v>40304.683275462965</v>
      </c>
      <c r="C117">
        <v>80</v>
      </c>
      <c r="D117">
        <v>79.847084045000003</v>
      </c>
      <c r="E117">
        <v>50</v>
      </c>
      <c r="F117">
        <v>14.983672142</v>
      </c>
      <c r="G117">
        <v>1403.4385986</v>
      </c>
      <c r="H117">
        <v>1389.0148925999999</v>
      </c>
      <c r="I117">
        <v>1250.5645752</v>
      </c>
      <c r="J117">
        <v>1211.1096190999999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5.8172870000000003</v>
      </c>
      <c r="B118" s="1">
        <f>DATE(2010,5,6) + TIME(19,36,53)</f>
        <v>40304.817280092589</v>
      </c>
      <c r="C118">
        <v>80</v>
      </c>
      <c r="D118">
        <v>79.853683472</v>
      </c>
      <c r="E118">
        <v>50</v>
      </c>
      <c r="F118">
        <v>14.983741759999999</v>
      </c>
      <c r="G118">
        <v>1403.3522949000001</v>
      </c>
      <c r="H118">
        <v>1388.9295654</v>
      </c>
      <c r="I118">
        <v>1250.5335693</v>
      </c>
      <c r="J118">
        <v>1211.0784911999999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5.9542130000000002</v>
      </c>
      <c r="B119" s="1">
        <f>DATE(2010,5,6) + TIME(22,54,3)</f>
        <v>40304.954201388886</v>
      </c>
      <c r="C119">
        <v>80</v>
      </c>
      <c r="D119">
        <v>79.859451293999996</v>
      </c>
      <c r="E119">
        <v>50</v>
      </c>
      <c r="F119">
        <v>14.983813286</v>
      </c>
      <c r="G119">
        <v>1403.2639160000001</v>
      </c>
      <c r="H119">
        <v>1388.8421631000001</v>
      </c>
      <c r="I119">
        <v>1250.5048827999999</v>
      </c>
      <c r="J119">
        <v>1211.0498047000001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6.0939690000000004</v>
      </c>
      <c r="B120" s="1">
        <f>DATE(2010,5,7) + TIME(2,15,18)</f>
        <v>40305.093958333331</v>
      </c>
      <c r="C120">
        <v>80</v>
      </c>
      <c r="D120">
        <v>79.864463806000003</v>
      </c>
      <c r="E120">
        <v>50</v>
      </c>
      <c r="F120">
        <v>14.983885765</v>
      </c>
      <c r="G120">
        <v>1403.1734618999999</v>
      </c>
      <c r="H120">
        <v>1388.7524414</v>
      </c>
      <c r="I120">
        <v>1250.4787598</v>
      </c>
      <c r="J120">
        <v>1211.0236815999999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6.2366999999999999</v>
      </c>
      <c r="B121" s="1">
        <f>DATE(2010,5,7) + TIME(5,40,50)</f>
        <v>40305.236689814818</v>
      </c>
      <c r="C121">
        <v>80</v>
      </c>
      <c r="D121">
        <v>79.868827820000007</v>
      </c>
      <c r="E121">
        <v>50</v>
      </c>
      <c r="F121">
        <v>14.983958244</v>
      </c>
      <c r="G121">
        <v>1403.0808105000001</v>
      </c>
      <c r="H121">
        <v>1388.6606445</v>
      </c>
      <c r="I121">
        <v>1250.4549560999999</v>
      </c>
      <c r="J121">
        <v>1210.9998779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6.3826640000000001</v>
      </c>
      <c r="B122" s="1">
        <f>DATE(2010,5,7) + TIME(9,11,2)</f>
        <v>40305.382662037038</v>
      </c>
      <c r="C122">
        <v>80</v>
      </c>
      <c r="D122">
        <v>79.872634887999993</v>
      </c>
      <c r="E122">
        <v>50</v>
      </c>
      <c r="F122">
        <v>14.984032631</v>
      </c>
      <c r="G122">
        <v>1402.9860839999999</v>
      </c>
      <c r="H122">
        <v>1388.5668945</v>
      </c>
      <c r="I122">
        <v>1250.4333495999999</v>
      </c>
      <c r="J122">
        <v>1210.9782714999999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6.5321530000000001</v>
      </c>
      <c r="B123" s="1">
        <f>DATE(2010,5,7) + TIME(12,46,17)</f>
        <v>40305.532141203701</v>
      </c>
      <c r="C123">
        <v>80</v>
      </c>
      <c r="D123">
        <v>79.875946045000006</v>
      </c>
      <c r="E123">
        <v>50</v>
      </c>
      <c r="F123">
        <v>14.984107971</v>
      </c>
      <c r="G123">
        <v>1402.8892822</v>
      </c>
      <c r="H123">
        <v>1388.4710693</v>
      </c>
      <c r="I123">
        <v>1250.4138184000001</v>
      </c>
      <c r="J123">
        <v>1210.9587402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6.6854820000000004</v>
      </c>
      <c r="B124" s="1">
        <f>DATE(2010,5,7) + TIME(16,27,5)</f>
        <v>40305.685474537036</v>
      </c>
      <c r="C124">
        <v>80</v>
      </c>
      <c r="D124">
        <v>79.878845214999998</v>
      </c>
      <c r="E124">
        <v>50</v>
      </c>
      <c r="F124">
        <v>14.984183311000001</v>
      </c>
      <c r="G124">
        <v>1402.7902832</v>
      </c>
      <c r="H124">
        <v>1388.3729248</v>
      </c>
      <c r="I124">
        <v>1250.3963623</v>
      </c>
      <c r="J124">
        <v>1210.9411620999999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6.8430070000000001</v>
      </c>
      <c r="B125" s="1">
        <f>DATE(2010,5,7) + TIME(20,13,55)</f>
        <v>40305.842997685184</v>
      </c>
      <c r="C125">
        <v>80</v>
      </c>
      <c r="D125">
        <v>79.881385803000001</v>
      </c>
      <c r="E125">
        <v>50</v>
      </c>
      <c r="F125">
        <v>14.984260559000001</v>
      </c>
      <c r="G125">
        <v>1402.6888428</v>
      </c>
      <c r="H125">
        <v>1388.2725829999999</v>
      </c>
      <c r="I125">
        <v>1250.3807373</v>
      </c>
      <c r="J125">
        <v>1210.9255370999999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7.0047259999999998</v>
      </c>
      <c r="B126" s="1">
        <f>DATE(2010,5,8) + TIME(0,6,48)</f>
        <v>40306.00472222222</v>
      </c>
      <c r="C126">
        <v>80</v>
      </c>
      <c r="D126">
        <v>79.883598328000005</v>
      </c>
      <c r="E126">
        <v>50</v>
      </c>
      <c r="F126">
        <v>14.984339714000001</v>
      </c>
      <c r="G126">
        <v>1402.5850829999999</v>
      </c>
      <c r="H126">
        <v>1388.1697998</v>
      </c>
      <c r="I126">
        <v>1250.3669434000001</v>
      </c>
      <c r="J126">
        <v>1210.9118652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7.170839</v>
      </c>
      <c r="B127" s="1">
        <f>DATE(2010,5,8) + TIME(4,6,0)</f>
        <v>40306.17083333333</v>
      </c>
      <c r="C127">
        <v>80</v>
      </c>
      <c r="D127">
        <v>79.885536193999997</v>
      </c>
      <c r="E127">
        <v>50</v>
      </c>
      <c r="F127">
        <v>14.984418869000001</v>
      </c>
      <c r="G127">
        <v>1402.4788818</v>
      </c>
      <c r="H127">
        <v>1388.0646973</v>
      </c>
      <c r="I127">
        <v>1250.3549805</v>
      </c>
      <c r="J127">
        <v>1210.8999022999999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7.341526</v>
      </c>
      <c r="B128" s="1">
        <f>DATE(2010,5,8) + TIME(8,11,47)</f>
        <v>40306.341516203705</v>
      </c>
      <c r="C128">
        <v>80</v>
      </c>
      <c r="D128">
        <v>79.887237549000005</v>
      </c>
      <c r="E128">
        <v>50</v>
      </c>
      <c r="F128">
        <v>14.984499931</v>
      </c>
      <c r="G128">
        <v>1402.3702393000001</v>
      </c>
      <c r="H128">
        <v>1387.9571533000001</v>
      </c>
      <c r="I128">
        <v>1250.3447266000001</v>
      </c>
      <c r="J128">
        <v>1210.8895264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7.5168220000000003</v>
      </c>
      <c r="B129" s="1">
        <f>DATE(2010,5,8) + TIME(12,24,13)</f>
        <v>40306.516817129632</v>
      </c>
      <c r="C129">
        <v>80</v>
      </c>
      <c r="D129">
        <v>79.888725281000006</v>
      </c>
      <c r="E129">
        <v>50</v>
      </c>
      <c r="F129">
        <v>14.984580994</v>
      </c>
      <c r="G129">
        <v>1402.2591553</v>
      </c>
      <c r="H129">
        <v>1387.8474120999999</v>
      </c>
      <c r="I129">
        <v>1250.3360596</v>
      </c>
      <c r="J129">
        <v>1210.8808594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7.6969310000000002</v>
      </c>
      <c r="B130" s="1">
        <f>DATE(2010,5,8) + TIME(16,43,34)</f>
        <v>40306.696921296294</v>
      </c>
      <c r="C130">
        <v>80</v>
      </c>
      <c r="D130">
        <v>79.890037536999998</v>
      </c>
      <c r="E130">
        <v>50</v>
      </c>
      <c r="F130">
        <v>14.984663962999999</v>
      </c>
      <c r="G130">
        <v>1402.145874</v>
      </c>
      <c r="H130">
        <v>1387.7354736</v>
      </c>
      <c r="I130">
        <v>1250.3289795000001</v>
      </c>
      <c r="J130">
        <v>1210.8737793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7.8771469999999999</v>
      </c>
      <c r="B131" s="1">
        <f>DATE(2010,5,8) + TIME(21,3,5)</f>
        <v>40306.877141203702</v>
      </c>
      <c r="C131">
        <v>80</v>
      </c>
      <c r="D131">
        <v>79.891159058</v>
      </c>
      <c r="E131">
        <v>50</v>
      </c>
      <c r="F131">
        <v>14.984745978999999</v>
      </c>
      <c r="G131">
        <v>1402.0303954999999</v>
      </c>
      <c r="H131">
        <v>1387.6214600000001</v>
      </c>
      <c r="I131">
        <v>1250.3233643000001</v>
      </c>
      <c r="J131">
        <v>1210.8681641000001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8.05762</v>
      </c>
      <c r="B132" s="1">
        <f>DATE(2010,5,9) + TIME(1,22,58)</f>
        <v>40307.057615740741</v>
      </c>
      <c r="C132">
        <v>80</v>
      </c>
      <c r="D132">
        <v>79.892135620000005</v>
      </c>
      <c r="E132">
        <v>50</v>
      </c>
      <c r="F132">
        <v>14.984827041999999</v>
      </c>
      <c r="G132">
        <v>1401.9154053</v>
      </c>
      <c r="H132">
        <v>1387.5079346</v>
      </c>
      <c r="I132">
        <v>1250.3192139</v>
      </c>
      <c r="J132">
        <v>1210.8640137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8.2386459999999992</v>
      </c>
      <c r="B133" s="1">
        <f>DATE(2010,5,9) + TIME(5,43,39)</f>
        <v>40307.238645833335</v>
      </c>
      <c r="C133">
        <v>80</v>
      </c>
      <c r="D133">
        <v>79.892982482999997</v>
      </c>
      <c r="E133">
        <v>50</v>
      </c>
      <c r="F133">
        <v>14.984908104000001</v>
      </c>
      <c r="G133">
        <v>1401.8011475000001</v>
      </c>
      <c r="H133">
        <v>1387.3951416</v>
      </c>
      <c r="I133">
        <v>1250.3162841999999</v>
      </c>
      <c r="J133">
        <v>1210.8610839999999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8.4204729999999994</v>
      </c>
      <c r="B134" s="1">
        <f>DATE(2010,5,9) + TIME(10,5,28)</f>
        <v>40307.42046296296</v>
      </c>
      <c r="C134">
        <v>80</v>
      </c>
      <c r="D134">
        <v>79.893730164000004</v>
      </c>
      <c r="E134">
        <v>50</v>
      </c>
      <c r="F134">
        <v>14.984987259</v>
      </c>
      <c r="G134">
        <v>1401.6876221</v>
      </c>
      <c r="H134">
        <v>1387.2832031</v>
      </c>
      <c r="I134">
        <v>1250.3144531</v>
      </c>
      <c r="J134">
        <v>1210.8592529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8.6034120000000005</v>
      </c>
      <c r="B135" s="1">
        <f>DATE(2010,5,9) + TIME(14,28,54)</f>
        <v>40307.603402777779</v>
      </c>
      <c r="C135">
        <v>80</v>
      </c>
      <c r="D135">
        <v>79.894393921000002</v>
      </c>
      <c r="E135">
        <v>50</v>
      </c>
      <c r="F135">
        <v>14.985066414</v>
      </c>
      <c r="G135">
        <v>1401.5745850000001</v>
      </c>
      <c r="H135">
        <v>1387.171875</v>
      </c>
      <c r="I135">
        <v>1250.3135986</v>
      </c>
      <c r="J135">
        <v>1210.8583983999999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8.7877410000000005</v>
      </c>
      <c r="B136" s="1">
        <f>DATE(2010,5,9) + TIME(18,54,20)</f>
        <v>40307.787731481483</v>
      </c>
      <c r="C136">
        <v>80</v>
      </c>
      <c r="D136">
        <v>79.894981384000005</v>
      </c>
      <c r="E136">
        <v>50</v>
      </c>
      <c r="F136">
        <v>14.985145569</v>
      </c>
      <c r="G136">
        <v>1401.4621582</v>
      </c>
      <c r="H136">
        <v>1387.0610352000001</v>
      </c>
      <c r="I136">
        <v>1250.3135986</v>
      </c>
      <c r="J136">
        <v>1210.8583983999999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8.9737360000000006</v>
      </c>
      <c r="B137" s="1">
        <f>DATE(2010,5,9) + TIME(23,22,10)</f>
        <v>40307.973726851851</v>
      </c>
      <c r="C137">
        <v>80</v>
      </c>
      <c r="D137">
        <v>79.895507812000005</v>
      </c>
      <c r="E137">
        <v>50</v>
      </c>
      <c r="F137">
        <v>14.985223769999999</v>
      </c>
      <c r="G137">
        <v>1401.3499756000001</v>
      </c>
      <c r="H137">
        <v>1386.9506836</v>
      </c>
      <c r="I137">
        <v>1250.3144531</v>
      </c>
      <c r="J137">
        <v>1210.8591309000001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9.1616769999999992</v>
      </c>
      <c r="B138" s="1">
        <f>DATE(2010,5,10) + TIME(3,52,48)</f>
        <v>40308.161666666667</v>
      </c>
      <c r="C138">
        <v>80</v>
      </c>
      <c r="D138">
        <v>79.895980835000003</v>
      </c>
      <c r="E138">
        <v>50</v>
      </c>
      <c r="F138">
        <v>14.985301971</v>
      </c>
      <c r="G138">
        <v>1401.2380370999999</v>
      </c>
      <c r="H138">
        <v>1386.8405762</v>
      </c>
      <c r="I138">
        <v>1250.315918</v>
      </c>
      <c r="J138">
        <v>1210.8605957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9.3518500000000007</v>
      </c>
      <c r="B139" s="1">
        <f>DATE(2010,5,10) + TIME(8,26,39)</f>
        <v>40308.351840277777</v>
      </c>
      <c r="C139">
        <v>80</v>
      </c>
      <c r="D139">
        <v>79.896408081000004</v>
      </c>
      <c r="E139">
        <v>50</v>
      </c>
      <c r="F139">
        <v>14.985379219</v>
      </c>
      <c r="G139">
        <v>1401.1262207</v>
      </c>
      <c r="H139">
        <v>1386.7305908000001</v>
      </c>
      <c r="I139">
        <v>1250.3179932</v>
      </c>
      <c r="J139">
        <v>1210.8626709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9.5445519999999995</v>
      </c>
      <c r="B140" s="1">
        <f>DATE(2010,5,10) + TIME(13,4,9)</f>
        <v>40308.544548611113</v>
      </c>
      <c r="C140">
        <v>80</v>
      </c>
      <c r="D140">
        <v>79.896797179999993</v>
      </c>
      <c r="E140">
        <v>50</v>
      </c>
      <c r="F140">
        <v>14.985456467000001</v>
      </c>
      <c r="G140">
        <v>1401.0142822</v>
      </c>
      <c r="H140">
        <v>1386.6207274999999</v>
      </c>
      <c r="I140">
        <v>1250.3206786999999</v>
      </c>
      <c r="J140">
        <v>1210.8653564000001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9.7400909999999996</v>
      </c>
      <c r="B141" s="1">
        <f>DATE(2010,5,10) + TIME(17,45,43)</f>
        <v>40308.740081018521</v>
      </c>
      <c r="C141">
        <v>80</v>
      </c>
      <c r="D141">
        <v>79.897155761999997</v>
      </c>
      <c r="E141">
        <v>50</v>
      </c>
      <c r="F141">
        <v>14.985533714000001</v>
      </c>
      <c r="G141">
        <v>1400.9022216999999</v>
      </c>
      <c r="H141">
        <v>1386.5107422000001</v>
      </c>
      <c r="I141">
        <v>1250.3238524999999</v>
      </c>
      <c r="J141">
        <v>1210.8685303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9.9387919999999994</v>
      </c>
      <c r="B142" s="1">
        <f>DATE(2010,5,10) + TIME(22,31,51)</f>
        <v>40308.938784722224</v>
      </c>
      <c r="C142">
        <v>80</v>
      </c>
      <c r="D142">
        <v>79.897476196</v>
      </c>
      <c r="E142">
        <v>50</v>
      </c>
      <c r="F142">
        <v>14.985610008</v>
      </c>
      <c r="G142">
        <v>1400.7899170000001</v>
      </c>
      <c r="H142">
        <v>1386.4005127</v>
      </c>
      <c r="I142">
        <v>1250.3273925999999</v>
      </c>
      <c r="J142">
        <v>1210.8720702999999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10.140559</v>
      </c>
      <c r="B143" s="1">
        <f>DATE(2010,5,11) + TIME(3,22,24)</f>
        <v>40309.140555555554</v>
      </c>
      <c r="C143">
        <v>80</v>
      </c>
      <c r="D143">
        <v>79.897773743000002</v>
      </c>
      <c r="E143">
        <v>50</v>
      </c>
      <c r="F143">
        <v>14.985687256</v>
      </c>
      <c r="G143">
        <v>1400.6772461</v>
      </c>
      <c r="H143">
        <v>1386.2900391000001</v>
      </c>
      <c r="I143">
        <v>1250.3314209</v>
      </c>
      <c r="J143">
        <v>1210.8760986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10.345349000000001</v>
      </c>
      <c r="B144" s="1">
        <f>DATE(2010,5,11) + TIME(8,17,18)</f>
        <v>40309.345347222225</v>
      </c>
      <c r="C144">
        <v>80</v>
      </c>
      <c r="D144">
        <v>79.898048400999997</v>
      </c>
      <c r="E144">
        <v>50</v>
      </c>
      <c r="F144">
        <v>14.985764503</v>
      </c>
      <c r="G144">
        <v>1400.5642089999999</v>
      </c>
      <c r="H144">
        <v>1386.1793213000001</v>
      </c>
      <c r="I144">
        <v>1250.3358154</v>
      </c>
      <c r="J144">
        <v>1210.8804932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10.553506</v>
      </c>
      <c r="B145" s="1">
        <f>DATE(2010,5,11) + TIME(13,17,2)</f>
        <v>40309.553495370368</v>
      </c>
      <c r="C145">
        <v>80</v>
      </c>
      <c r="D145">
        <v>79.898300171000002</v>
      </c>
      <c r="E145">
        <v>50</v>
      </c>
      <c r="F145">
        <v>14.985840797</v>
      </c>
      <c r="G145">
        <v>1400.4510498</v>
      </c>
      <c r="H145">
        <v>1386.0684814000001</v>
      </c>
      <c r="I145">
        <v>1250.3405762</v>
      </c>
      <c r="J145">
        <v>1210.8851318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10.765453000000001</v>
      </c>
      <c r="B146" s="1">
        <f>DATE(2010,5,11) + TIME(18,22,15)</f>
        <v>40309.765451388892</v>
      </c>
      <c r="C146">
        <v>80</v>
      </c>
      <c r="D146">
        <v>79.898536682</v>
      </c>
      <c r="E146">
        <v>50</v>
      </c>
      <c r="F146">
        <v>14.985918045</v>
      </c>
      <c r="G146">
        <v>1400.3374022999999</v>
      </c>
      <c r="H146">
        <v>1385.9572754000001</v>
      </c>
      <c r="I146">
        <v>1250.3454589999999</v>
      </c>
      <c r="J146">
        <v>1210.8900146000001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10.981474</v>
      </c>
      <c r="B147" s="1">
        <f>DATE(2010,5,11) + TIME(23,33,19)</f>
        <v>40309.981469907405</v>
      </c>
      <c r="C147">
        <v>80</v>
      </c>
      <c r="D147">
        <v>79.898750304999993</v>
      </c>
      <c r="E147">
        <v>50</v>
      </c>
      <c r="F147">
        <v>14.985994338999999</v>
      </c>
      <c r="G147">
        <v>1400.2232666</v>
      </c>
      <c r="H147">
        <v>1385.8457031</v>
      </c>
      <c r="I147">
        <v>1250.3507079999999</v>
      </c>
      <c r="J147">
        <v>1210.8952637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11.201972</v>
      </c>
      <c r="B148" s="1">
        <f>DATE(2010,5,12) + TIME(4,50,50)</f>
        <v>40310.201967592591</v>
      </c>
      <c r="C148">
        <v>80</v>
      </c>
      <c r="D148">
        <v>79.898948669000006</v>
      </c>
      <c r="E148">
        <v>50</v>
      </c>
      <c r="F148">
        <v>14.986071587</v>
      </c>
      <c r="G148">
        <v>1400.1085204999999</v>
      </c>
      <c r="H148">
        <v>1385.7335204999999</v>
      </c>
      <c r="I148">
        <v>1250.3562012</v>
      </c>
      <c r="J148">
        <v>1210.9006348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11.427398999999999</v>
      </c>
      <c r="B149" s="1">
        <f>DATE(2010,5,12) + TIME(10,15,27)</f>
        <v>40310.427395833336</v>
      </c>
      <c r="C149">
        <v>80</v>
      </c>
      <c r="D149">
        <v>79.899139403999996</v>
      </c>
      <c r="E149">
        <v>50</v>
      </c>
      <c r="F149">
        <v>14.986148834</v>
      </c>
      <c r="G149">
        <v>1399.9930420000001</v>
      </c>
      <c r="H149">
        <v>1385.6206055</v>
      </c>
      <c r="I149">
        <v>1250.3618164</v>
      </c>
      <c r="J149">
        <v>1210.90625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11.657999999999999</v>
      </c>
      <c r="B150" s="1">
        <f>DATE(2010,5,12) + TIME(15,47,31)</f>
        <v>40310.657997685186</v>
      </c>
      <c r="C150">
        <v>80</v>
      </c>
      <c r="D150">
        <v>79.899314880000006</v>
      </c>
      <c r="E150">
        <v>50</v>
      </c>
      <c r="F150">
        <v>14.986226082</v>
      </c>
      <c r="G150">
        <v>1399.8767089999999</v>
      </c>
      <c r="H150">
        <v>1385.5069579999999</v>
      </c>
      <c r="I150">
        <v>1250.3676757999999</v>
      </c>
      <c r="J150">
        <v>1210.9121094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11.893782</v>
      </c>
      <c r="B151" s="1">
        <f>DATE(2010,5,12) + TIME(21,27,2)</f>
        <v>40310.893773148149</v>
      </c>
      <c r="C151">
        <v>80</v>
      </c>
      <c r="D151">
        <v>79.899475097999996</v>
      </c>
      <c r="E151">
        <v>50</v>
      </c>
      <c r="F151">
        <v>14.986304283000001</v>
      </c>
      <c r="G151">
        <v>1399.7593993999999</v>
      </c>
      <c r="H151">
        <v>1385.3924560999999</v>
      </c>
      <c r="I151">
        <v>1250.3736572</v>
      </c>
      <c r="J151">
        <v>1210.9180908000001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12.134824</v>
      </c>
      <c r="B152" s="1">
        <f>DATE(2010,5,13) + TIME(3,14,8)</f>
        <v>40311.134814814817</v>
      </c>
      <c r="C152">
        <v>80</v>
      </c>
      <c r="D152">
        <v>79.899627686000002</v>
      </c>
      <c r="E152">
        <v>50</v>
      </c>
      <c r="F152">
        <v>14.986382484</v>
      </c>
      <c r="G152">
        <v>1399.6412353999999</v>
      </c>
      <c r="H152">
        <v>1385.2772216999999</v>
      </c>
      <c r="I152">
        <v>1250.3798827999999</v>
      </c>
      <c r="J152">
        <v>1210.9241943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12.381392999999999</v>
      </c>
      <c r="B153" s="1">
        <f>DATE(2010,5,13) + TIME(9,9,12)</f>
        <v>40311.381388888891</v>
      </c>
      <c r="C153">
        <v>80</v>
      </c>
      <c r="D153">
        <v>79.899772643999995</v>
      </c>
      <c r="E153">
        <v>50</v>
      </c>
      <c r="F153">
        <v>14.986460685999999</v>
      </c>
      <c r="G153">
        <v>1399.5222168</v>
      </c>
      <c r="H153">
        <v>1385.1612548999999</v>
      </c>
      <c r="I153">
        <v>1250.3861084</v>
      </c>
      <c r="J153">
        <v>1210.9304199000001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12.630399000000001</v>
      </c>
      <c r="B154" s="1">
        <f>DATE(2010,5,13) + TIME(15,7,46)</f>
        <v>40311.630393518521</v>
      </c>
      <c r="C154">
        <v>80</v>
      </c>
      <c r="D154">
        <v>79.899902343999997</v>
      </c>
      <c r="E154">
        <v>50</v>
      </c>
      <c r="F154">
        <v>14.986538887</v>
      </c>
      <c r="G154">
        <v>1399.4027100000001</v>
      </c>
      <c r="H154">
        <v>1385.0447998</v>
      </c>
      <c r="I154">
        <v>1250.3923339999999</v>
      </c>
      <c r="J154">
        <v>1210.9366454999999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12.879894999999999</v>
      </c>
      <c r="B155" s="1">
        <f>DATE(2010,5,13) + TIME(21,7,2)</f>
        <v>40311.879884259259</v>
      </c>
      <c r="C155">
        <v>80</v>
      </c>
      <c r="D155">
        <v>79.900024414000001</v>
      </c>
      <c r="E155">
        <v>50</v>
      </c>
      <c r="F155">
        <v>14.986616135</v>
      </c>
      <c r="G155">
        <v>1399.2838135</v>
      </c>
      <c r="H155">
        <v>1384.9289550999999</v>
      </c>
      <c r="I155">
        <v>1250.3985596</v>
      </c>
      <c r="J155">
        <v>1210.9428711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13.130288</v>
      </c>
      <c r="B156" s="1">
        <f>DATE(2010,5,14) + TIME(3,7,36)</f>
        <v>40312.130277777775</v>
      </c>
      <c r="C156">
        <v>80</v>
      </c>
      <c r="D156">
        <v>79.900131225999999</v>
      </c>
      <c r="E156">
        <v>50</v>
      </c>
      <c r="F156">
        <v>14.986692429</v>
      </c>
      <c r="G156">
        <v>1399.1662598</v>
      </c>
      <c r="H156">
        <v>1384.8146973</v>
      </c>
      <c r="I156">
        <v>1250.4047852000001</v>
      </c>
      <c r="J156">
        <v>1210.9489745999999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13.382</v>
      </c>
      <c r="B157" s="1">
        <f>DATE(2010,5,14) + TIME(9,10,4)</f>
        <v>40312.381990740738</v>
      </c>
      <c r="C157">
        <v>80</v>
      </c>
      <c r="D157">
        <v>79.900238036999994</v>
      </c>
      <c r="E157">
        <v>50</v>
      </c>
      <c r="F157">
        <v>14.986767769</v>
      </c>
      <c r="G157">
        <v>1399.0500488</v>
      </c>
      <c r="H157">
        <v>1384.7016602000001</v>
      </c>
      <c r="I157">
        <v>1250.4108887</v>
      </c>
      <c r="J157">
        <v>1210.9550781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13.635425</v>
      </c>
      <c r="B158" s="1">
        <f>DATE(2010,5,14) + TIME(15,15,0)</f>
        <v>40312.635416666664</v>
      </c>
      <c r="C158">
        <v>80</v>
      </c>
      <c r="D158">
        <v>79.900329589999998</v>
      </c>
      <c r="E158">
        <v>50</v>
      </c>
      <c r="F158">
        <v>14.986842155</v>
      </c>
      <c r="G158">
        <v>1398.9350586</v>
      </c>
      <c r="H158">
        <v>1384.5898437999999</v>
      </c>
      <c r="I158">
        <v>1250.4169922000001</v>
      </c>
      <c r="J158">
        <v>1210.9610596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13.890959000000001</v>
      </c>
      <c r="B159" s="1">
        <f>DATE(2010,5,14) + TIME(21,22,58)</f>
        <v>40312.890949074077</v>
      </c>
      <c r="C159">
        <v>80</v>
      </c>
      <c r="D159">
        <v>79.900421143000003</v>
      </c>
      <c r="E159">
        <v>50</v>
      </c>
      <c r="F159">
        <v>14.986916541999999</v>
      </c>
      <c r="G159">
        <v>1398.8209228999999</v>
      </c>
      <c r="H159">
        <v>1384.4790039</v>
      </c>
      <c r="I159">
        <v>1250.4230957</v>
      </c>
      <c r="J159">
        <v>1210.9670410000001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14.149004</v>
      </c>
      <c r="B160" s="1">
        <f>DATE(2010,5,15) + TIME(3,34,33)</f>
        <v>40313.148993055554</v>
      </c>
      <c r="C160">
        <v>80</v>
      </c>
      <c r="D160">
        <v>79.900512695000003</v>
      </c>
      <c r="E160">
        <v>50</v>
      </c>
      <c r="F160">
        <v>14.986989975</v>
      </c>
      <c r="G160">
        <v>1398.7076416</v>
      </c>
      <c r="H160">
        <v>1384.3688964999999</v>
      </c>
      <c r="I160">
        <v>1250.4290771000001</v>
      </c>
      <c r="J160">
        <v>1210.9730225000001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14.409971000000001</v>
      </c>
      <c r="B161" s="1">
        <f>DATE(2010,5,15) + TIME(9,50,21)</f>
        <v>40313.40996527778</v>
      </c>
      <c r="C161">
        <v>80</v>
      </c>
      <c r="D161">
        <v>79.900596618999998</v>
      </c>
      <c r="E161">
        <v>50</v>
      </c>
      <c r="F161">
        <v>14.987062454</v>
      </c>
      <c r="G161">
        <v>1398.5949707</v>
      </c>
      <c r="H161">
        <v>1384.2596435999999</v>
      </c>
      <c r="I161">
        <v>1250.4350586</v>
      </c>
      <c r="J161">
        <v>1210.9788818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14.674286</v>
      </c>
      <c r="B162" s="1">
        <f>DATE(2010,5,15) + TIME(16,10,58)</f>
        <v>40313.67428240741</v>
      </c>
      <c r="C162">
        <v>80</v>
      </c>
      <c r="D162">
        <v>79.900672912999994</v>
      </c>
      <c r="E162">
        <v>50</v>
      </c>
      <c r="F162">
        <v>14.987134933</v>
      </c>
      <c r="G162">
        <v>1398.4826660000001</v>
      </c>
      <c r="H162">
        <v>1384.1507568</v>
      </c>
      <c r="I162">
        <v>1250.440918</v>
      </c>
      <c r="J162">
        <v>1210.9847411999999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14.941865999999999</v>
      </c>
      <c r="B163" s="1">
        <f>DATE(2010,5,15) + TIME(22,36,17)</f>
        <v>40313.941863425927</v>
      </c>
      <c r="C163">
        <v>80</v>
      </c>
      <c r="D163">
        <v>79.900749207000004</v>
      </c>
      <c r="E163">
        <v>50</v>
      </c>
      <c r="F163">
        <v>14.987207413</v>
      </c>
      <c r="G163">
        <v>1398.3707274999999</v>
      </c>
      <c r="H163">
        <v>1384.0423584</v>
      </c>
      <c r="I163">
        <v>1250.4467772999999</v>
      </c>
      <c r="J163">
        <v>1210.9906006000001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15.212299</v>
      </c>
      <c r="B164" s="1">
        <f>DATE(2010,5,16) + TIME(5,5,42)</f>
        <v>40314.212291666663</v>
      </c>
      <c r="C164">
        <v>80</v>
      </c>
      <c r="D164">
        <v>79.900817871000001</v>
      </c>
      <c r="E164">
        <v>50</v>
      </c>
      <c r="F164">
        <v>14.987278937999999</v>
      </c>
      <c r="G164">
        <v>1398.2592772999999</v>
      </c>
      <c r="H164">
        <v>1383.9343262</v>
      </c>
      <c r="I164">
        <v>1250.4526367000001</v>
      </c>
      <c r="J164">
        <v>1210.9963379000001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15.485999</v>
      </c>
      <c r="B165" s="1">
        <f>DATE(2010,5,16) + TIME(11,39,50)</f>
        <v>40314.485995370371</v>
      </c>
      <c r="C165">
        <v>80</v>
      </c>
      <c r="D165">
        <v>79.900886536000002</v>
      </c>
      <c r="E165">
        <v>50</v>
      </c>
      <c r="F165">
        <v>14.987350464</v>
      </c>
      <c r="G165">
        <v>1398.1483154</v>
      </c>
      <c r="H165">
        <v>1383.8269043</v>
      </c>
      <c r="I165">
        <v>1250.458374</v>
      </c>
      <c r="J165">
        <v>1211.0019531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15.763393000000001</v>
      </c>
      <c r="B166" s="1">
        <f>DATE(2010,5,16) + TIME(18,19,17)</f>
        <v>40314.763391203705</v>
      </c>
      <c r="C166">
        <v>80</v>
      </c>
      <c r="D166">
        <v>79.900955199999999</v>
      </c>
      <c r="E166">
        <v>50</v>
      </c>
      <c r="F166">
        <v>14.987421989</v>
      </c>
      <c r="G166">
        <v>1398.0375977000001</v>
      </c>
      <c r="H166">
        <v>1383.7198486</v>
      </c>
      <c r="I166">
        <v>1250.4641113</v>
      </c>
      <c r="J166">
        <v>1211.0076904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16.044968000000001</v>
      </c>
      <c r="B167" s="1">
        <f>DATE(2010,5,17) + TIME(1,4,45)</f>
        <v>40315.044965277775</v>
      </c>
      <c r="C167">
        <v>80</v>
      </c>
      <c r="D167">
        <v>79.901016235</v>
      </c>
      <c r="E167">
        <v>50</v>
      </c>
      <c r="F167">
        <v>14.987492561</v>
      </c>
      <c r="G167">
        <v>1397.927124</v>
      </c>
      <c r="H167">
        <v>1383.6130370999999</v>
      </c>
      <c r="I167">
        <v>1250.4697266000001</v>
      </c>
      <c r="J167">
        <v>1211.0133057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16.331223000000001</v>
      </c>
      <c r="B168" s="1">
        <f>DATE(2010,5,17) + TIME(7,56,57)</f>
        <v>40315.33121527778</v>
      </c>
      <c r="C168">
        <v>80</v>
      </c>
      <c r="D168">
        <v>79.901077271000005</v>
      </c>
      <c r="E168">
        <v>50</v>
      </c>
      <c r="F168">
        <v>14.987563133</v>
      </c>
      <c r="G168">
        <v>1397.8166504000001</v>
      </c>
      <c r="H168">
        <v>1383.5062256000001</v>
      </c>
      <c r="I168">
        <v>1250.4754639</v>
      </c>
      <c r="J168">
        <v>1211.0187988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16.622572999999999</v>
      </c>
      <c r="B169" s="1">
        <f>DATE(2010,5,17) + TIME(14,56,30)</f>
        <v>40315.622569444444</v>
      </c>
      <c r="C169">
        <v>80</v>
      </c>
      <c r="D169">
        <v>79.901138306000007</v>
      </c>
      <c r="E169">
        <v>50</v>
      </c>
      <c r="F169">
        <v>14.987633705</v>
      </c>
      <c r="G169">
        <v>1397.7061768000001</v>
      </c>
      <c r="H169">
        <v>1383.3995361</v>
      </c>
      <c r="I169">
        <v>1250.4810791</v>
      </c>
      <c r="J169">
        <v>1211.0244141000001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16.919594</v>
      </c>
      <c r="B170" s="1">
        <f>DATE(2010,5,17) + TIME(22,4,12)</f>
        <v>40315.919583333336</v>
      </c>
      <c r="C170">
        <v>80</v>
      </c>
      <c r="D170">
        <v>79.901199340999995</v>
      </c>
      <c r="E170">
        <v>50</v>
      </c>
      <c r="F170">
        <v>14.987705231</v>
      </c>
      <c r="G170">
        <v>1397.5953368999999</v>
      </c>
      <c r="H170">
        <v>1383.2926024999999</v>
      </c>
      <c r="I170">
        <v>1250.4866943</v>
      </c>
      <c r="J170">
        <v>1211.0299072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17.222864000000001</v>
      </c>
      <c r="B171" s="1">
        <f>DATE(2010,5,18) + TIME(5,20,55)</f>
        <v>40316.222858796296</v>
      </c>
      <c r="C171">
        <v>80</v>
      </c>
      <c r="D171">
        <v>79.901260375999996</v>
      </c>
      <c r="E171">
        <v>50</v>
      </c>
      <c r="F171">
        <v>14.987775803</v>
      </c>
      <c r="G171">
        <v>1397.4842529</v>
      </c>
      <c r="H171">
        <v>1383.1853027</v>
      </c>
      <c r="I171">
        <v>1250.4923096</v>
      </c>
      <c r="J171">
        <v>1211.0355225000001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17.532128</v>
      </c>
      <c r="B172" s="1">
        <f>DATE(2010,5,18) + TIME(12,46,15)</f>
        <v>40316.532118055555</v>
      </c>
      <c r="C172">
        <v>80</v>
      </c>
      <c r="D172">
        <v>79.901313782000003</v>
      </c>
      <c r="E172">
        <v>50</v>
      </c>
      <c r="F172">
        <v>14.987847328000001</v>
      </c>
      <c r="G172">
        <v>1397.3725586</v>
      </c>
      <c r="H172">
        <v>1383.0776367000001</v>
      </c>
      <c r="I172">
        <v>1250.4979248</v>
      </c>
      <c r="J172">
        <v>1211.0410156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17.847760999999998</v>
      </c>
      <c r="B173" s="1">
        <f>DATE(2010,5,18) + TIME(20,20,46)</f>
        <v>40316.847754629627</v>
      </c>
      <c r="C173">
        <v>80</v>
      </c>
      <c r="D173">
        <v>79.901374817000004</v>
      </c>
      <c r="E173">
        <v>50</v>
      </c>
      <c r="F173">
        <v>14.987918854</v>
      </c>
      <c r="G173">
        <v>1397.2604980000001</v>
      </c>
      <c r="H173">
        <v>1382.9696045000001</v>
      </c>
      <c r="I173">
        <v>1250.5035399999999</v>
      </c>
      <c r="J173">
        <v>1211.0465088000001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18.169415000000001</v>
      </c>
      <c r="B174" s="1">
        <f>DATE(2010,5,19) + TIME(4,3,57)</f>
        <v>40317.169409722221</v>
      </c>
      <c r="C174">
        <v>80</v>
      </c>
      <c r="D174">
        <v>79.901428222999996</v>
      </c>
      <c r="E174">
        <v>50</v>
      </c>
      <c r="F174">
        <v>14.987990378999999</v>
      </c>
      <c r="G174">
        <v>1397.1479492000001</v>
      </c>
      <c r="H174">
        <v>1382.8612060999999</v>
      </c>
      <c r="I174">
        <v>1250.5091553</v>
      </c>
      <c r="J174">
        <v>1211.052124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18.491827000000001</v>
      </c>
      <c r="B175" s="1">
        <f>DATE(2010,5,19) + TIME(11,48,13)</f>
        <v>40317.49181712963</v>
      </c>
      <c r="C175">
        <v>80</v>
      </c>
      <c r="D175">
        <v>79.901481627999999</v>
      </c>
      <c r="E175">
        <v>50</v>
      </c>
      <c r="F175">
        <v>14.988061905</v>
      </c>
      <c r="G175">
        <v>1397.0355225000001</v>
      </c>
      <c r="H175">
        <v>1382.7530518000001</v>
      </c>
      <c r="I175">
        <v>1250.5146483999999</v>
      </c>
      <c r="J175">
        <v>1211.0574951000001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18.815252000000001</v>
      </c>
      <c r="B176" s="1">
        <f>DATE(2010,5,19) + TIME(19,33,57)</f>
        <v>40317.815243055556</v>
      </c>
      <c r="C176">
        <v>80</v>
      </c>
      <c r="D176">
        <v>79.901527404999996</v>
      </c>
      <c r="E176">
        <v>50</v>
      </c>
      <c r="F176">
        <v>14.988131523</v>
      </c>
      <c r="G176">
        <v>1396.9243164</v>
      </c>
      <c r="H176">
        <v>1382.6459961</v>
      </c>
      <c r="I176">
        <v>1250.5201416</v>
      </c>
      <c r="J176">
        <v>1211.0628661999999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19.140232999999998</v>
      </c>
      <c r="B177" s="1">
        <f>DATE(2010,5,20) + TIME(3,21,56)</f>
        <v>40318.140231481484</v>
      </c>
      <c r="C177">
        <v>80</v>
      </c>
      <c r="D177">
        <v>79.901580811000002</v>
      </c>
      <c r="E177">
        <v>50</v>
      </c>
      <c r="F177">
        <v>14.988201140999999</v>
      </c>
      <c r="G177">
        <v>1396.8143310999999</v>
      </c>
      <c r="H177">
        <v>1382.5404053</v>
      </c>
      <c r="I177">
        <v>1250.5255127</v>
      </c>
      <c r="J177">
        <v>1211.0682373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19.467302</v>
      </c>
      <c r="B178" s="1">
        <f>DATE(2010,5,20) + TIME(11,12,54)</f>
        <v>40318.467291666668</v>
      </c>
      <c r="C178">
        <v>80</v>
      </c>
      <c r="D178">
        <v>79.901626586999996</v>
      </c>
      <c r="E178">
        <v>50</v>
      </c>
      <c r="F178">
        <v>14.988270760000001</v>
      </c>
      <c r="G178">
        <v>1396.7055664</v>
      </c>
      <c r="H178">
        <v>1382.4357910000001</v>
      </c>
      <c r="I178">
        <v>1250.5308838000001</v>
      </c>
      <c r="J178">
        <v>1211.0734863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19.796989</v>
      </c>
      <c r="B179" s="1">
        <f>DATE(2010,5,20) + TIME(19,7,39)</f>
        <v>40318.796979166669</v>
      </c>
      <c r="C179">
        <v>80</v>
      </c>
      <c r="D179">
        <v>79.901679993000002</v>
      </c>
      <c r="E179">
        <v>50</v>
      </c>
      <c r="F179">
        <v>14.98833847</v>
      </c>
      <c r="G179">
        <v>1396.5977783000001</v>
      </c>
      <c r="H179">
        <v>1382.3322754000001</v>
      </c>
      <c r="I179">
        <v>1250.5362548999999</v>
      </c>
      <c r="J179">
        <v>1211.0787353999999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20.129833999999999</v>
      </c>
      <c r="B180" s="1">
        <f>DATE(2010,5,21) + TIME(3,6,57)</f>
        <v>40319.129826388889</v>
      </c>
      <c r="C180">
        <v>80</v>
      </c>
      <c r="D180">
        <v>79.901725768999995</v>
      </c>
      <c r="E180">
        <v>50</v>
      </c>
      <c r="F180">
        <v>14.988407134999999</v>
      </c>
      <c r="G180">
        <v>1396.4907227000001</v>
      </c>
      <c r="H180">
        <v>1382.2294922000001</v>
      </c>
      <c r="I180">
        <v>1250.541626</v>
      </c>
      <c r="J180">
        <v>1211.0838623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20.466322000000002</v>
      </c>
      <c r="B181" s="1">
        <f>DATE(2010,5,21) + TIME(11,11,30)</f>
        <v>40319.466319444444</v>
      </c>
      <c r="C181">
        <v>80</v>
      </c>
      <c r="D181">
        <v>79.901779175000001</v>
      </c>
      <c r="E181">
        <v>50</v>
      </c>
      <c r="F181">
        <v>14.988474846000001</v>
      </c>
      <c r="G181">
        <v>1396.3843993999999</v>
      </c>
      <c r="H181">
        <v>1382.1274414</v>
      </c>
      <c r="I181">
        <v>1250.546875</v>
      </c>
      <c r="J181">
        <v>1211.0891113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20.805007</v>
      </c>
      <c r="B182" s="1">
        <f>DATE(2010,5,21) + TIME(19,19,12)</f>
        <v>40319.805</v>
      </c>
      <c r="C182">
        <v>80</v>
      </c>
      <c r="D182">
        <v>79.901824950999995</v>
      </c>
      <c r="E182">
        <v>50</v>
      </c>
      <c r="F182">
        <v>14.988541603</v>
      </c>
      <c r="G182">
        <v>1396.2785644999999</v>
      </c>
      <c r="H182">
        <v>1382.026001</v>
      </c>
      <c r="I182">
        <v>1250.5522461</v>
      </c>
      <c r="J182">
        <v>1211.0942382999999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21.146401000000001</v>
      </c>
      <c r="B183" s="1">
        <f>DATE(2010,5,22) + TIME(3,30,49)</f>
        <v>40320.14640046296</v>
      </c>
      <c r="C183">
        <v>80</v>
      </c>
      <c r="D183">
        <v>79.901870728000006</v>
      </c>
      <c r="E183">
        <v>50</v>
      </c>
      <c r="F183">
        <v>14.988608360000001</v>
      </c>
      <c r="G183">
        <v>1396.1735839999999</v>
      </c>
      <c r="H183">
        <v>1381.925293</v>
      </c>
      <c r="I183">
        <v>1250.5574951000001</v>
      </c>
      <c r="J183">
        <v>1211.0993652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21.491014</v>
      </c>
      <c r="B184" s="1">
        <f>DATE(2010,5,22) + TIME(11,47,3)</f>
        <v>40320.491006944445</v>
      </c>
      <c r="C184">
        <v>80</v>
      </c>
      <c r="D184">
        <v>79.901924132999994</v>
      </c>
      <c r="E184">
        <v>50</v>
      </c>
      <c r="F184">
        <v>14.988674164000001</v>
      </c>
      <c r="G184">
        <v>1396.0693358999999</v>
      </c>
      <c r="H184">
        <v>1381.8254394999999</v>
      </c>
      <c r="I184">
        <v>1250.5627440999999</v>
      </c>
      <c r="J184">
        <v>1211.1044922000001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21.839371</v>
      </c>
      <c r="B185" s="1">
        <f>DATE(2010,5,22) + TIME(20,8,41)</f>
        <v>40320.839363425926</v>
      </c>
      <c r="C185">
        <v>80</v>
      </c>
      <c r="D185">
        <v>79.901969910000005</v>
      </c>
      <c r="E185">
        <v>50</v>
      </c>
      <c r="F185">
        <v>14.988739967000001</v>
      </c>
      <c r="G185">
        <v>1395.9656981999999</v>
      </c>
      <c r="H185">
        <v>1381.7261963000001</v>
      </c>
      <c r="I185">
        <v>1250.5679932</v>
      </c>
      <c r="J185">
        <v>1211.1097411999999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22.192015999999999</v>
      </c>
      <c r="B186" s="1">
        <f>DATE(2010,5,23) + TIME(4,36,30)</f>
        <v>40321.192013888889</v>
      </c>
      <c r="C186">
        <v>80</v>
      </c>
      <c r="D186">
        <v>79.902023314999994</v>
      </c>
      <c r="E186">
        <v>50</v>
      </c>
      <c r="F186">
        <v>14.988805770999999</v>
      </c>
      <c r="G186">
        <v>1395.8624268000001</v>
      </c>
      <c r="H186">
        <v>1381.6273193</v>
      </c>
      <c r="I186">
        <v>1250.5733643000001</v>
      </c>
      <c r="J186">
        <v>1211.1148682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22.549572000000001</v>
      </c>
      <c r="B187" s="1">
        <f>DATE(2010,5,23) + TIME(13,11,23)</f>
        <v>40321.549571759257</v>
      </c>
      <c r="C187">
        <v>80</v>
      </c>
      <c r="D187">
        <v>79.902069092000005</v>
      </c>
      <c r="E187">
        <v>50</v>
      </c>
      <c r="F187">
        <v>14.988871573999999</v>
      </c>
      <c r="G187">
        <v>1395.7593993999999</v>
      </c>
      <c r="H187">
        <v>1381.5288086</v>
      </c>
      <c r="I187">
        <v>1250.5786132999999</v>
      </c>
      <c r="J187">
        <v>1211.1199951000001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22.912654</v>
      </c>
      <c r="B188" s="1">
        <f>DATE(2010,5,23) + TIME(21,54,13)</f>
        <v>40321.91265046296</v>
      </c>
      <c r="C188">
        <v>80</v>
      </c>
      <c r="D188">
        <v>79.902122497999997</v>
      </c>
      <c r="E188">
        <v>50</v>
      </c>
      <c r="F188">
        <v>14.988936424</v>
      </c>
      <c r="G188">
        <v>1395.6564940999999</v>
      </c>
      <c r="H188">
        <v>1381.4304199000001</v>
      </c>
      <c r="I188">
        <v>1250.5839844</v>
      </c>
      <c r="J188">
        <v>1211.1252440999999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23.281804000000001</v>
      </c>
      <c r="B189" s="1">
        <f>DATE(2010,5,24) + TIME(6,45,47)</f>
        <v>40322.281793981485</v>
      </c>
      <c r="C189">
        <v>80</v>
      </c>
      <c r="D189">
        <v>79.902168274000005</v>
      </c>
      <c r="E189">
        <v>50</v>
      </c>
      <c r="F189">
        <v>14.989002228</v>
      </c>
      <c r="G189">
        <v>1395.5535889</v>
      </c>
      <c r="H189">
        <v>1381.3321533000001</v>
      </c>
      <c r="I189">
        <v>1250.5893555</v>
      </c>
      <c r="J189">
        <v>1211.1304932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23.657751999999999</v>
      </c>
      <c r="B190" s="1">
        <f>DATE(2010,5,24) + TIME(15,47,9)</f>
        <v>40322.657743055555</v>
      </c>
      <c r="C190">
        <v>80</v>
      </c>
      <c r="D190">
        <v>79.902221679999997</v>
      </c>
      <c r="E190">
        <v>50</v>
      </c>
      <c r="F190">
        <v>14.989068031</v>
      </c>
      <c r="G190">
        <v>1395.4504394999999</v>
      </c>
      <c r="H190">
        <v>1381.2336425999999</v>
      </c>
      <c r="I190">
        <v>1250.5948486</v>
      </c>
      <c r="J190">
        <v>1211.1357422000001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24.041235</v>
      </c>
      <c r="B191" s="1">
        <f>DATE(2010,5,25) + TIME(0,59,22)</f>
        <v>40323.041226851848</v>
      </c>
      <c r="C191">
        <v>80</v>
      </c>
      <c r="D191">
        <v>79.902275084999999</v>
      </c>
      <c r="E191">
        <v>50</v>
      </c>
      <c r="F191">
        <v>14.989133835000001</v>
      </c>
      <c r="G191">
        <v>1395.3470459</v>
      </c>
      <c r="H191">
        <v>1381.1348877</v>
      </c>
      <c r="I191">
        <v>1250.6003418</v>
      </c>
      <c r="J191">
        <v>1211.1411132999999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24.431407</v>
      </c>
      <c r="B192" s="1">
        <f>DATE(2010,5,25) + TIME(10,21,13)</f>
        <v>40323.431400462963</v>
      </c>
      <c r="C192">
        <v>80</v>
      </c>
      <c r="D192">
        <v>79.902320861999996</v>
      </c>
      <c r="E192">
        <v>50</v>
      </c>
      <c r="F192">
        <v>14.989199638000001</v>
      </c>
      <c r="G192">
        <v>1395.2431641000001</v>
      </c>
      <c r="H192">
        <v>1381.0357666</v>
      </c>
      <c r="I192">
        <v>1250.605957</v>
      </c>
      <c r="J192">
        <v>1211.1466064000001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24.828949999999999</v>
      </c>
      <c r="B193" s="1">
        <f>DATE(2010,5,25) + TIME(19,53,41)</f>
        <v>40323.828946759262</v>
      </c>
      <c r="C193">
        <v>80</v>
      </c>
      <c r="D193">
        <v>79.902374268000003</v>
      </c>
      <c r="E193">
        <v>50</v>
      </c>
      <c r="F193">
        <v>14.989266396</v>
      </c>
      <c r="G193">
        <v>1395.1391602000001</v>
      </c>
      <c r="H193">
        <v>1380.9365233999999</v>
      </c>
      <c r="I193">
        <v>1250.6115723</v>
      </c>
      <c r="J193">
        <v>1211.1520995999999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25.232026999999999</v>
      </c>
      <c r="B194" s="1">
        <f>DATE(2010,5,26) + TIME(5,34,7)</f>
        <v>40324.232025462959</v>
      </c>
      <c r="C194">
        <v>80</v>
      </c>
      <c r="D194">
        <v>79.902427673000005</v>
      </c>
      <c r="E194">
        <v>50</v>
      </c>
      <c r="F194">
        <v>14.989332199</v>
      </c>
      <c r="G194">
        <v>1395.0347899999999</v>
      </c>
      <c r="H194">
        <v>1380.8371582</v>
      </c>
      <c r="I194">
        <v>1250.6173096</v>
      </c>
      <c r="J194">
        <v>1211.1575928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25.636603000000001</v>
      </c>
      <c r="B195" s="1">
        <f>DATE(2010,5,26) + TIME(15,16,42)</f>
        <v>40324.636597222219</v>
      </c>
      <c r="C195">
        <v>80</v>
      </c>
      <c r="D195">
        <v>79.902481078999998</v>
      </c>
      <c r="E195">
        <v>50</v>
      </c>
      <c r="F195">
        <v>14.989398003</v>
      </c>
      <c r="G195">
        <v>1394.9307861</v>
      </c>
      <c r="H195">
        <v>1380.7380370999999</v>
      </c>
      <c r="I195">
        <v>1250.6230469</v>
      </c>
      <c r="J195">
        <v>1211.1632079999999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26.043377</v>
      </c>
      <c r="B196" s="1">
        <f>DATE(2010,5,27) + TIME(1,2,27)</f>
        <v>40325.043368055558</v>
      </c>
      <c r="C196">
        <v>80</v>
      </c>
      <c r="D196">
        <v>79.902526855000005</v>
      </c>
      <c r="E196">
        <v>50</v>
      </c>
      <c r="F196">
        <v>14.989463806</v>
      </c>
      <c r="G196">
        <v>1394.8278809000001</v>
      </c>
      <c r="H196">
        <v>1380.6400146000001</v>
      </c>
      <c r="I196">
        <v>1250.6287841999999</v>
      </c>
      <c r="J196">
        <v>1211.1687012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26.453033999999999</v>
      </c>
      <c r="B197" s="1">
        <f>DATE(2010,5,27) + TIME(10,52,22)</f>
        <v>40325.453032407408</v>
      </c>
      <c r="C197">
        <v>80</v>
      </c>
      <c r="D197">
        <v>79.902580260999997</v>
      </c>
      <c r="E197">
        <v>50</v>
      </c>
      <c r="F197">
        <v>14.989528655999999</v>
      </c>
      <c r="G197">
        <v>1394.7257079999999</v>
      </c>
      <c r="H197">
        <v>1380.5428466999999</v>
      </c>
      <c r="I197">
        <v>1250.6345214999999</v>
      </c>
      <c r="J197">
        <v>1211.1743164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26.866275999999999</v>
      </c>
      <c r="B198" s="1">
        <f>DATE(2010,5,27) + TIME(20,47,26)</f>
        <v>40325.866273148145</v>
      </c>
      <c r="C198">
        <v>80</v>
      </c>
      <c r="D198">
        <v>79.902633667000003</v>
      </c>
      <c r="E198">
        <v>50</v>
      </c>
      <c r="F198">
        <v>14.989592552</v>
      </c>
      <c r="G198">
        <v>1394.6243896000001</v>
      </c>
      <c r="H198">
        <v>1380.4464111</v>
      </c>
      <c r="I198">
        <v>1250.6403809000001</v>
      </c>
      <c r="J198">
        <v>1211.1800536999999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27.280864000000001</v>
      </c>
      <c r="B199" s="1">
        <f>DATE(2010,5,28) + TIME(6,44,26)</f>
        <v>40326.280856481484</v>
      </c>
      <c r="C199">
        <v>80</v>
      </c>
      <c r="D199">
        <v>79.902687072999996</v>
      </c>
      <c r="E199">
        <v>50</v>
      </c>
      <c r="F199">
        <v>14.989656448</v>
      </c>
      <c r="G199">
        <v>1394.5238036999999</v>
      </c>
      <c r="H199">
        <v>1380.3508300999999</v>
      </c>
      <c r="I199">
        <v>1250.6462402</v>
      </c>
      <c r="J199">
        <v>1211.1856689000001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27.697420000000001</v>
      </c>
      <c r="B200" s="1">
        <f>DATE(2010,5,28) + TIME(16,44,17)</f>
        <v>40326.697418981479</v>
      </c>
      <c r="C200">
        <v>80</v>
      </c>
      <c r="D200">
        <v>79.902740479000002</v>
      </c>
      <c r="E200">
        <v>50</v>
      </c>
      <c r="F200">
        <v>14.989720345</v>
      </c>
      <c r="G200">
        <v>1394.4243164</v>
      </c>
      <c r="H200">
        <v>1380.2562256000001</v>
      </c>
      <c r="I200">
        <v>1250.6520995999999</v>
      </c>
      <c r="J200">
        <v>1211.1912841999999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28.116575000000001</v>
      </c>
      <c r="B201" s="1">
        <f>DATE(2010,5,29) + TIME(2,47,52)</f>
        <v>40327.116574074076</v>
      </c>
      <c r="C201">
        <v>80</v>
      </c>
      <c r="D201">
        <v>79.902793884000005</v>
      </c>
      <c r="E201">
        <v>50</v>
      </c>
      <c r="F201">
        <v>14.989783287</v>
      </c>
      <c r="G201">
        <v>1394.3256836</v>
      </c>
      <c r="H201">
        <v>1380.1624756000001</v>
      </c>
      <c r="I201">
        <v>1250.6579589999999</v>
      </c>
      <c r="J201">
        <v>1211.1970214999999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28.538957</v>
      </c>
      <c r="B202" s="1">
        <f>DATE(2010,5,29) + TIME(12,56,5)</f>
        <v>40327.538946759261</v>
      </c>
      <c r="C202">
        <v>80</v>
      </c>
      <c r="D202">
        <v>79.902847289999997</v>
      </c>
      <c r="E202">
        <v>50</v>
      </c>
      <c r="F202">
        <v>14.989846229999999</v>
      </c>
      <c r="G202">
        <v>1394.2279053</v>
      </c>
      <c r="H202">
        <v>1380.0695800999999</v>
      </c>
      <c r="I202">
        <v>1250.6639404</v>
      </c>
      <c r="J202">
        <v>1211.2027588000001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28.965205999999998</v>
      </c>
      <c r="B203" s="1">
        <f>DATE(2010,5,29) + TIME(23,9,53)</f>
        <v>40327.965196759258</v>
      </c>
      <c r="C203">
        <v>80</v>
      </c>
      <c r="D203">
        <v>79.902900696000003</v>
      </c>
      <c r="E203">
        <v>50</v>
      </c>
      <c r="F203">
        <v>14.989908218</v>
      </c>
      <c r="G203">
        <v>1394.1306152</v>
      </c>
      <c r="H203">
        <v>1379.9772949000001</v>
      </c>
      <c r="I203">
        <v>1250.6699219</v>
      </c>
      <c r="J203">
        <v>1211.2086182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29.395982</v>
      </c>
      <c r="B204" s="1">
        <f>DATE(2010,5,30) + TIME(9,30,12)</f>
        <v>40328.395972222221</v>
      </c>
      <c r="C204">
        <v>80</v>
      </c>
      <c r="D204">
        <v>79.902954101999995</v>
      </c>
      <c r="E204">
        <v>50</v>
      </c>
      <c r="F204">
        <v>14.989970207000001</v>
      </c>
      <c r="G204">
        <v>1394.0339355000001</v>
      </c>
      <c r="H204">
        <v>1379.8854980000001</v>
      </c>
      <c r="I204">
        <v>1250.6760254000001</v>
      </c>
      <c r="J204">
        <v>1211.2144774999999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29.831969000000001</v>
      </c>
      <c r="B205" s="1">
        <f>DATE(2010,5,30) + TIME(19,58,2)</f>
        <v>40328.831967592596</v>
      </c>
      <c r="C205">
        <v>80</v>
      </c>
      <c r="D205">
        <v>79.903007506999998</v>
      </c>
      <c r="E205">
        <v>50</v>
      </c>
      <c r="F205">
        <v>14.990032196</v>
      </c>
      <c r="G205">
        <v>1393.9375</v>
      </c>
      <c r="H205">
        <v>1379.7940673999999</v>
      </c>
      <c r="I205">
        <v>1250.6821289</v>
      </c>
      <c r="J205">
        <v>1211.2203368999999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30.273987999999999</v>
      </c>
      <c r="B206" s="1">
        <f>DATE(2010,5,31) + TIME(6,34,32)</f>
        <v>40329.273981481485</v>
      </c>
      <c r="C206">
        <v>80</v>
      </c>
      <c r="D206">
        <v>79.903060913000004</v>
      </c>
      <c r="E206">
        <v>50</v>
      </c>
      <c r="F206">
        <v>14.990094185</v>
      </c>
      <c r="G206">
        <v>1393.8413086</v>
      </c>
      <c r="H206">
        <v>1379.7028809000001</v>
      </c>
      <c r="I206">
        <v>1250.6883545000001</v>
      </c>
      <c r="J206">
        <v>1211.2263184000001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30.722691999999999</v>
      </c>
      <c r="B207" s="1">
        <f>DATE(2010,5,31) + TIME(17,20,40)</f>
        <v>40329.722685185188</v>
      </c>
      <c r="C207">
        <v>80</v>
      </c>
      <c r="D207">
        <v>79.903121948000006</v>
      </c>
      <c r="E207">
        <v>50</v>
      </c>
      <c r="F207">
        <v>14.99015522</v>
      </c>
      <c r="G207">
        <v>1393.7451172000001</v>
      </c>
      <c r="H207">
        <v>1379.6116943</v>
      </c>
      <c r="I207">
        <v>1250.6945800999999</v>
      </c>
      <c r="J207">
        <v>1211.2324219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31</v>
      </c>
      <c r="B208" s="1">
        <f>DATE(2010,6,1) + TIME(0,0,0)</f>
        <v>40330</v>
      </c>
      <c r="C208">
        <v>80</v>
      </c>
      <c r="D208">
        <v>79.903099060000002</v>
      </c>
      <c r="E208">
        <v>50</v>
      </c>
      <c r="F208">
        <v>14.990199089000001</v>
      </c>
      <c r="G208">
        <v>1393.6625977000001</v>
      </c>
      <c r="H208">
        <v>1379.5335693</v>
      </c>
      <c r="I208">
        <v>1250.6987305</v>
      </c>
      <c r="J208">
        <v>1211.2363281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31.456178000000001</v>
      </c>
      <c r="B209" s="1">
        <f>DATE(2010,6,1) + TIME(10,56,53)</f>
        <v>40330.45616898148</v>
      </c>
      <c r="C209">
        <v>80</v>
      </c>
      <c r="D209">
        <v>79.903213500999996</v>
      </c>
      <c r="E209">
        <v>50</v>
      </c>
      <c r="F209">
        <v>14.990259171</v>
      </c>
      <c r="G209">
        <v>1393.5854492000001</v>
      </c>
      <c r="H209">
        <v>1379.4604492000001</v>
      </c>
      <c r="I209">
        <v>1250.7053223</v>
      </c>
      <c r="J209">
        <v>1211.2426757999999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31.926441000000001</v>
      </c>
      <c r="B210" s="1">
        <f>DATE(2010,6,1) + TIME(22,14,4)</f>
        <v>40330.926435185182</v>
      </c>
      <c r="C210">
        <v>80</v>
      </c>
      <c r="D210">
        <v>79.903282165999997</v>
      </c>
      <c r="E210">
        <v>50</v>
      </c>
      <c r="F210">
        <v>14.990319252000001</v>
      </c>
      <c r="G210">
        <v>1393.4926757999999</v>
      </c>
      <c r="H210">
        <v>1379.3725586</v>
      </c>
      <c r="I210">
        <v>1250.7119141000001</v>
      </c>
      <c r="J210">
        <v>1211.2490233999999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32.403990999999998</v>
      </c>
      <c r="B211" s="1">
        <f>DATE(2010,6,2) + TIME(9,41,44)</f>
        <v>40331.403981481482</v>
      </c>
      <c r="C211">
        <v>80</v>
      </c>
      <c r="D211">
        <v>79.903343200999998</v>
      </c>
      <c r="E211">
        <v>50</v>
      </c>
      <c r="F211">
        <v>14.990381241</v>
      </c>
      <c r="G211">
        <v>1393.3964844</v>
      </c>
      <c r="H211">
        <v>1379.2814940999999</v>
      </c>
      <c r="I211">
        <v>1250.7185059000001</v>
      </c>
      <c r="J211">
        <v>1211.2553711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32.887233000000002</v>
      </c>
      <c r="B212" s="1">
        <f>DATE(2010,6,2) + TIME(21,17,36)</f>
        <v>40331.88722222222</v>
      </c>
      <c r="C212">
        <v>80</v>
      </c>
      <c r="D212">
        <v>79.903396606000001</v>
      </c>
      <c r="E212">
        <v>50</v>
      </c>
      <c r="F212">
        <v>14.99044323</v>
      </c>
      <c r="G212">
        <v>1393.2996826000001</v>
      </c>
      <c r="H212">
        <v>1379.1899414</v>
      </c>
      <c r="I212">
        <v>1250.7252197</v>
      </c>
      <c r="J212">
        <v>1211.2619629000001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33.373094999999999</v>
      </c>
      <c r="B213" s="1">
        <f>DATE(2010,6,3) + TIME(8,57,15)</f>
        <v>40332.373090277775</v>
      </c>
      <c r="C213">
        <v>80</v>
      </c>
      <c r="D213">
        <v>79.903457642000006</v>
      </c>
      <c r="E213">
        <v>50</v>
      </c>
      <c r="F213">
        <v>14.990504265</v>
      </c>
      <c r="G213">
        <v>1393.2030029</v>
      </c>
      <c r="H213">
        <v>1379.0985106999999</v>
      </c>
      <c r="I213">
        <v>1250.7320557</v>
      </c>
      <c r="J213">
        <v>1211.2684326000001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33.862445999999998</v>
      </c>
      <c r="B214" s="1">
        <f>DATE(2010,6,3) + TIME(20,41,55)</f>
        <v>40332.862442129626</v>
      </c>
      <c r="C214">
        <v>80</v>
      </c>
      <c r="D214">
        <v>79.903518676999994</v>
      </c>
      <c r="E214">
        <v>50</v>
      </c>
      <c r="F214">
        <v>14.990566254000001</v>
      </c>
      <c r="G214">
        <v>1393.1069336</v>
      </c>
      <c r="H214">
        <v>1379.0076904</v>
      </c>
      <c r="I214">
        <v>1250.7390137</v>
      </c>
      <c r="J214">
        <v>1211.2751464999999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34.352103</v>
      </c>
      <c r="B215" s="1">
        <f>DATE(2010,6,4) + TIME(8,27,1)</f>
        <v>40333.352094907408</v>
      </c>
      <c r="C215">
        <v>80</v>
      </c>
      <c r="D215">
        <v>79.903572083</v>
      </c>
      <c r="E215">
        <v>50</v>
      </c>
      <c r="F215">
        <v>14.990627289000001</v>
      </c>
      <c r="G215">
        <v>1393.0115966999999</v>
      </c>
      <c r="H215">
        <v>1378.9177245999999</v>
      </c>
      <c r="I215">
        <v>1250.7459716999999</v>
      </c>
      <c r="J215">
        <v>1211.2818603999999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34.842787000000001</v>
      </c>
      <c r="B216" s="1">
        <f>DATE(2010,6,4) + TIME(20,13,36)</f>
        <v>40333.842777777776</v>
      </c>
      <c r="C216">
        <v>80</v>
      </c>
      <c r="D216">
        <v>79.903633118000002</v>
      </c>
      <c r="E216">
        <v>50</v>
      </c>
      <c r="F216">
        <v>14.990688324000001</v>
      </c>
      <c r="G216">
        <v>1392.9173584</v>
      </c>
      <c r="H216">
        <v>1378.8287353999999</v>
      </c>
      <c r="I216">
        <v>1250.7529297000001</v>
      </c>
      <c r="J216">
        <v>1211.2885742000001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35.335258000000003</v>
      </c>
      <c r="B217" s="1">
        <f>DATE(2010,6,5) + TIME(8,2,46)</f>
        <v>40334.33525462963</v>
      </c>
      <c r="C217">
        <v>80</v>
      </c>
      <c r="D217">
        <v>79.903694153000004</v>
      </c>
      <c r="E217">
        <v>50</v>
      </c>
      <c r="F217">
        <v>14.990748405</v>
      </c>
      <c r="G217">
        <v>1392.8242187999999</v>
      </c>
      <c r="H217">
        <v>1378.7407227000001</v>
      </c>
      <c r="I217">
        <v>1250.7600098</v>
      </c>
      <c r="J217">
        <v>1211.2954102000001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35.830247999999997</v>
      </c>
      <c r="B218" s="1">
        <f>DATE(2010,6,5) + TIME(19,55,33)</f>
        <v>40334.830243055556</v>
      </c>
      <c r="C218">
        <v>80</v>
      </c>
      <c r="D218">
        <v>79.903755188000005</v>
      </c>
      <c r="E218">
        <v>50</v>
      </c>
      <c r="F218">
        <v>14.990807533</v>
      </c>
      <c r="G218">
        <v>1392.7319336</v>
      </c>
      <c r="H218">
        <v>1378.6536865</v>
      </c>
      <c r="I218">
        <v>1250.7670897999999</v>
      </c>
      <c r="J218">
        <v>1211.3022461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36.328507000000002</v>
      </c>
      <c r="B219" s="1">
        <f>DATE(2010,6,6) + TIME(7,53,2)</f>
        <v>40335.32849537037</v>
      </c>
      <c r="C219">
        <v>80</v>
      </c>
      <c r="D219">
        <v>79.903816223000007</v>
      </c>
      <c r="E219">
        <v>50</v>
      </c>
      <c r="F219">
        <v>14.990867615000001</v>
      </c>
      <c r="G219">
        <v>1392.6403809000001</v>
      </c>
      <c r="H219">
        <v>1378.5672606999999</v>
      </c>
      <c r="I219">
        <v>1250.7744141000001</v>
      </c>
      <c r="J219">
        <v>1211.309082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36.830796999999997</v>
      </c>
      <c r="B220" s="1">
        <f>DATE(2010,6,6) + TIME(19,56,20)</f>
        <v>40335.830787037034</v>
      </c>
      <c r="C220">
        <v>80</v>
      </c>
      <c r="D220">
        <v>79.903877257999994</v>
      </c>
      <c r="E220">
        <v>50</v>
      </c>
      <c r="F220">
        <v>14.990926742999999</v>
      </c>
      <c r="G220">
        <v>1392.5493164</v>
      </c>
      <c r="H220">
        <v>1378.4814452999999</v>
      </c>
      <c r="I220">
        <v>1250.7816161999999</v>
      </c>
      <c r="J220">
        <v>1211.3161620999999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37.337895000000003</v>
      </c>
      <c r="B221" s="1">
        <f>DATE(2010,6,7) + TIME(8,6,34)</f>
        <v>40336.337893518517</v>
      </c>
      <c r="C221">
        <v>80</v>
      </c>
      <c r="D221">
        <v>79.903945922999995</v>
      </c>
      <c r="E221">
        <v>50</v>
      </c>
      <c r="F221">
        <v>14.990984917</v>
      </c>
      <c r="G221">
        <v>1392.4588623</v>
      </c>
      <c r="H221">
        <v>1378.3961182</v>
      </c>
      <c r="I221">
        <v>1250.7890625</v>
      </c>
      <c r="J221">
        <v>1211.3232422000001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37.850605000000002</v>
      </c>
      <c r="B222" s="1">
        <f>DATE(2010,6,7) + TIME(20,24,52)</f>
        <v>40336.850601851853</v>
      </c>
      <c r="C222">
        <v>80</v>
      </c>
      <c r="D222">
        <v>79.904006957999997</v>
      </c>
      <c r="E222">
        <v>50</v>
      </c>
      <c r="F222">
        <v>14.991044044000001</v>
      </c>
      <c r="G222">
        <v>1392.3686522999999</v>
      </c>
      <c r="H222">
        <v>1378.3111572</v>
      </c>
      <c r="I222">
        <v>1250.7965088000001</v>
      </c>
      <c r="J222">
        <v>1211.3303223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38.369897999999999</v>
      </c>
      <c r="B223" s="1">
        <f>DATE(2010,6,8) + TIME(8,52,39)</f>
        <v>40337.369895833333</v>
      </c>
      <c r="C223">
        <v>80</v>
      </c>
      <c r="D223">
        <v>79.904075622999997</v>
      </c>
      <c r="E223">
        <v>50</v>
      </c>
      <c r="F223">
        <v>14.991102219</v>
      </c>
      <c r="G223">
        <v>1392.2786865</v>
      </c>
      <c r="H223">
        <v>1378.2263184000001</v>
      </c>
      <c r="I223">
        <v>1250.8040771000001</v>
      </c>
      <c r="J223">
        <v>1211.3376464999999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38.896540999999999</v>
      </c>
      <c r="B224" s="1">
        <f>DATE(2010,6,8) + TIME(21,31,1)</f>
        <v>40337.896539351852</v>
      </c>
      <c r="C224">
        <v>80</v>
      </c>
      <c r="D224">
        <v>79.904136657999999</v>
      </c>
      <c r="E224">
        <v>50</v>
      </c>
      <c r="F224">
        <v>14.991161346</v>
      </c>
      <c r="G224">
        <v>1392.1885986</v>
      </c>
      <c r="H224">
        <v>1378.1416016000001</v>
      </c>
      <c r="I224">
        <v>1250.8117675999999</v>
      </c>
      <c r="J224">
        <v>1211.3449707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39.431365999999997</v>
      </c>
      <c r="B225" s="1">
        <f>DATE(2010,6,9) + TIME(10,21,9)</f>
        <v>40338.431354166663</v>
      </c>
      <c r="C225">
        <v>80</v>
      </c>
      <c r="D225">
        <v>79.904205321999996</v>
      </c>
      <c r="E225">
        <v>50</v>
      </c>
      <c r="F225">
        <v>14.991219521</v>
      </c>
      <c r="G225">
        <v>1392.0986327999999</v>
      </c>
      <c r="H225">
        <v>1378.0567627</v>
      </c>
      <c r="I225">
        <v>1250.8195800999999</v>
      </c>
      <c r="J225">
        <v>1211.3525391000001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39.975512999999999</v>
      </c>
      <c r="B226" s="1">
        <f>DATE(2010,6,9) + TIME(23,24,44)</f>
        <v>40338.97550925926</v>
      </c>
      <c r="C226">
        <v>80</v>
      </c>
      <c r="D226">
        <v>79.904273986999996</v>
      </c>
      <c r="E226">
        <v>50</v>
      </c>
      <c r="F226">
        <v>14.991278648</v>
      </c>
      <c r="G226">
        <v>1392.0083007999999</v>
      </c>
      <c r="H226">
        <v>1377.9718018000001</v>
      </c>
      <c r="I226">
        <v>1250.8276367000001</v>
      </c>
      <c r="J226">
        <v>1211.3601074000001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40.529549000000003</v>
      </c>
      <c r="B227" s="1">
        <f>DATE(2010,6,10) + TIME(12,42,33)</f>
        <v>40339.529548611114</v>
      </c>
      <c r="C227">
        <v>80</v>
      </c>
      <c r="D227">
        <v>79.904342650999993</v>
      </c>
      <c r="E227">
        <v>50</v>
      </c>
      <c r="F227">
        <v>14.991337776</v>
      </c>
      <c r="G227">
        <v>1391.9176024999999</v>
      </c>
      <c r="H227">
        <v>1377.8864745999999</v>
      </c>
      <c r="I227">
        <v>1250.8356934000001</v>
      </c>
      <c r="J227">
        <v>1211.3679199000001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41.091624000000003</v>
      </c>
      <c r="B228" s="1">
        <f>DATE(2010,6,11) + TIME(2,11,56)</f>
        <v>40340.091620370367</v>
      </c>
      <c r="C228">
        <v>80</v>
      </c>
      <c r="D228">
        <v>79.904418945000003</v>
      </c>
      <c r="E228">
        <v>50</v>
      </c>
      <c r="F228">
        <v>14.991396904</v>
      </c>
      <c r="G228">
        <v>1391.8266602000001</v>
      </c>
      <c r="H228">
        <v>1377.8009033000001</v>
      </c>
      <c r="I228">
        <v>1250.8439940999999</v>
      </c>
      <c r="J228">
        <v>1211.3758545000001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41.376190000000001</v>
      </c>
      <c r="B229" s="1">
        <f>DATE(2010,6,11) + TIME(9,1,42)</f>
        <v>40340.376180555555</v>
      </c>
      <c r="C229">
        <v>80</v>
      </c>
      <c r="D229">
        <v>79.904388428000004</v>
      </c>
      <c r="E229">
        <v>50</v>
      </c>
      <c r="F229">
        <v>14.991435051</v>
      </c>
      <c r="G229">
        <v>1391.7541504000001</v>
      </c>
      <c r="H229">
        <v>1377.7329102000001</v>
      </c>
      <c r="I229">
        <v>1250.8486327999999</v>
      </c>
      <c r="J229">
        <v>1211.380249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41.660755999999999</v>
      </c>
      <c r="B230" s="1">
        <f>DATE(2010,6,11) + TIME(15,51,29)</f>
        <v>40340.660752314812</v>
      </c>
      <c r="C230">
        <v>80</v>
      </c>
      <c r="D230">
        <v>79.904418945000003</v>
      </c>
      <c r="E230">
        <v>50</v>
      </c>
      <c r="F230">
        <v>14.991470337000001</v>
      </c>
      <c r="G230">
        <v>1391.7000731999999</v>
      </c>
      <c r="H230">
        <v>1377.6820068</v>
      </c>
      <c r="I230">
        <v>1250.8535156</v>
      </c>
      <c r="J230">
        <v>1211.3848877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41.945321999999997</v>
      </c>
      <c r="B231" s="1">
        <f>DATE(2010,6,11) + TIME(22,41,15)</f>
        <v>40340.9453125</v>
      </c>
      <c r="C231">
        <v>80</v>
      </c>
      <c r="D231">
        <v>79.904464722</v>
      </c>
      <c r="E231">
        <v>50</v>
      </c>
      <c r="F231">
        <v>14.991503716</v>
      </c>
      <c r="G231">
        <v>1391.6512451000001</v>
      </c>
      <c r="H231">
        <v>1377.6361084</v>
      </c>
      <c r="I231">
        <v>1250.8583983999999</v>
      </c>
      <c r="J231">
        <v>1211.3895264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42.229888000000003</v>
      </c>
      <c r="B232" s="1">
        <f>DATE(2010,6,12) + TIME(5,31,2)</f>
        <v>40341.229884259257</v>
      </c>
      <c r="C232">
        <v>80</v>
      </c>
      <c r="D232">
        <v>79.904502868999998</v>
      </c>
      <c r="E232">
        <v>50</v>
      </c>
      <c r="F232">
        <v>14.991537094</v>
      </c>
      <c r="G232">
        <v>1391.6043701000001</v>
      </c>
      <c r="H232">
        <v>1377.5920410000001</v>
      </c>
      <c r="I232">
        <v>1250.8631591999999</v>
      </c>
      <c r="J232">
        <v>1211.3941649999999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42.514453000000003</v>
      </c>
      <c r="B233" s="1">
        <f>DATE(2010,6,12) + TIME(12,20,48)</f>
        <v>40341.514444444445</v>
      </c>
      <c r="C233">
        <v>80</v>
      </c>
      <c r="D233">
        <v>79.904548645000006</v>
      </c>
      <c r="E233">
        <v>50</v>
      </c>
      <c r="F233">
        <v>14.991568565</v>
      </c>
      <c r="G233">
        <v>1391.5584716999999</v>
      </c>
      <c r="H233">
        <v>1377.5488281</v>
      </c>
      <c r="I233">
        <v>1250.8679199000001</v>
      </c>
      <c r="J233">
        <v>1211.3986815999999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42.799019000000001</v>
      </c>
      <c r="B234" s="1">
        <f>DATE(2010,6,12) + TIME(19,10,35)</f>
        <v>40341.799016203702</v>
      </c>
      <c r="C234">
        <v>80</v>
      </c>
      <c r="D234">
        <v>79.904586792000003</v>
      </c>
      <c r="E234">
        <v>50</v>
      </c>
      <c r="F234">
        <v>14.991599083000001</v>
      </c>
      <c r="G234">
        <v>1391.5131836</v>
      </c>
      <c r="H234">
        <v>1377.5062256000001</v>
      </c>
      <c r="I234">
        <v>1250.8726807</v>
      </c>
      <c r="J234">
        <v>1211.4031981999999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43.083584999999999</v>
      </c>
      <c r="B235" s="1">
        <f>DATE(2010,6,13) + TIME(2,0,21)</f>
        <v>40342.08357638889</v>
      </c>
      <c r="C235">
        <v>80</v>
      </c>
      <c r="D235">
        <v>79.904632567999997</v>
      </c>
      <c r="E235">
        <v>50</v>
      </c>
      <c r="F235">
        <v>14.991629601</v>
      </c>
      <c r="G235">
        <v>1391.4683838000001</v>
      </c>
      <c r="H235">
        <v>1377.4641113</v>
      </c>
      <c r="I235">
        <v>1250.8773193</v>
      </c>
      <c r="J235">
        <v>1211.4075928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43.652717000000003</v>
      </c>
      <c r="B236" s="1">
        <f>DATE(2010,6,13) + TIME(15,39,54)</f>
        <v>40342.652708333335</v>
      </c>
      <c r="C236">
        <v>80</v>
      </c>
      <c r="D236">
        <v>79.904762267999999</v>
      </c>
      <c r="E236">
        <v>50</v>
      </c>
      <c r="F236">
        <v>14.991677284</v>
      </c>
      <c r="G236">
        <v>1391.4107666</v>
      </c>
      <c r="H236">
        <v>1377.4097899999999</v>
      </c>
      <c r="I236">
        <v>1250.885376</v>
      </c>
      <c r="J236">
        <v>1211.4154053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44.222366000000001</v>
      </c>
      <c r="B237" s="1">
        <f>DATE(2010,6,14) + TIME(5,20,12)</f>
        <v>40343.222361111111</v>
      </c>
      <c r="C237">
        <v>80</v>
      </c>
      <c r="D237">
        <v>79.904830933</v>
      </c>
      <c r="E237">
        <v>50</v>
      </c>
      <c r="F237">
        <v>14.991727829</v>
      </c>
      <c r="G237">
        <v>1391.3304443</v>
      </c>
      <c r="H237">
        <v>1377.3342285000001</v>
      </c>
      <c r="I237">
        <v>1250.8931885</v>
      </c>
      <c r="J237">
        <v>1211.4228516000001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44.795067000000003</v>
      </c>
      <c r="B238" s="1">
        <f>DATE(2010,6,14) + TIME(19,4,53)</f>
        <v>40343.795057870368</v>
      </c>
      <c r="C238">
        <v>80</v>
      </c>
      <c r="D238">
        <v>79.904891968000001</v>
      </c>
      <c r="E238">
        <v>50</v>
      </c>
      <c r="F238">
        <v>14.991781234999999</v>
      </c>
      <c r="G238">
        <v>1391.2463379000001</v>
      </c>
      <c r="H238">
        <v>1377.2554932</v>
      </c>
      <c r="I238">
        <v>1250.9013672000001</v>
      </c>
      <c r="J238">
        <v>1211.4306641000001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45.371839999999999</v>
      </c>
      <c r="B239" s="1">
        <f>DATE(2010,6,15) + TIME(8,55,26)</f>
        <v>40344.371828703705</v>
      </c>
      <c r="C239">
        <v>80</v>
      </c>
      <c r="D239">
        <v>79.904960631999998</v>
      </c>
      <c r="E239">
        <v>50</v>
      </c>
      <c r="F239">
        <v>14.991834641000001</v>
      </c>
      <c r="G239">
        <v>1391.1618652</v>
      </c>
      <c r="H239">
        <v>1377.1761475000001</v>
      </c>
      <c r="I239">
        <v>1250.9097899999999</v>
      </c>
      <c r="J239">
        <v>1211.4387207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45.953586999999999</v>
      </c>
      <c r="B240" s="1">
        <f>DATE(2010,6,15) + TIME(22,53,9)</f>
        <v>40344.953576388885</v>
      </c>
      <c r="C240">
        <v>80</v>
      </c>
      <c r="D240">
        <v>79.905029296999999</v>
      </c>
      <c r="E240">
        <v>50</v>
      </c>
      <c r="F240">
        <v>14.991889953999999</v>
      </c>
      <c r="G240">
        <v>1391.0772704999999</v>
      </c>
      <c r="H240">
        <v>1377.0968018000001</v>
      </c>
      <c r="I240">
        <v>1250.918457</v>
      </c>
      <c r="J240">
        <v>1211.4468993999999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46.541220000000003</v>
      </c>
      <c r="B241" s="1">
        <f>DATE(2010,6,16) + TIME(12,59,21)</f>
        <v>40345.541215277779</v>
      </c>
      <c r="C241">
        <v>80</v>
      </c>
      <c r="D241">
        <v>79.905097960999996</v>
      </c>
      <c r="E241">
        <v>50</v>
      </c>
      <c r="F241">
        <v>14.991945267</v>
      </c>
      <c r="G241">
        <v>1390.9927978999999</v>
      </c>
      <c r="H241">
        <v>1377.0175781</v>
      </c>
      <c r="I241">
        <v>1250.9273682</v>
      </c>
      <c r="J241">
        <v>1211.4554443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47.135679000000003</v>
      </c>
      <c r="B242" s="1">
        <f>DATE(2010,6,17) + TIME(3,15,22)</f>
        <v>40346.135671296295</v>
      </c>
      <c r="C242">
        <v>80</v>
      </c>
      <c r="D242">
        <v>79.905174255000006</v>
      </c>
      <c r="E242">
        <v>50</v>
      </c>
      <c r="F242">
        <v>14.992000579999999</v>
      </c>
      <c r="G242">
        <v>1390.9084473</v>
      </c>
      <c r="H242">
        <v>1376.9384766000001</v>
      </c>
      <c r="I242">
        <v>1250.9365233999999</v>
      </c>
      <c r="J242">
        <v>1211.4641113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47.738157000000001</v>
      </c>
      <c r="B243" s="1">
        <f>DATE(2010,6,17) + TIME(17,42,56)</f>
        <v>40346.73814814815</v>
      </c>
      <c r="C243">
        <v>80</v>
      </c>
      <c r="D243">
        <v>79.905250549000002</v>
      </c>
      <c r="E243">
        <v>50</v>
      </c>
      <c r="F243">
        <v>14.992055893</v>
      </c>
      <c r="G243">
        <v>1390.8239745999999</v>
      </c>
      <c r="H243">
        <v>1376.859375</v>
      </c>
      <c r="I243">
        <v>1250.9458007999999</v>
      </c>
      <c r="J243">
        <v>1211.4729004000001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48.349367999999998</v>
      </c>
      <c r="B244" s="1">
        <f>DATE(2010,6,18) + TIME(8,23,5)</f>
        <v>40347.349363425928</v>
      </c>
      <c r="C244">
        <v>80</v>
      </c>
      <c r="D244">
        <v>79.905326842999997</v>
      </c>
      <c r="E244">
        <v>50</v>
      </c>
      <c r="F244">
        <v>14.99211216</v>
      </c>
      <c r="G244">
        <v>1390.7395019999999</v>
      </c>
      <c r="H244">
        <v>1376.7801514</v>
      </c>
      <c r="I244">
        <v>1250.9552002</v>
      </c>
      <c r="J244">
        <v>1211.4819336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48.970419999999997</v>
      </c>
      <c r="B245" s="1">
        <f>DATE(2010,6,18) + TIME(23,17,24)</f>
        <v>40347.970416666663</v>
      </c>
      <c r="C245">
        <v>80</v>
      </c>
      <c r="D245">
        <v>79.905403136999993</v>
      </c>
      <c r="E245">
        <v>50</v>
      </c>
      <c r="F245">
        <v>14.992168426999999</v>
      </c>
      <c r="G245">
        <v>1390.6546631000001</v>
      </c>
      <c r="H245">
        <v>1376.7006836</v>
      </c>
      <c r="I245">
        <v>1250.9649658000001</v>
      </c>
      <c r="J245">
        <v>1211.4912108999999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49.602730000000001</v>
      </c>
      <c r="B246" s="1">
        <f>DATE(2010,6,19) + TIME(14,27,55)</f>
        <v>40348.602719907409</v>
      </c>
      <c r="C246">
        <v>80</v>
      </c>
      <c r="D246">
        <v>79.905487061000002</v>
      </c>
      <c r="E246">
        <v>50</v>
      </c>
      <c r="F246">
        <v>14.992224693000001</v>
      </c>
      <c r="G246">
        <v>1390.5695800999999</v>
      </c>
      <c r="H246">
        <v>1376.6208495999999</v>
      </c>
      <c r="I246">
        <v>1250.9748535000001</v>
      </c>
      <c r="J246">
        <v>1211.5006103999999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50.246566000000001</v>
      </c>
      <c r="B247" s="1">
        <f>DATE(2010,6,20) + TIME(5,55,3)</f>
        <v>40349.246562499997</v>
      </c>
      <c r="C247">
        <v>80</v>
      </c>
      <c r="D247">
        <v>79.905563353999995</v>
      </c>
      <c r="E247">
        <v>50</v>
      </c>
      <c r="F247">
        <v>14.992281913999999</v>
      </c>
      <c r="G247">
        <v>1390.4840088000001</v>
      </c>
      <c r="H247">
        <v>1376.5407714999999</v>
      </c>
      <c r="I247">
        <v>1250.9849853999999</v>
      </c>
      <c r="J247">
        <v>1211.5102539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50.572645999999999</v>
      </c>
      <c r="B248" s="1">
        <f>DATE(2010,6,20) + TIME(13,44,36)</f>
        <v>40349.572638888887</v>
      </c>
      <c r="C248">
        <v>80</v>
      </c>
      <c r="D248">
        <v>79.905555724999999</v>
      </c>
      <c r="E248">
        <v>50</v>
      </c>
      <c r="F248">
        <v>14.992318152999999</v>
      </c>
      <c r="G248">
        <v>1390.4160156</v>
      </c>
      <c r="H248">
        <v>1376.4772949000001</v>
      </c>
      <c r="I248">
        <v>1250.9907227000001</v>
      </c>
      <c r="J248">
        <v>1211.5157471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50.898726000000003</v>
      </c>
      <c r="B249" s="1">
        <f>DATE(2010,6,20) + TIME(21,34,9)</f>
        <v>40349.898715277777</v>
      </c>
      <c r="C249">
        <v>80</v>
      </c>
      <c r="D249">
        <v>79.905586243000002</v>
      </c>
      <c r="E249">
        <v>50</v>
      </c>
      <c r="F249">
        <v>14.992352486</v>
      </c>
      <c r="G249">
        <v>1390.3647461</v>
      </c>
      <c r="H249">
        <v>1376.4293213000001</v>
      </c>
      <c r="I249">
        <v>1250.9968262</v>
      </c>
      <c r="J249">
        <v>1211.5214844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51.224806000000001</v>
      </c>
      <c r="B250" s="1">
        <f>DATE(2010,6,21) + TIME(5,23,43)</f>
        <v>40350.224803240744</v>
      </c>
      <c r="C250">
        <v>80</v>
      </c>
      <c r="D250">
        <v>79.905632018999995</v>
      </c>
      <c r="E250">
        <v>50</v>
      </c>
      <c r="F250">
        <v>14.992385863999999</v>
      </c>
      <c r="G250">
        <v>1390.3186035000001</v>
      </c>
      <c r="H250">
        <v>1376.3859863</v>
      </c>
      <c r="I250">
        <v>1251.0029297000001</v>
      </c>
      <c r="J250">
        <v>1211.5272216999999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51.550885999999998</v>
      </c>
      <c r="B251" s="1">
        <f>DATE(2010,6,21) + TIME(13,13,16)</f>
        <v>40350.550879629627</v>
      </c>
      <c r="C251">
        <v>80</v>
      </c>
      <c r="D251">
        <v>79.905685425000001</v>
      </c>
      <c r="E251">
        <v>50</v>
      </c>
      <c r="F251">
        <v>14.992417336000001</v>
      </c>
      <c r="G251">
        <v>1390.2741699000001</v>
      </c>
      <c r="H251">
        <v>1376.3443603999999</v>
      </c>
      <c r="I251">
        <v>1251.0089111</v>
      </c>
      <c r="J251">
        <v>1211.5328368999999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51.876964999999998</v>
      </c>
      <c r="B252" s="1">
        <f>DATE(2010,6,21) + TIME(21,2,49)</f>
        <v>40350.876956018517</v>
      </c>
      <c r="C252">
        <v>80</v>
      </c>
      <c r="D252">
        <v>79.905731200999995</v>
      </c>
      <c r="E252">
        <v>50</v>
      </c>
      <c r="F252">
        <v>14.992447853</v>
      </c>
      <c r="G252">
        <v>1390.2305908000001</v>
      </c>
      <c r="H252">
        <v>1376.3035889</v>
      </c>
      <c r="I252">
        <v>1251.0147704999999</v>
      </c>
      <c r="J252">
        <v>1211.5384521000001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52.203045000000003</v>
      </c>
      <c r="B253" s="1">
        <f>DATE(2010,6,22) + TIME(4,52,23)</f>
        <v>40351.203043981484</v>
      </c>
      <c r="C253">
        <v>80</v>
      </c>
      <c r="D253">
        <v>79.905776978000006</v>
      </c>
      <c r="E253">
        <v>50</v>
      </c>
      <c r="F253">
        <v>14.992477417</v>
      </c>
      <c r="G253">
        <v>1390.1876221</v>
      </c>
      <c r="H253">
        <v>1376.2633057</v>
      </c>
      <c r="I253">
        <v>1251.0205077999999</v>
      </c>
      <c r="J253">
        <v>1211.5439452999999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52.529125000000001</v>
      </c>
      <c r="B254" s="1">
        <f>DATE(2010,6,22) + TIME(12,41,56)</f>
        <v>40351.529120370367</v>
      </c>
      <c r="C254">
        <v>80</v>
      </c>
      <c r="D254">
        <v>79.905822753999999</v>
      </c>
      <c r="E254">
        <v>50</v>
      </c>
      <c r="F254">
        <v>14.992506981</v>
      </c>
      <c r="G254">
        <v>1390.1452637</v>
      </c>
      <c r="H254">
        <v>1376.2235106999999</v>
      </c>
      <c r="I254">
        <v>1251.0261230000001</v>
      </c>
      <c r="J254">
        <v>1211.5491943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52.855204999999998</v>
      </c>
      <c r="B255" s="1">
        <f>DATE(2010,6,22) + TIME(20,31,29)</f>
        <v>40351.855196759258</v>
      </c>
      <c r="C255">
        <v>80</v>
      </c>
      <c r="D255">
        <v>79.905868530000006</v>
      </c>
      <c r="E255">
        <v>50</v>
      </c>
      <c r="F255">
        <v>14.992535590999999</v>
      </c>
      <c r="G255">
        <v>1390.1031493999999</v>
      </c>
      <c r="H255">
        <v>1376.184082</v>
      </c>
      <c r="I255">
        <v>1251.0317382999999</v>
      </c>
      <c r="J255">
        <v>1211.5545654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53.507364000000003</v>
      </c>
      <c r="B256" s="1">
        <f>DATE(2010,6,23) + TIME(12,10,36)</f>
        <v>40352.507361111115</v>
      </c>
      <c r="C256">
        <v>80</v>
      </c>
      <c r="D256">
        <v>79.905998229999994</v>
      </c>
      <c r="E256">
        <v>50</v>
      </c>
      <c r="F256">
        <v>14.99257946</v>
      </c>
      <c r="G256">
        <v>1390.0485839999999</v>
      </c>
      <c r="H256">
        <v>1376.1328125</v>
      </c>
      <c r="I256">
        <v>1251.0412598</v>
      </c>
      <c r="J256">
        <v>1211.5637207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54.159827999999997</v>
      </c>
      <c r="B257" s="1">
        <f>DATE(2010,6,24) + TIME(3,50,9)</f>
        <v>40353.159826388888</v>
      </c>
      <c r="C257">
        <v>80</v>
      </c>
      <c r="D257">
        <v>79.906082153</v>
      </c>
      <c r="E257">
        <v>50</v>
      </c>
      <c r="F257">
        <v>14.992627144</v>
      </c>
      <c r="G257">
        <v>1389.9729004000001</v>
      </c>
      <c r="H257">
        <v>1376.0620117000001</v>
      </c>
      <c r="I257">
        <v>1251.0507812000001</v>
      </c>
      <c r="J257">
        <v>1211.5727539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54.816253000000003</v>
      </c>
      <c r="B258" s="1">
        <f>DATE(2010,6,24) + TIME(19,35,24)</f>
        <v>40353.816250000003</v>
      </c>
      <c r="C258">
        <v>80</v>
      </c>
      <c r="D258">
        <v>79.906158446999996</v>
      </c>
      <c r="E258">
        <v>50</v>
      </c>
      <c r="F258">
        <v>14.992677689000001</v>
      </c>
      <c r="G258">
        <v>1389.8937988</v>
      </c>
      <c r="H258">
        <v>1375.9880370999999</v>
      </c>
      <c r="I258">
        <v>1251.0607910000001</v>
      </c>
      <c r="J258">
        <v>1211.5821533000001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55.477829999999997</v>
      </c>
      <c r="B259" s="1">
        <f>DATE(2010,6,25) + TIME(11,28,4)</f>
        <v>40354.477824074071</v>
      </c>
      <c r="C259">
        <v>80</v>
      </c>
      <c r="D259">
        <v>79.906234741000006</v>
      </c>
      <c r="E259">
        <v>50</v>
      </c>
      <c r="F259">
        <v>14.992730140999999</v>
      </c>
      <c r="G259">
        <v>1389.8139647999999</v>
      </c>
      <c r="H259">
        <v>1375.9134521000001</v>
      </c>
      <c r="I259">
        <v>1251.0711670000001</v>
      </c>
      <c r="J259">
        <v>1211.5920410000001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56.145620000000001</v>
      </c>
      <c r="B260" s="1">
        <f>DATE(2010,6,26) + TIME(3,29,41)</f>
        <v>40355.145613425928</v>
      </c>
      <c r="C260">
        <v>80</v>
      </c>
      <c r="D260">
        <v>79.906311035000002</v>
      </c>
      <c r="E260">
        <v>50</v>
      </c>
      <c r="F260">
        <v>14.992783546</v>
      </c>
      <c r="G260">
        <v>1389.7340088000001</v>
      </c>
      <c r="H260">
        <v>1375.8386230000001</v>
      </c>
      <c r="I260">
        <v>1251.0820312000001</v>
      </c>
      <c r="J260">
        <v>1211.6022949000001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56.820697000000003</v>
      </c>
      <c r="B261" s="1">
        <f>DATE(2010,6,26) + TIME(19,41,48)</f>
        <v>40355.820694444446</v>
      </c>
      <c r="C261">
        <v>80</v>
      </c>
      <c r="D261">
        <v>79.906394958000007</v>
      </c>
      <c r="E261">
        <v>50</v>
      </c>
      <c r="F261">
        <v>14.992835999</v>
      </c>
      <c r="G261">
        <v>1389.6539307</v>
      </c>
      <c r="H261">
        <v>1375.7639160000001</v>
      </c>
      <c r="I261">
        <v>1251.0931396000001</v>
      </c>
      <c r="J261">
        <v>1211.612793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57.504373999999999</v>
      </c>
      <c r="B262" s="1">
        <f>DATE(2010,6,27) + TIME(12,6,17)</f>
        <v>40356.504363425927</v>
      </c>
      <c r="C262">
        <v>80</v>
      </c>
      <c r="D262">
        <v>79.906478882000002</v>
      </c>
      <c r="E262">
        <v>50</v>
      </c>
      <c r="F262">
        <v>14.992890358</v>
      </c>
      <c r="G262">
        <v>1389.5738524999999</v>
      </c>
      <c r="H262">
        <v>1375.6889647999999</v>
      </c>
      <c r="I262">
        <v>1251.1044922000001</v>
      </c>
      <c r="J262">
        <v>1211.6234131000001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58.197577000000003</v>
      </c>
      <c r="B263" s="1">
        <f>DATE(2010,6,28) + TIME(4,44,30)</f>
        <v>40357.197569444441</v>
      </c>
      <c r="C263">
        <v>80</v>
      </c>
      <c r="D263">
        <v>79.906570435000006</v>
      </c>
      <c r="E263">
        <v>50</v>
      </c>
      <c r="F263">
        <v>14.992944717</v>
      </c>
      <c r="G263">
        <v>1389.4935303</v>
      </c>
      <c r="H263">
        <v>1375.6140137</v>
      </c>
      <c r="I263">
        <v>1251.1160889</v>
      </c>
      <c r="J263">
        <v>1211.6343993999999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58.901477999999997</v>
      </c>
      <c r="B264" s="1">
        <f>DATE(2010,6,28) + TIME(21,38,7)</f>
        <v>40357.901469907411</v>
      </c>
      <c r="C264">
        <v>80</v>
      </c>
      <c r="D264">
        <v>79.906661987000007</v>
      </c>
      <c r="E264">
        <v>50</v>
      </c>
      <c r="F264">
        <v>14.992999077</v>
      </c>
      <c r="G264">
        <v>1389.4129639</v>
      </c>
      <c r="H264">
        <v>1375.5386963000001</v>
      </c>
      <c r="I264">
        <v>1251.1279297000001</v>
      </c>
      <c r="J264">
        <v>1211.6456298999999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59.617469999999997</v>
      </c>
      <c r="B265" s="1">
        <f>DATE(2010,6,29) + TIME(14,49,9)</f>
        <v>40358.617465277777</v>
      </c>
      <c r="C265">
        <v>80</v>
      </c>
      <c r="D265">
        <v>79.906745911000002</v>
      </c>
      <c r="E265">
        <v>50</v>
      </c>
      <c r="F265">
        <v>14.993053436</v>
      </c>
      <c r="G265">
        <v>1389.3321533000001</v>
      </c>
      <c r="H265">
        <v>1375.4631348</v>
      </c>
      <c r="I265">
        <v>1251.1401367000001</v>
      </c>
      <c r="J265">
        <v>1211.6571045000001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60.346604999999997</v>
      </c>
      <c r="B266" s="1">
        <f>DATE(2010,6,30) + TIME(8,19,6)</f>
        <v>40359.346597222226</v>
      </c>
      <c r="C266">
        <v>80</v>
      </c>
      <c r="D266">
        <v>79.906845093000001</v>
      </c>
      <c r="E266">
        <v>50</v>
      </c>
      <c r="F266">
        <v>14.993108748999999</v>
      </c>
      <c r="G266">
        <v>1389.2507324000001</v>
      </c>
      <c r="H266">
        <v>1375.387207</v>
      </c>
      <c r="I266">
        <v>1251.1525879000001</v>
      </c>
      <c r="J266">
        <v>1211.6689452999999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61</v>
      </c>
      <c r="B267" s="1">
        <f>DATE(2010,7,1) + TIME(0,0,0)</f>
        <v>40360</v>
      </c>
      <c r="C267">
        <v>80</v>
      </c>
      <c r="D267">
        <v>79.906913756999998</v>
      </c>
      <c r="E267">
        <v>50</v>
      </c>
      <c r="F267">
        <v>14.993160248000001</v>
      </c>
      <c r="G267">
        <v>1389.1721190999999</v>
      </c>
      <c r="H267">
        <v>1375.3137207</v>
      </c>
      <c r="I267">
        <v>1251.1641846</v>
      </c>
      <c r="J267">
        <v>1211.6799315999999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61.366917999999998</v>
      </c>
      <c r="B268" s="1">
        <f>DATE(2010,7,1) + TIME(8,48,21)</f>
        <v>40360.366909722223</v>
      </c>
      <c r="C268">
        <v>80</v>
      </c>
      <c r="D268">
        <v>79.906921386999997</v>
      </c>
      <c r="E268">
        <v>50</v>
      </c>
      <c r="F268">
        <v>14.993195534</v>
      </c>
      <c r="G268">
        <v>1389.1121826000001</v>
      </c>
      <c r="H268">
        <v>1375.2580565999999</v>
      </c>
      <c r="I268">
        <v>1251.1716309000001</v>
      </c>
      <c r="J268">
        <v>1211.6867675999999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61.733494999999998</v>
      </c>
      <c r="B269" s="1">
        <f>DATE(2010,7,1) + TIME(17,36,13)</f>
        <v>40360.733483796299</v>
      </c>
      <c r="C269">
        <v>80</v>
      </c>
      <c r="D269">
        <v>79.906967163000004</v>
      </c>
      <c r="E269">
        <v>50</v>
      </c>
      <c r="F269">
        <v>14.993228911999999</v>
      </c>
      <c r="G269">
        <v>1389.0650635</v>
      </c>
      <c r="H269">
        <v>1375.2139893000001</v>
      </c>
      <c r="I269">
        <v>1251.1791992000001</v>
      </c>
      <c r="J269">
        <v>1211.6939697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62.100073000000002</v>
      </c>
      <c r="B270" s="1">
        <f>DATE(2010,7,2) + TIME(2,24,6)</f>
        <v>40361.100069444445</v>
      </c>
      <c r="C270">
        <v>80</v>
      </c>
      <c r="D270">
        <v>79.907012938999998</v>
      </c>
      <c r="E270">
        <v>50</v>
      </c>
      <c r="F270">
        <v>14.993260383999999</v>
      </c>
      <c r="G270">
        <v>1389.0219727000001</v>
      </c>
      <c r="H270">
        <v>1375.1737060999999</v>
      </c>
      <c r="I270">
        <v>1251.1866454999999</v>
      </c>
      <c r="J270">
        <v>1211.7010498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62.833227000000001</v>
      </c>
      <c r="B271" s="1">
        <f>DATE(2010,7,2) + TIME(19,59,50)</f>
        <v>40361.83321759259</v>
      </c>
      <c r="C271">
        <v>80</v>
      </c>
      <c r="D271">
        <v>79.907165527000004</v>
      </c>
      <c r="E271">
        <v>50</v>
      </c>
      <c r="F271">
        <v>14.993306159999999</v>
      </c>
      <c r="G271">
        <v>1388.9672852000001</v>
      </c>
      <c r="H271">
        <v>1375.1223144999999</v>
      </c>
      <c r="I271">
        <v>1251.1988524999999</v>
      </c>
      <c r="J271">
        <v>1211.7125243999999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63.566609999999997</v>
      </c>
      <c r="B272" s="1">
        <f>DATE(2010,7,3) + TIME(13,35,55)</f>
        <v>40362.566608796296</v>
      </c>
      <c r="C272">
        <v>80</v>
      </c>
      <c r="D272">
        <v>79.907257079999994</v>
      </c>
      <c r="E272">
        <v>50</v>
      </c>
      <c r="F272">
        <v>14.993354797</v>
      </c>
      <c r="G272">
        <v>1388.8935547000001</v>
      </c>
      <c r="H272">
        <v>1375.0534668</v>
      </c>
      <c r="I272">
        <v>1251.2108154</v>
      </c>
      <c r="J272">
        <v>1211.7238769999999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64.302890000000005</v>
      </c>
      <c r="B273" s="1">
        <f>DATE(2010,7,4) + TIME(7,16,9)</f>
        <v>40363.302881944444</v>
      </c>
      <c r="C273">
        <v>80</v>
      </c>
      <c r="D273">
        <v>79.907348632999998</v>
      </c>
      <c r="E273">
        <v>50</v>
      </c>
      <c r="F273">
        <v>14.993405342000001</v>
      </c>
      <c r="G273">
        <v>1388.8167725000001</v>
      </c>
      <c r="H273">
        <v>1374.9818115</v>
      </c>
      <c r="I273">
        <v>1251.2232666</v>
      </c>
      <c r="J273">
        <v>1211.7355957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65.043440000000004</v>
      </c>
      <c r="B274" s="1">
        <f>DATE(2010,7,5) + TIME(1,2,33)</f>
        <v>40364.043437499997</v>
      </c>
      <c r="C274">
        <v>80</v>
      </c>
      <c r="D274">
        <v>79.907440186000002</v>
      </c>
      <c r="E274">
        <v>50</v>
      </c>
      <c r="F274">
        <v>14.993457793999999</v>
      </c>
      <c r="G274">
        <v>1388.739624</v>
      </c>
      <c r="H274">
        <v>1374.9097899999999</v>
      </c>
      <c r="I274">
        <v>1251.2360839999999</v>
      </c>
      <c r="J274">
        <v>1211.7476807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65.789447999999993</v>
      </c>
      <c r="B275" s="1">
        <f>DATE(2010,7,5) + TIME(18,56,48)</f>
        <v>40364.789444444446</v>
      </c>
      <c r="C275">
        <v>80</v>
      </c>
      <c r="D275">
        <v>79.907531738000003</v>
      </c>
      <c r="E275">
        <v>50</v>
      </c>
      <c r="F275">
        <v>14.993510246</v>
      </c>
      <c r="G275">
        <v>1388.6624756000001</v>
      </c>
      <c r="H275">
        <v>1374.8377685999999</v>
      </c>
      <c r="I275">
        <v>1251.2493896000001</v>
      </c>
      <c r="J275">
        <v>1211.7601318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66.542092999999994</v>
      </c>
      <c r="B276" s="1">
        <f>DATE(2010,7,6) + TIME(13,0,36)</f>
        <v>40365.542083333334</v>
      </c>
      <c r="C276">
        <v>80</v>
      </c>
      <c r="D276">
        <v>79.907623290999993</v>
      </c>
      <c r="E276">
        <v>50</v>
      </c>
      <c r="F276">
        <v>14.993562698</v>
      </c>
      <c r="G276">
        <v>1388.5853271000001</v>
      </c>
      <c r="H276">
        <v>1374.7658690999999</v>
      </c>
      <c r="I276">
        <v>1251.2629394999999</v>
      </c>
      <c r="J276">
        <v>1211.7728271000001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67.302604000000002</v>
      </c>
      <c r="B277" s="1">
        <f>DATE(2010,7,7) + TIME(7,15,45)</f>
        <v>40366.302604166667</v>
      </c>
      <c r="C277">
        <v>80</v>
      </c>
      <c r="D277">
        <v>79.907722473000007</v>
      </c>
      <c r="E277">
        <v>50</v>
      </c>
      <c r="F277">
        <v>14.99361515</v>
      </c>
      <c r="G277">
        <v>1388.5083007999999</v>
      </c>
      <c r="H277">
        <v>1374.6940918</v>
      </c>
      <c r="I277">
        <v>1251.2767334</v>
      </c>
      <c r="J277">
        <v>1211.7857666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68.072536999999997</v>
      </c>
      <c r="B278" s="1">
        <f>DATE(2010,7,8) + TIME(1,44,27)</f>
        <v>40367.072534722225</v>
      </c>
      <c r="C278">
        <v>80</v>
      </c>
      <c r="D278">
        <v>79.907821655000006</v>
      </c>
      <c r="E278">
        <v>50</v>
      </c>
      <c r="F278">
        <v>14.993668555999999</v>
      </c>
      <c r="G278">
        <v>1388.4312743999999</v>
      </c>
      <c r="H278">
        <v>1374.6221923999999</v>
      </c>
      <c r="I278">
        <v>1251.2907714999999</v>
      </c>
      <c r="J278">
        <v>1211.7990723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68.852914999999996</v>
      </c>
      <c r="B279" s="1">
        <f>DATE(2010,7,8) + TIME(20,28,11)</f>
        <v>40367.852905092594</v>
      </c>
      <c r="C279">
        <v>80</v>
      </c>
      <c r="D279">
        <v>79.907920837000006</v>
      </c>
      <c r="E279">
        <v>50</v>
      </c>
      <c r="F279">
        <v>14.993721962</v>
      </c>
      <c r="G279">
        <v>1388.354126</v>
      </c>
      <c r="H279">
        <v>1374.5501709</v>
      </c>
      <c r="I279">
        <v>1251.3051757999999</v>
      </c>
      <c r="J279">
        <v>1211.8125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69.643804000000003</v>
      </c>
      <c r="B280" s="1">
        <f>DATE(2010,7,9) + TIME(15,27,4)</f>
        <v>40368.643796296295</v>
      </c>
      <c r="C280">
        <v>80</v>
      </c>
      <c r="D280">
        <v>79.908020019999995</v>
      </c>
      <c r="E280">
        <v>50</v>
      </c>
      <c r="F280">
        <v>14.993775368</v>
      </c>
      <c r="G280">
        <v>1388.2767334</v>
      </c>
      <c r="H280">
        <v>1374.4779053</v>
      </c>
      <c r="I280">
        <v>1251.3198242000001</v>
      </c>
      <c r="J280">
        <v>1211.8262939000001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70.442436999999998</v>
      </c>
      <c r="B281" s="1">
        <f>DATE(2010,7,10) + TIME(10,37,6)</f>
        <v>40369.442430555559</v>
      </c>
      <c r="C281">
        <v>80</v>
      </c>
      <c r="D281">
        <v>79.908119201999995</v>
      </c>
      <c r="E281">
        <v>50</v>
      </c>
      <c r="F281">
        <v>14.993828773000001</v>
      </c>
      <c r="G281">
        <v>1388.1992187999999</v>
      </c>
      <c r="H281">
        <v>1374.4056396000001</v>
      </c>
      <c r="I281">
        <v>1251.3348389</v>
      </c>
      <c r="J281">
        <v>1211.840332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71.246386000000001</v>
      </c>
      <c r="B282" s="1">
        <f>DATE(2010,7,11) + TIME(5,54,47)</f>
        <v>40370.246377314812</v>
      </c>
      <c r="C282">
        <v>80</v>
      </c>
      <c r="D282">
        <v>79.908218383999994</v>
      </c>
      <c r="E282">
        <v>50</v>
      </c>
      <c r="F282">
        <v>14.993883133000001</v>
      </c>
      <c r="G282">
        <v>1388.1217041</v>
      </c>
      <c r="H282">
        <v>1374.333374</v>
      </c>
      <c r="I282">
        <v>1251.3499756000001</v>
      </c>
      <c r="J282">
        <v>1211.8544922000001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72.055521999999996</v>
      </c>
      <c r="B283" s="1">
        <f>DATE(2010,7,12) + TIME(1,19,57)</f>
        <v>40371.055520833332</v>
      </c>
      <c r="C283">
        <v>80</v>
      </c>
      <c r="D283">
        <v>79.908325195000003</v>
      </c>
      <c r="E283">
        <v>50</v>
      </c>
      <c r="F283">
        <v>14.993936539</v>
      </c>
      <c r="G283">
        <v>1388.0445557</v>
      </c>
      <c r="H283">
        <v>1374.2614745999999</v>
      </c>
      <c r="I283">
        <v>1251.3653564000001</v>
      </c>
      <c r="J283">
        <v>1211.8688964999999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72.865660000000005</v>
      </c>
      <c r="B284" s="1">
        <f>DATE(2010,7,12) + TIME(20,46,32)</f>
        <v>40371.865648148145</v>
      </c>
      <c r="C284">
        <v>80</v>
      </c>
      <c r="D284">
        <v>79.908424377000003</v>
      </c>
      <c r="E284">
        <v>50</v>
      </c>
      <c r="F284">
        <v>14.993989944000001</v>
      </c>
      <c r="G284">
        <v>1387.9677733999999</v>
      </c>
      <c r="H284">
        <v>1374.1898193</v>
      </c>
      <c r="I284">
        <v>1251.3809814000001</v>
      </c>
      <c r="J284">
        <v>1211.8835449000001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73.676697000000004</v>
      </c>
      <c r="B285" s="1">
        <f>DATE(2010,7,13) + TIME(16,14,26)</f>
        <v>40372.676689814813</v>
      </c>
      <c r="C285">
        <v>80</v>
      </c>
      <c r="D285">
        <v>79.908523560000006</v>
      </c>
      <c r="E285">
        <v>50</v>
      </c>
      <c r="F285">
        <v>14.99404335</v>
      </c>
      <c r="G285">
        <v>1387.8916016000001</v>
      </c>
      <c r="H285">
        <v>1374.1187743999999</v>
      </c>
      <c r="I285">
        <v>1251.3967285000001</v>
      </c>
      <c r="J285">
        <v>1211.8981934000001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74.489979000000005</v>
      </c>
      <c r="B286" s="1">
        <f>DATE(2010,7,14) + TIME(11,45,34)</f>
        <v>40373.489976851852</v>
      </c>
      <c r="C286">
        <v>80</v>
      </c>
      <c r="D286">
        <v>79.908630371000001</v>
      </c>
      <c r="E286">
        <v>50</v>
      </c>
      <c r="F286">
        <v>14.994096755999999</v>
      </c>
      <c r="G286">
        <v>1387.8161620999999</v>
      </c>
      <c r="H286">
        <v>1374.0483397999999</v>
      </c>
      <c r="I286">
        <v>1251.4125977000001</v>
      </c>
      <c r="J286">
        <v>1211.9130858999999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75.306826999999998</v>
      </c>
      <c r="B287" s="1">
        <f>DATE(2010,7,15) + TIME(7,21,49)</f>
        <v>40374.306817129633</v>
      </c>
      <c r="C287">
        <v>80</v>
      </c>
      <c r="D287">
        <v>79.908729553000001</v>
      </c>
      <c r="E287">
        <v>50</v>
      </c>
      <c r="F287">
        <v>14.994149208</v>
      </c>
      <c r="G287">
        <v>1387.7410889</v>
      </c>
      <c r="H287">
        <v>1373.9785156</v>
      </c>
      <c r="I287">
        <v>1251.4287108999999</v>
      </c>
      <c r="J287">
        <v>1211.9281006000001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76.128556000000003</v>
      </c>
      <c r="B288" s="1">
        <f>DATE(2010,7,16) + TIME(3,5,7)</f>
        <v>40375.128553240742</v>
      </c>
      <c r="C288">
        <v>80</v>
      </c>
      <c r="D288">
        <v>79.908836364999999</v>
      </c>
      <c r="E288">
        <v>50</v>
      </c>
      <c r="F288">
        <v>14.99420166</v>
      </c>
      <c r="G288">
        <v>1387.6665039</v>
      </c>
      <c r="H288">
        <v>1373.9089355000001</v>
      </c>
      <c r="I288">
        <v>1251.4450684000001</v>
      </c>
      <c r="J288">
        <v>1211.9433594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76.956490000000002</v>
      </c>
      <c r="B289" s="1">
        <f>DATE(2010,7,16) + TIME(22,57,20)</f>
        <v>40375.95648148148</v>
      </c>
      <c r="C289">
        <v>80</v>
      </c>
      <c r="D289">
        <v>79.908943175999994</v>
      </c>
      <c r="E289">
        <v>50</v>
      </c>
      <c r="F289">
        <v>14.994254112</v>
      </c>
      <c r="G289">
        <v>1387.5922852000001</v>
      </c>
      <c r="H289">
        <v>1373.8395995999999</v>
      </c>
      <c r="I289">
        <v>1251.4615478999999</v>
      </c>
      <c r="J289">
        <v>1211.9587402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77.791939999999997</v>
      </c>
      <c r="B290" s="1">
        <f>DATE(2010,7,17) + TIME(19,0,23)</f>
        <v>40376.791932870372</v>
      </c>
      <c r="C290">
        <v>80</v>
      </c>
      <c r="D290">
        <v>79.909042357999994</v>
      </c>
      <c r="E290">
        <v>50</v>
      </c>
      <c r="F290">
        <v>14.994306564</v>
      </c>
      <c r="G290">
        <v>1387.5180664</v>
      </c>
      <c r="H290">
        <v>1373.7705077999999</v>
      </c>
      <c r="I290">
        <v>1251.4783935999999</v>
      </c>
      <c r="J290">
        <v>1211.9743652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78.636144000000002</v>
      </c>
      <c r="B291" s="1">
        <f>DATE(2010,7,18) + TIME(15,16,2)</f>
        <v>40377.636134259257</v>
      </c>
      <c r="C291">
        <v>80</v>
      </c>
      <c r="D291">
        <v>79.909149170000006</v>
      </c>
      <c r="E291">
        <v>50</v>
      </c>
      <c r="F291">
        <v>14.994359016000001</v>
      </c>
      <c r="G291">
        <v>1387.4440918</v>
      </c>
      <c r="H291">
        <v>1373.7014160000001</v>
      </c>
      <c r="I291">
        <v>1251.4954834</v>
      </c>
      <c r="J291">
        <v>1211.9903564000001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79.487294000000006</v>
      </c>
      <c r="B292" s="1">
        <f>DATE(2010,7,19) + TIME(11,41,42)</f>
        <v>40378.487291666665</v>
      </c>
      <c r="C292">
        <v>80</v>
      </c>
      <c r="D292">
        <v>79.909255981000001</v>
      </c>
      <c r="E292">
        <v>50</v>
      </c>
      <c r="F292">
        <v>14.994412422</v>
      </c>
      <c r="G292">
        <v>1387.3701172000001</v>
      </c>
      <c r="H292">
        <v>1373.6324463000001</v>
      </c>
      <c r="I292">
        <v>1251.5128173999999</v>
      </c>
      <c r="J292">
        <v>1212.0064697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80.341391000000002</v>
      </c>
      <c r="B293" s="1">
        <f>DATE(2010,7,20) + TIME(8,11,36)</f>
        <v>40379.34138888889</v>
      </c>
      <c r="C293">
        <v>80</v>
      </c>
      <c r="D293">
        <v>79.909362793</v>
      </c>
      <c r="E293">
        <v>50</v>
      </c>
      <c r="F293">
        <v>14.994464874</v>
      </c>
      <c r="G293">
        <v>1387.2962646000001</v>
      </c>
      <c r="H293">
        <v>1373.5635986</v>
      </c>
      <c r="I293">
        <v>1251.5303954999999</v>
      </c>
      <c r="J293">
        <v>1212.0228271000001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81.198198000000005</v>
      </c>
      <c r="B294" s="1">
        <f>DATE(2010,7,21) + TIME(4,45,24)</f>
        <v>40380.198194444441</v>
      </c>
      <c r="C294">
        <v>80</v>
      </c>
      <c r="D294">
        <v>79.909469603999995</v>
      </c>
      <c r="E294">
        <v>50</v>
      </c>
      <c r="F294">
        <v>14.994517326</v>
      </c>
      <c r="G294">
        <v>1387.2229004000001</v>
      </c>
      <c r="H294">
        <v>1373.4952393000001</v>
      </c>
      <c r="I294">
        <v>1251.5482178</v>
      </c>
      <c r="J294">
        <v>1212.0394286999999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82.059162999999998</v>
      </c>
      <c r="B295" s="1">
        <f>DATE(2010,7,22) + TIME(1,25,11)</f>
        <v>40381.059155092589</v>
      </c>
      <c r="C295">
        <v>80</v>
      </c>
      <c r="D295">
        <v>79.909584045000003</v>
      </c>
      <c r="E295">
        <v>50</v>
      </c>
      <c r="F295">
        <v>14.994570732</v>
      </c>
      <c r="G295">
        <v>1387.1500243999999</v>
      </c>
      <c r="H295">
        <v>1373.4272461</v>
      </c>
      <c r="I295">
        <v>1251.5664062000001</v>
      </c>
      <c r="J295">
        <v>1212.0561522999999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82.925714999999997</v>
      </c>
      <c r="B296" s="1">
        <f>DATE(2010,7,22) + TIME(22,13,1)</f>
        <v>40381.925706018519</v>
      </c>
      <c r="C296">
        <v>80</v>
      </c>
      <c r="D296">
        <v>79.909690857000001</v>
      </c>
      <c r="E296">
        <v>50</v>
      </c>
      <c r="F296">
        <v>14.994623184</v>
      </c>
      <c r="G296">
        <v>1387.0773925999999</v>
      </c>
      <c r="H296">
        <v>1373.3594971</v>
      </c>
      <c r="I296">
        <v>1251.5847168</v>
      </c>
      <c r="J296">
        <v>1212.0732422000001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83.799259000000006</v>
      </c>
      <c r="B297" s="1">
        <f>DATE(2010,7,23) + TIME(19,10,56)</f>
        <v>40382.799259259256</v>
      </c>
      <c r="C297">
        <v>80</v>
      </c>
      <c r="D297">
        <v>79.909797667999996</v>
      </c>
      <c r="E297">
        <v>50</v>
      </c>
      <c r="F297">
        <v>14.994675636</v>
      </c>
      <c r="G297">
        <v>1387.0048827999999</v>
      </c>
      <c r="H297">
        <v>1373.2919922000001</v>
      </c>
      <c r="I297">
        <v>1251.6032714999999</v>
      </c>
      <c r="J297">
        <v>1212.0904541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84.681251000000003</v>
      </c>
      <c r="B298" s="1">
        <f>DATE(2010,7,24) + TIME(16,21,0)</f>
        <v>40383.681250000001</v>
      </c>
      <c r="C298">
        <v>80</v>
      </c>
      <c r="D298">
        <v>79.909912109000004</v>
      </c>
      <c r="E298">
        <v>50</v>
      </c>
      <c r="F298">
        <v>14.994729041999999</v>
      </c>
      <c r="G298">
        <v>1386.9326172000001</v>
      </c>
      <c r="H298">
        <v>1373.2244873</v>
      </c>
      <c r="I298">
        <v>1251.6223144999999</v>
      </c>
      <c r="J298">
        <v>1212.1080322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85.569452999999996</v>
      </c>
      <c r="B299" s="1">
        <f>DATE(2010,7,25) + TIME(13,40,0)</f>
        <v>40384.569444444445</v>
      </c>
      <c r="C299">
        <v>80</v>
      </c>
      <c r="D299">
        <v>79.910018921000002</v>
      </c>
      <c r="E299">
        <v>50</v>
      </c>
      <c r="F299">
        <v>14.994782448</v>
      </c>
      <c r="G299">
        <v>1386.8603516000001</v>
      </c>
      <c r="H299">
        <v>1373.1571045000001</v>
      </c>
      <c r="I299">
        <v>1251.6414795000001</v>
      </c>
      <c r="J299">
        <v>1212.1258545000001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86.461191999999997</v>
      </c>
      <c r="B300" s="1">
        <f>DATE(2010,7,26) + TIME(11,4,6)</f>
        <v>40385.461180555554</v>
      </c>
      <c r="C300">
        <v>80</v>
      </c>
      <c r="D300">
        <v>79.910133361999996</v>
      </c>
      <c r="E300">
        <v>50</v>
      </c>
      <c r="F300">
        <v>14.994835854</v>
      </c>
      <c r="G300">
        <v>1386.7883300999999</v>
      </c>
      <c r="H300">
        <v>1373.0899658000001</v>
      </c>
      <c r="I300">
        <v>1251.6610106999999</v>
      </c>
      <c r="J300">
        <v>1212.1439209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87.357932000000005</v>
      </c>
      <c r="B301" s="1">
        <f>DATE(2010,7,27) + TIME(8,35,25)</f>
        <v>40386.357928240737</v>
      </c>
      <c r="C301">
        <v>80</v>
      </c>
      <c r="D301">
        <v>79.910247803000004</v>
      </c>
      <c r="E301">
        <v>50</v>
      </c>
      <c r="F301">
        <v>14.994890213</v>
      </c>
      <c r="G301">
        <v>1386.7166748</v>
      </c>
      <c r="H301">
        <v>1373.0231934000001</v>
      </c>
      <c r="I301">
        <v>1251.6809082</v>
      </c>
      <c r="J301">
        <v>1212.1622314000001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87.808791999999997</v>
      </c>
      <c r="B302" s="1">
        <f>DATE(2010,7,27) + TIME(19,24,39)</f>
        <v>40386.80878472222</v>
      </c>
      <c r="C302">
        <v>80</v>
      </c>
      <c r="D302">
        <v>79.910263061999999</v>
      </c>
      <c r="E302">
        <v>50</v>
      </c>
      <c r="F302">
        <v>14.994927406</v>
      </c>
      <c r="G302">
        <v>1386.6618652</v>
      </c>
      <c r="H302">
        <v>1372.9722899999999</v>
      </c>
      <c r="I302">
        <v>1251.6934814000001</v>
      </c>
      <c r="J302">
        <v>1212.1737060999999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88.259653</v>
      </c>
      <c r="B303" s="1">
        <f>DATE(2010,7,28) + TIME(6,13,54)</f>
        <v>40387.259652777779</v>
      </c>
      <c r="C303">
        <v>80</v>
      </c>
      <c r="D303">
        <v>79.910316467000001</v>
      </c>
      <c r="E303">
        <v>50</v>
      </c>
      <c r="F303">
        <v>14.994960785</v>
      </c>
      <c r="G303">
        <v>1386.6190185999999</v>
      </c>
      <c r="H303">
        <v>1372.9323730000001</v>
      </c>
      <c r="I303">
        <v>1251.7060547000001</v>
      </c>
      <c r="J303">
        <v>1212.1853027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88.710513000000006</v>
      </c>
      <c r="B304" s="1">
        <f>DATE(2010,7,28) + TIME(17,3,8)</f>
        <v>40387.710509259261</v>
      </c>
      <c r="C304">
        <v>80</v>
      </c>
      <c r="D304">
        <v>79.910377502000003</v>
      </c>
      <c r="E304">
        <v>50</v>
      </c>
      <c r="F304">
        <v>14.994993210000001</v>
      </c>
      <c r="G304">
        <v>1386.5803223</v>
      </c>
      <c r="H304">
        <v>1372.8962402</v>
      </c>
      <c r="I304">
        <v>1251.7181396000001</v>
      </c>
      <c r="J304">
        <v>1212.1964111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89.161373999999995</v>
      </c>
      <c r="B305" s="1">
        <f>DATE(2010,7,29) + TIME(3,52,22)</f>
        <v>40388.161365740743</v>
      </c>
      <c r="C305">
        <v>80</v>
      </c>
      <c r="D305">
        <v>79.910438537999994</v>
      </c>
      <c r="E305">
        <v>50</v>
      </c>
      <c r="F305">
        <v>14.995023727</v>
      </c>
      <c r="G305">
        <v>1386.5432129000001</v>
      </c>
      <c r="H305">
        <v>1372.8615723</v>
      </c>
      <c r="I305">
        <v>1251.7296143000001</v>
      </c>
      <c r="J305">
        <v>1212.2070312000001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89.612234000000001</v>
      </c>
      <c r="B306" s="1">
        <f>DATE(2010,7,29) + TIME(14,41,37)</f>
        <v>40388.612233796295</v>
      </c>
      <c r="C306">
        <v>80</v>
      </c>
      <c r="D306">
        <v>79.910499572999996</v>
      </c>
      <c r="E306">
        <v>50</v>
      </c>
      <c r="F306">
        <v>14.995053291</v>
      </c>
      <c r="G306">
        <v>1386.5069579999999</v>
      </c>
      <c r="H306">
        <v>1372.8275146000001</v>
      </c>
      <c r="I306">
        <v>1251.7407227000001</v>
      </c>
      <c r="J306">
        <v>1212.2172852000001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90.063094000000007</v>
      </c>
      <c r="B307" s="1">
        <f>DATE(2010,7,30) + TIME(1,30,51)</f>
        <v>40389.063090277778</v>
      </c>
      <c r="C307">
        <v>80</v>
      </c>
      <c r="D307">
        <v>79.910560607999997</v>
      </c>
      <c r="E307">
        <v>50</v>
      </c>
      <c r="F307">
        <v>14.995081902000001</v>
      </c>
      <c r="G307">
        <v>1386.4710693</v>
      </c>
      <c r="H307">
        <v>1372.7940673999999</v>
      </c>
      <c r="I307">
        <v>1251.7517089999999</v>
      </c>
      <c r="J307">
        <v>1212.2274170000001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90.513954999999996</v>
      </c>
      <c r="B308" s="1">
        <f>DATE(2010,7,30) + TIME(12,20,5)</f>
        <v>40389.51394675926</v>
      </c>
      <c r="C308">
        <v>80</v>
      </c>
      <c r="D308">
        <v>79.910614014000004</v>
      </c>
      <c r="E308">
        <v>50</v>
      </c>
      <c r="F308">
        <v>14.995110512</v>
      </c>
      <c r="G308">
        <v>1386.4356689000001</v>
      </c>
      <c r="H308">
        <v>1372.7609863</v>
      </c>
      <c r="I308">
        <v>1251.7625731999999</v>
      </c>
      <c r="J308">
        <v>1212.2374268000001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90.964815000000002</v>
      </c>
      <c r="B309" s="1">
        <f>DATE(2010,7,30) + TIME(23,9,20)</f>
        <v>40389.964814814812</v>
      </c>
      <c r="C309">
        <v>80</v>
      </c>
      <c r="D309">
        <v>79.910675049000005</v>
      </c>
      <c r="E309">
        <v>50</v>
      </c>
      <c r="F309">
        <v>14.995139121999999</v>
      </c>
      <c r="G309">
        <v>1386.4005127</v>
      </c>
      <c r="H309">
        <v>1372.7281493999999</v>
      </c>
      <c r="I309">
        <v>1251.7733154</v>
      </c>
      <c r="J309">
        <v>1212.2473144999999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91.415674999999993</v>
      </c>
      <c r="B310" s="1">
        <f>DATE(2010,7,31) + TIME(9,58,34)</f>
        <v>40390.415671296294</v>
      </c>
      <c r="C310">
        <v>80</v>
      </c>
      <c r="D310">
        <v>79.910736084000007</v>
      </c>
      <c r="E310">
        <v>50</v>
      </c>
      <c r="F310">
        <v>14.995166779</v>
      </c>
      <c r="G310">
        <v>1386.3656006000001</v>
      </c>
      <c r="H310">
        <v>1372.6955565999999</v>
      </c>
      <c r="I310">
        <v>1251.7840576000001</v>
      </c>
      <c r="J310">
        <v>1212.2572021000001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92</v>
      </c>
      <c r="B311" s="1">
        <f>DATE(2010,8,1) + TIME(0,0,0)</f>
        <v>40391</v>
      </c>
      <c r="C311">
        <v>80</v>
      </c>
      <c r="D311">
        <v>79.910820006999998</v>
      </c>
      <c r="E311">
        <v>50</v>
      </c>
      <c r="F311">
        <v>14.995200156999999</v>
      </c>
      <c r="G311">
        <v>1386.3265381000001</v>
      </c>
      <c r="H311">
        <v>1372.6589355000001</v>
      </c>
      <c r="I311">
        <v>1251.7969971</v>
      </c>
      <c r="J311">
        <v>1212.2691649999999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92.901720999999995</v>
      </c>
      <c r="B312" s="1">
        <f>DATE(2010,8,1) + TIME(21,38,28)</f>
        <v>40391.901712962965</v>
      </c>
      <c r="C312">
        <v>80</v>
      </c>
      <c r="D312">
        <v>79.910957335999996</v>
      </c>
      <c r="E312">
        <v>50</v>
      </c>
      <c r="F312">
        <v>14.995243072999999</v>
      </c>
      <c r="G312">
        <v>1386.276001</v>
      </c>
      <c r="H312">
        <v>1372.6115723</v>
      </c>
      <c r="I312">
        <v>1251.8139647999999</v>
      </c>
      <c r="J312">
        <v>1212.2849120999999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93.806083999999998</v>
      </c>
      <c r="B313" s="1">
        <f>DATE(2010,8,2) + TIME(19,20,45)</f>
        <v>40392.806076388886</v>
      </c>
      <c r="C313">
        <v>80</v>
      </c>
      <c r="D313">
        <v>79.911064147999994</v>
      </c>
      <c r="E313">
        <v>50</v>
      </c>
      <c r="F313">
        <v>14.995293617</v>
      </c>
      <c r="G313">
        <v>1386.2130127</v>
      </c>
      <c r="H313">
        <v>1372.5528564000001</v>
      </c>
      <c r="I313">
        <v>1251.8328856999999</v>
      </c>
      <c r="J313">
        <v>1212.3022461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94.718352999999993</v>
      </c>
      <c r="B314" s="1">
        <f>DATE(2010,8,3) + TIME(17,14,25)</f>
        <v>40393.718344907407</v>
      </c>
      <c r="C314">
        <v>80</v>
      </c>
      <c r="D314">
        <v>79.911170959000003</v>
      </c>
      <c r="E314">
        <v>50</v>
      </c>
      <c r="F314">
        <v>14.995347977</v>
      </c>
      <c r="G314">
        <v>1386.1472168</v>
      </c>
      <c r="H314">
        <v>1372.4914550999999</v>
      </c>
      <c r="I314">
        <v>1251.8535156</v>
      </c>
      <c r="J314">
        <v>1212.3210449000001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95.640218000000004</v>
      </c>
      <c r="B315" s="1">
        <f>DATE(2010,8,4) + TIME(15,21,54)</f>
        <v>40394.640208333331</v>
      </c>
      <c r="C315">
        <v>80</v>
      </c>
      <c r="D315">
        <v>79.911285399999997</v>
      </c>
      <c r="E315">
        <v>50</v>
      </c>
      <c r="F315">
        <v>14.995406150999999</v>
      </c>
      <c r="G315">
        <v>1386.0804443</v>
      </c>
      <c r="H315">
        <v>1372.4293213000001</v>
      </c>
      <c r="I315">
        <v>1251.8751221</v>
      </c>
      <c r="J315">
        <v>1212.3408202999999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96.573248000000007</v>
      </c>
      <c r="B316" s="1">
        <f>DATE(2010,8,5) + TIME(13,45,28)</f>
        <v>40395.573240740741</v>
      </c>
      <c r="C316">
        <v>80</v>
      </c>
      <c r="D316">
        <v>79.911399841000005</v>
      </c>
      <c r="E316">
        <v>50</v>
      </c>
      <c r="F316">
        <v>14.995467186000001</v>
      </c>
      <c r="G316">
        <v>1386.0133057</v>
      </c>
      <c r="H316">
        <v>1372.3665771000001</v>
      </c>
      <c r="I316">
        <v>1251.8974608999999</v>
      </c>
      <c r="J316">
        <v>1212.3613281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97.519046000000003</v>
      </c>
      <c r="B317" s="1">
        <f>DATE(2010,8,6) + TIME(12,27,25)</f>
        <v>40396.51903935185</v>
      </c>
      <c r="C317">
        <v>80</v>
      </c>
      <c r="D317">
        <v>79.911514281999999</v>
      </c>
      <c r="E317">
        <v>50</v>
      </c>
      <c r="F317">
        <v>14.995531081999999</v>
      </c>
      <c r="G317">
        <v>1385.9456786999999</v>
      </c>
      <c r="H317">
        <v>1372.3035889</v>
      </c>
      <c r="I317">
        <v>1251.9205322</v>
      </c>
      <c r="J317">
        <v>1212.3823242000001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97.996204000000006</v>
      </c>
      <c r="B318" s="1">
        <f>DATE(2010,8,6) + TIME(23,54,32)</f>
        <v>40396.996203703704</v>
      </c>
      <c r="C318">
        <v>80</v>
      </c>
      <c r="D318">
        <v>79.911537170000003</v>
      </c>
      <c r="E318">
        <v>50</v>
      </c>
      <c r="F318">
        <v>14.995577812000001</v>
      </c>
      <c r="G318">
        <v>1385.8937988</v>
      </c>
      <c r="H318">
        <v>1372.2554932</v>
      </c>
      <c r="I318">
        <v>1251.9357910000001</v>
      </c>
      <c r="J318">
        <v>1212.3961182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98.473363000000006</v>
      </c>
      <c r="B319" s="1">
        <f>DATE(2010,8,7) + TIME(11,21,38)</f>
        <v>40397.473356481481</v>
      </c>
      <c r="C319">
        <v>80</v>
      </c>
      <c r="D319">
        <v>79.911590575999995</v>
      </c>
      <c r="E319">
        <v>50</v>
      </c>
      <c r="F319">
        <v>14.995621680999999</v>
      </c>
      <c r="G319">
        <v>1385.8529053</v>
      </c>
      <c r="H319">
        <v>1372.2172852000001</v>
      </c>
      <c r="I319">
        <v>1251.9508057</v>
      </c>
      <c r="J319">
        <v>1212.4097899999999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98.950520999999995</v>
      </c>
      <c r="B320" s="1">
        <f>DATE(2010,8,7) + TIME(22,48,45)</f>
        <v>40397.950520833336</v>
      </c>
      <c r="C320">
        <v>80</v>
      </c>
      <c r="D320">
        <v>79.911651610999996</v>
      </c>
      <c r="E320">
        <v>50</v>
      </c>
      <c r="F320">
        <v>14.995663643</v>
      </c>
      <c r="G320">
        <v>1385.8157959</v>
      </c>
      <c r="H320">
        <v>1372.1826172000001</v>
      </c>
      <c r="I320">
        <v>1251.9649658000001</v>
      </c>
      <c r="J320">
        <v>1212.4227295000001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99.427678999999998</v>
      </c>
      <c r="B321" s="1">
        <f>DATE(2010,8,8) + TIME(10,15,51)</f>
        <v>40398.427673611113</v>
      </c>
      <c r="C321">
        <v>80</v>
      </c>
      <c r="D321">
        <v>79.911720275999997</v>
      </c>
      <c r="E321">
        <v>50</v>
      </c>
      <c r="F321">
        <v>14.995703697</v>
      </c>
      <c r="G321">
        <v>1385.7802733999999</v>
      </c>
      <c r="H321">
        <v>1372.1492920000001</v>
      </c>
      <c r="I321">
        <v>1251.9785156</v>
      </c>
      <c r="J321">
        <v>1212.4350586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99.904837999999998</v>
      </c>
      <c r="B322" s="1">
        <f>DATE(2010,8,8) + TIME(21,42,57)</f>
        <v>40398.904826388891</v>
      </c>
      <c r="C322">
        <v>80</v>
      </c>
      <c r="D322">
        <v>79.911781310999999</v>
      </c>
      <c r="E322">
        <v>50</v>
      </c>
      <c r="F322">
        <v>14.995744705</v>
      </c>
      <c r="G322">
        <v>1385.7453613</v>
      </c>
      <c r="H322">
        <v>1372.1166992000001</v>
      </c>
      <c r="I322">
        <v>1251.9916992000001</v>
      </c>
      <c r="J322">
        <v>1212.4471435999999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100.381996</v>
      </c>
      <c r="B323" s="1">
        <f>DATE(2010,8,9) + TIME(9,10,4)</f>
        <v>40399.381990740738</v>
      </c>
      <c r="C323">
        <v>80</v>
      </c>
      <c r="D323">
        <v>79.911842346</v>
      </c>
      <c r="E323">
        <v>50</v>
      </c>
      <c r="F323">
        <v>14.995784759999999</v>
      </c>
      <c r="G323">
        <v>1385.7110596</v>
      </c>
      <c r="H323">
        <v>1372.0845947</v>
      </c>
      <c r="I323">
        <v>1252.0046387</v>
      </c>
      <c r="J323">
        <v>1212.4588623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100.859155</v>
      </c>
      <c r="B324" s="1">
        <f>DATE(2010,8,9) + TIME(20,37,10)</f>
        <v>40399.859143518515</v>
      </c>
      <c r="C324">
        <v>80</v>
      </c>
      <c r="D324">
        <v>79.911903381000002</v>
      </c>
      <c r="E324">
        <v>50</v>
      </c>
      <c r="F324">
        <v>14.995826721</v>
      </c>
      <c r="G324">
        <v>1385.6770019999999</v>
      </c>
      <c r="H324">
        <v>1372.0527344</v>
      </c>
      <c r="I324">
        <v>1252.0174560999999</v>
      </c>
      <c r="J324">
        <v>1212.4707031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101.336313</v>
      </c>
      <c r="B325" s="1">
        <f>DATE(2010,8,10) + TIME(8,4,17)</f>
        <v>40400.33630787037</v>
      </c>
      <c r="C325">
        <v>80</v>
      </c>
      <c r="D325">
        <v>79.911964416999993</v>
      </c>
      <c r="E325">
        <v>50</v>
      </c>
      <c r="F325">
        <v>14.995868682999999</v>
      </c>
      <c r="G325">
        <v>1385.6431885</v>
      </c>
      <c r="H325">
        <v>1372.0212402</v>
      </c>
      <c r="I325">
        <v>1252.0302733999999</v>
      </c>
      <c r="J325">
        <v>1212.4822998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101.813472</v>
      </c>
      <c r="B326" s="1">
        <f>DATE(2010,8,10) + TIME(19,31,23)</f>
        <v>40400.813460648147</v>
      </c>
      <c r="C326">
        <v>80</v>
      </c>
      <c r="D326">
        <v>79.912025451999995</v>
      </c>
      <c r="E326">
        <v>50</v>
      </c>
      <c r="F326">
        <v>14.995912552</v>
      </c>
      <c r="G326">
        <v>1385.6096190999999</v>
      </c>
      <c r="H326">
        <v>1371.9898682</v>
      </c>
      <c r="I326">
        <v>1252.0430908000001</v>
      </c>
      <c r="J326">
        <v>1212.4940185999999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102.29062999999999</v>
      </c>
      <c r="B327" s="1">
        <f>DATE(2010,8,11) + TIME(6,58,30)</f>
        <v>40401.290625000001</v>
      </c>
      <c r="C327">
        <v>80</v>
      </c>
      <c r="D327">
        <v>79.912078856999997</v>
      </c>
      <c r="E327">
        <v>50</v>
      </c>
      <c r="F327">
        <v>14.995957375</v>
      </c>
      <c r="G327">
        <v>1385.5762939000001</v>
      </c>
      <c r="H327">
        <v>1371.9586182</v>
      </c>
      <c r="I327">
        <v>1252.0560303</v>
      </c>
      <c r="J327">
        <v>1212.5057373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102.76778899999999</v>
      </c>
      <c r="B328" s="1">
        <f>DATE(2010,8,11) + TIME(18,25,36)</f>
        <v>40401.767777777779</v>
      </c>
      <c r="C328">
        <v>80</v>
      </c>
      <c r="D328">
        <v>79.912139893000003</v>
      </c>
      <c r="E328">
        <v>50</v>
      </c>
      <c r="F328">
        <v>14.996004105000001</v>
      </c>
      <c r="G328">
        <v>1385.5430908000001</v>
      </c>
      <c r="H328">
        <v>1371.9276123</v>
      </c>
      <c r="I328">
        <v>1252.0688477000001</v>
      </c>
      <c r="J328">
        <v>1212.5173339999999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103.244947</v>
      </c>
      <c r="B329" s="1">
        <f>DATE(2010,8,12) + TIME(5,52,43)</f>
        <v>40402.244942129626</v>
      </c>
      <c r="C329">
        <v>80</v>
      </c>
      <c r="D329">
        <v>79.912200928000004</v>
      </c>
      <c r="E329">
        <v>50</v>
      </c>
      <c r="F329">
        <v>14.996051788000001</v>
      </c>
      <c r="G329">
        <v>1385.5101318</v>
      </c>
      <c r="H329">
        <v>1371.8967285000001</v>
      </c>
      <c r="I329">
        <v>1252.0817870999999</v>
      </c>
      <c r="J329">
        <v>1212.5291748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103.722105</v>
      </c>
      <c r="B330" s="1">
        <f>DATE(2010,8,12) + TIME(17,19,49)</f>
        <v>40402.722094907411</v>
      </c>
      <c r="C330">
        <v>80</v>
      </c>
      <c r="D330">
        <v>79.912261963000006</v>
      </c>
      <c r="E330">
        <v>50</v>
      </c>
      <c r="F330">
        <v>14.996102333</v>
      </c>
      <c r="G330">
        <v>1385.4772949000001</v>
      </c>
      <c r="H330">
        <v>1371.8660889</v>
      </c>
      <c r="I330">
        <v>1252.0948486</v>
      </c>
      <c r="J330">
        <v>1212.5408935999999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104.199264</v>
      </c>
      <c r="B331" s="1">
        <f>DATE(2010,8,13) + TIME(4,46,56)</f>
        <v>40403.199259259258</v>
      </c>
      <c r="C331">
        <v>80</v>
      </c>
      <c r="D331">
        <v>79.912315368999998</v>
      </c>
      <c r="E331">
        <v>50</v>
      </c>
      <c r="F331">
        <v>14.996153831000001</v>
      </c>
      <c r="G331">
        <v>1385.4445800999999</v>
      </c>
      <c r="H331">
        <v>1371.8354492000001</v>
      </c>
      <c r="I331">
        <v>1252.1079102000001</v>
      </c>
      <c r="J331">
        <v>1212.5527344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104.676422</v>
      </c>
      <c r="B332" s="1">
        <f>DATE(2010,8,13) + TIME(16,14,2)</f>
        <v>40403.676412037035</v>
      </c>
      <c r="C332">
        <v>80</v>
      </c>
      <c r="D332">
        <v>79.912376404</v>
      </c>
      <c r="E332">
        <v>50</v>
      </c>
      <c r="F332">
        <v>14.996208190999999</v>
      </c>
      <c r="G332">
        <v>1385.4119873</v>
      </c>
      <c r="H332">
        <v>1371.8050536999999</v>
      </c>
      <c r="I332">
        <v>1252.1210937999999</v>
      </c>
      <c r="J332">
        <v>1212.5646973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105.153581</v>
      </c>
      <c r="B333" s="1">
        <f>DATE(2010,8,14) + TIME(3,41,9)</f>
        <v>40404.15357638889</v>
      </c>
      <c r="C333">
        <v>80</v>
      </c>
      <c r="D333">
        <v>79.912437439000001</v>
      </c>
      <c r="E333">
        <v>50</v>
      </c>
      <c r="F333">
        <v>14.996265411</v>
      </c>
      <c r="G333">
        <v>1385.3796387</v>
      </c>
      <c r="H333">
        <v>1371.7747803</v>
      </c>
      <c r="I333">
        <v>1252.1342772999999</v>
      </c>
      <c r="J333">
        <v>1212.5766602000001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106.10789800000001</v>
      </c>
      <c r="B334" s="1">
        <f>DATE(2010,8,15) + TIME(2,35,22)</f>
        <v>40405.107893518521</v>
      </c>
      <c r="C334">
        <v>80</v>
      </c>
      <c r="D334">
        <v>79.912582396999994</v>
      </c>
      <c r="E334">
        <v>50</v>
      </c>
      <c r="F334">
        <v>14.996351241999999</v>
      </c>
      <c r="G334">
        <v>1385.3358154</v>
      </c>
      <c r="H334">
        <v>1371.7335204999999</v>
      </c>
      <c r="I334">
        <v>1252.1541748</v>
      </c>
      <c r="J334">
        <v>1212.5949707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107.065493</v>
      </c>
      <c r="B335" s="1">
        <f>DATE(2010,8,16) + TIME(1,34,18)</f>
        <v>40406.065486111111</v>
      </c>
      <c r="C335">
        <v>80</v>
      </c>
      <c r="D335">
        <v>79.912696838000002</v>
      </c>
      <c r="E335">
        <v>50</v>
      </c>
      <c r="F335">
        <v>14.996461868000001</v>
      </c>
      <c r="G335">
        <v>1385.277832</v>
      </c>
      <c r="H335">
        <v>1371.6793213000001</v>
      </c>
      <c r="I335">
        <v>1252.1773682</v>
      </c>
      <c r="J335">
        <v>1212.6158447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108.035993</v>
      </c>
      <c r="B336" s="1">
        <f>DATE(2010,8,17) + TIME(0,51,49)</f>
        <v>40407.035983796297</v>
      </c>
      <c r="C336">
        <v>80</v>
      </c>
      <c r="D336">
        <v>79.912811278999996</v>
      </c>
      <c r="E336">
        <v>50</v>
      </c>
      <c r="F336">
        <v>14.996593474999999</v>
      </c>
      <c r="G336">
        <v>1385.2161865</v>
      </c>
      <c r="H336">
        <v>1371.6218262</v>
      </c>
      <c r="I336">
        <v>1252.203125</v>
      </c>
      <c r="J336">
        <v>1212.6389160000001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109.02132</v>
      </c>
      <c r="B337" s="1">
        <f>DATE(2010,8,18) + TIME(0,30,42)</f>
        <v>40408.021319444444</v>
      </c>
      <c r="C337">
        <v>80</v>
      </c>
      <c r="D337">
        <v>79.912925720000004</v>
      </c>
      <c r="E337">
        <v>50</v>
      </c>
      <c r="F337">
        <v>14.996745110000001</v>
      </c>
      <c r="G337">
        <v>1385.1530762</v>
      </c>
      <c r="H337">
        <v>1371.5629882999999</v>
      </c>
      <c r="I337">
        <v>1252.2303466999999</v>
      </c>
      <c r="J337">
        <v>1212.6634521000001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109.52082</v>
      </c>
      <c r="B338" s="1">
        <f>DATE(2010,8,18) + TIME(12,29,58)</f>
        <v>40408.520810185182</v>
      </c>
      <c r="C338">
        <v>80</v>
      </c>
      <c r="D338">
        <v>79.912956238000007</v>
      </c>
      <c r="E338">
        <v>50</v>
      </c>
      <c r="F338">
        <v>14.996864319</v>
      </c>
      <c r="G338">
        <v>1385.1048584</v>
      </c>
      <c r="H338">
        <v>1371.5181885</v>
      </c>
      <c r="I338">
        <v>1252.2493896000001</v>
      </c>
      <c r="J338">
        <v>1212.6801757999999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110.02032</v>
      </c>
      <c r="B339" s="1">
        <f>DATE(2010,8,19) + TIME(0,29,15)</f>
        <v>40409.020312499997</v>
      </c>
      <c r="C339">
        <v>80</v>
      </c>
      <c r="D339">
        <v>79.913009643999999</v>
      </c>
      <c r="E339">
        <v>50</v>
      </c>
      <c r="F339">
        <v>14.996979713</v>
      </c>
      <c r="G339">
        <v>1385.0660399999999</v>
      </c>
      <c r="H339">
        <v>1371.4819336</v>
      </c>
      <c r="I339">
        <v>1252.2675781</v>
      </c>
      <c r="J339">
        <v>1212.6964111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110.51982099999999</v>
      </c>
      <c r="B340" s="1">
        <f>DATE(2010,8,19) + TIME(12,28,32)</f>
        <v>40409.519814814812</v>
      </c>
      <c r="C340">
        <v>80</v>
      </c>
      <c r="D340">
        <v>79.913070679</v>
      </c>
      <c r="E340">
        <v>50</v>
      </c>
      <c r="F340">
        <v>14.997095108</v>
      </c>
      <c r="G340">
        <v>1385.0308838000001</v>
      </c>
      <c r="H340">
        <v>1371.4489745999999</v>
      </c>
      <c r="I340">
        <v>1252.2845459</v>
      </c>
      <c r="J340">
        <v>1212.7117920000001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111.01932100000001</v>
      </c>
      <c r="B341" s="1">
        <f>DATE(2010,8,20) + TIME(0,27,49)</f>
        <v>40410.019317129627</v>
      </c>
      <c r="C341">
        <v>80</v>
      </c>
      <c r="D341">
        <v>79.913139342999997</v>
      </c>
      <c r="E341">
        <v>50</v>
      </c>
      <c r="F341">
        <v>14.997212409999999</v>
      </c>
      <c r="G341">
        <v>1384.9970702999999</v>
      </c>
      <c r="H341">
        <v>1371.4173584</v>
      </c>
      <c r="I341">
        <v>1252.3007812000001</v>
      </c>
      <c r="J341">
        <v>1212.7264404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111.518821</v>
      </c>
      <c r="B342" s="1">
        <f>DATE(2010,8,20) + TIME(12,27,6)</f>
        <v>40410.518819444442</v>
      </c>
      <c r="C342">
        <v>80</v>
      </c>
      <c r="D342">
        <v>79.913200377999999</v>
      </c>
      <c r="E342">
        <v>50</v>
      </c>
      <c r="F342">
        <v>14.997334479999999</v>
      </c>
      <c r="G342">
        <v>1384.9639893000001</v>
      </c>
      <c r="H342">
        <v>1371.3863524999999</v>
      </c>
      <c r="I342">
        <v>1252.3167725000001</v>
      </c>
      <c r="J342">
        <v>1212.7408447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112.018322</v>
      </c>
      <c r="B343" s="1">
        <f>DATE(2010,8,21) + TIME(0,26,23)</f>
        <v>40411.018321759257</v>
      </c>
      <c r="C343">
        <v>80</v>
      </c>
      <c r="D343">
        <v>79.913261414000004</v>
      </c>
      <c r="E343">
        <v>50</v>
      </c>
      <c r="F343">
        <v>14.997461318999999</v>
      </c>
      <c r="G343">
        <v>1384.9312743999999</v>
      </c>
      <c r="H343">
        <v>1371.3557129000001</v>
      </c>
      <c r="I343">
        <v>1252.3323975000001</v>
      </c>
      <c r="J343">
        <v>1212.7550048999999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112.517822</v>
      </c>
      <c r="B344" s="1">
        <f>DATE(2010,8,21) + TIME(12,25,39)</f>
        <v>40411.517812500002</v>
      </c>
      <c r="C344">
        <v>80</v>
      </c>
      <c r="D344">
        <v>79.913322449000006</v>
      </c>
      <c r="E344">
        <v>50</v>
      </c>
      <c r="F344">
        <v>14.997595787</v>
      </c>
      <c r="G344">
        <v>1384.8989257999999</v>
      </c>
      <c r="H344">
        <v>1371.3253173999999</v>
      </c>
      <c r="I344">
        <v>1252.3481445</v>
      </c>
      <c r="J344">
        <v>1212.769043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113.01732199999999</v>
      </c>
      <c r="B345" s="1">
        <f>DATE(2010,8,22) + TIME(0,24,56)</f>
        <v>40412.017314814817</v>
      </c>
      <c r="C345">
        <v>80</v>
      </c>
      <c r="D345">
        <v>79.913383483999993</v>
      </c>
      <c r="E345">
        <v>50</v>
      </c>
      <c r="F345">
        <v>14.997738838</v>
      </c>
      <c r="G345">
        <v>1384.8666992000001</v>
      </c>
      <c r="H345">
        <v>1371.2952881000001</v>
      </c>
      <c r="I345">
        <v>1252.3637695</v>
      </c>
      <c r="J345">
        <v>1212.7830810999999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113.516823</v>
      </c>
      <c r="B346" s="1">
        <f>DATE(2010,8,22) + TIME(12,24,13)</f>
        <v>40412.516817129632</v>
      </c>
      <c r="C346">
        <v>80</v>
      </c>
      <c r="D346">
        <v>79.913444518999995</v>
      </c>
      <c r="E346">
        <v>50</v>
      </c>
      <c r="F346">
        <v>14.997889518999999</v>
      </c>
      <c r="G346">
        <v>1384.8347168</v>
      </c>
      <c r="H346">
        <v>1371.2652588000001</v>
      </c>
      <c r="I346">
        <v>1252.3795166</v>
      </c>
      <c r="J346">
        <v>1212.7972411999999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114.016323</v>
      </c>
      <c r="B347" s="1">
        <f>DATE(2010,8,23) + TIME(0,23,30)</f>
        <v>40413.016319444447</v>
      </c>
      <c r="C347">
        <v>80</v>
      </c>
      <c r="D347">
        <v>79.913505553999997</v>
      </c>
      <c r="E347">
        <v>50</v>
      </c>
      <c r="F347">
        <v>14.998050689999999</v>
      </c>
      <c r="G347">
        <v>1384.8028564000001</v>
      </c>
      <c r="H347">
        <v>1371.2354736</v>
      </c>
      <c r="I347">
        <v>1252.3953856999999</v>
      </c>
      <c r="J347">
        <v>1212.8112793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114.515823</v>
      </c>
      <c r="B348" s="1">
        <f>DATE(2010,8,23) + TIME(12,22,47)</f>
        <v>40413.515821759262</v>
      </c>
      <c r="C348">
        <v>80</v>
      </c>
      <c r="D348">
        <v>79.913566588999998</v>
      </c>
      <c r="E348">
        <v>50</v>
      </c>
      <c r="F348">
        <v>14.998222351000001</v>
      </c>
      <c r="G348">
        <v>1384.7712402</v>
      </c>
      <c r="H348">
        <v>1371.2059326000001</v>
      </c>
      <c r="I348">
        <v>1252.4112548999999</v>
      </c>
      <c r="J348">
        <v>1212.8255615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115.01532400000001</v>
      </c>
      <c r="B349" s="1">
        <f>DATE(2010,8,24) + TIME(0,22,3)</f>
        <v>40414.0153125</v>
      </c>
      <c r="C349">
        <v>80</v>
      </c>
      <c r="D349">
        <v>79.913627625000004</v>
      </c>
      <c r="E349">
        <v>50</v>
      </c>
      <c r="F349">
        <v>14.998405457</v>
      </c>
      <c r="G349">
        <v>1384.7397461</v>
      </c>
      <c r="H349">
        <v>1371.1763916</v>
      </c>
      <c r="I349">
        <v>1252.4272461</v>
      </c>
      <c r="J349">
        <v>1212.8398437999999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115.514824</v>
      </c>
      <c r="B350" s="1">
        <f>DATE(2010,8,24) + TIME(12,21,20)</f>
        <v>40414.514814814815</v>
      </c>
      <c r="C350">
        <v>80</v>
      </c>
      <c r="D350">
        <v>79.913688660000005</v>
      </c>
      <c r="E350">
        <v>50</v>
      </c>
      <c r="F350">
        <v>14.998600006</v>
      </c>
      <c r="G350">
        <v>1384.708374</v>
      </c>
      <c r="H350">
        <v>1371.1469727000001</v>
      </c>
      <c r="I350">
        <v>1252.4433594</v>
      </c>
      <c r="J350">
        <v>1212.8542480000001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116.014324</v>
      </c>
      <c r="B351" s="1">
        <f>DATE(2010,8,25) + TIME(0,20,37)</f>
        <v>40415.014317129629</v>
      </c>
      <c r="C351">
        <v>80</v>
      </c>
      <c r="D351">
        <v>79.913749695000007</v>
      </c>
      <c r="E351">
        <v>50</v>
      </c>
      <c r="F351">
        <v>14.998807907</v>
      </c>
      <c r="G351">
        <v>1384.677124</v>
      </c>
      <c r="H351">
        <v>1371.1176757999999</v>
      </c>
      <c r="I351">
        <v>1252.4594727000001</v>
      </c>
      <c r="J351">
        <v>1212.8686522999999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116.513825</v>
      </c>
      <c r="B352" s="1">
        <f>DATE(2010,8,25) + TIME(12,19,54)</f>
        <v>40415.513819444444</v>
      </c>
      <c r="C352">
        <v>80</v>
      </c>
      <c r="D352">
        <v>79.913810729999994</v>
      </c>
      <c r="E352">
        <v>50</v>
      </c>
      <c r="F352">
        <v>14.999030113</v>
      </c>
      <c r="G352">
        <v>1384.6459961</v>
      </c>
      <c r="H352">
        <v>1371.0886230000001</v>
      </c>
      <c r="I352">
        <v>1252.4758300999999</v>
      </c>
      <c r="J352">
        <v>1212.8831786999999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117.01332499999999</v>
      </c>
      <c r="B353" s="1">
        <f>DATE(2010,8,26) + TIME(0,19,11)</f>
        <v>40416.013321759259</v>
      </c>
      <c r="C353">
        <v>80</v>
      </c>
      <c r="D353">
        <v>79.913871764999996</v>
      </c>
      <c r="E353">
        <v>50</v>
      </c>
      <c r="F353">
        <v>14.999267578</v>
      </c>
      <c r="G353">
        <v>1384.6149902</v>
      </c>
      <c r="H353">
        <v>1371.0595702999999</v>
      </c>
      <c r="I353">
        <v>1252.4923096</v>
      </c>
      <c r="J353">
        <v>1212.8978271000001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118.012326</v>
      </c>
      <c r="B354" s="1">
        <f>DATE(2010,8,27) + TIME(0,17,44)</f>
        <v>40417.012314814812</v>
      </c>
      <c r="C354">
        <v>80</v>
      </c>
      <c r="D354">
        <v>79.914016724000007</v>
      </c>
      <c r="E354">
        <v>50</v>
      </c>
      <c r="F354">
        <v>14.999633789000001</v>
      </c>
      <c r="G354">
        <v>1384.5727539</v>
      </c>
      <c r="H354">
        <v>1371.0196533000001</v>
      </c>
      <c r="I354">
        <v>1252.5162353999999</v>
      </c>
      <c r="J354">
        <v>1212.9195557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119.01585900000001</v>
      </c>
      <c r="B355" s="1">
        <f>DATE(2010,8,28) + TIME(0,22,50)</f>
        <v>40418.015856481485</v>
      </c>
      <c r="C355">
        <v>80</v>
      </c>
      <c r="D355">
        <v>79.914138793999996</v>
      </c>
      <c r="E355">
        <v>50</v>
      </c>
      <c r="F355">
        <v>15.000125884999999</v>
      </c>
      <c r="G355">
        <v>1384.5172118999999</v>
      </c>
      <c r="H355">
        <v>1370.9677733999999</v>
      </c>
      <c r="I355">
        <v>1252.5455322</v>
      </c>
      <c r="J355">
        <v>1212.9455565999999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120.03513700000001</v>
      </c>
      <c r="B356" s="1">
        <f>DATE(2010,8,29) + TIME(0,50,35)</f>
        <v>40419.035127314812</v>
      </c>
      <c r="C356">
        <v>80</v>
      </c>
      <c r="D356">
        <v>79.914253235000004</v>
      </c>
      <c r="E356">
        <v>50</v>
      </c>
      <c r="F356">
        <v>15.000725746000001</v>
      </c>
      <c r="G356">
        <v>1384.4581298999999</v>
      </c>
      <c r="H356">
        <v>1370.9124756000001</v>
      </c>
      <c r="I356">
        <v>1252.5780029</v>
      </c>
      <c r="J356">
        <v>1212.9742432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120.550755</v>
      </c>
      <c r="B357" s="1">
        <f>DATE(2010,8,29) + TIME(13,13,5)</f>
        <v>40419.550752314812</v>
      </c>
      <c r="C357">
        <v>80</v>
      </c>
      <c r="D357">
        <v>79.914283752000003</v>
      </c>
      <c r="E357">
        <v>50</v>
      </c>
      <c r="F357">
        <v>15.001216888</v>
      </c>
      <c r="G357">
        <v>1384.4128418</v>
      </c>
      <c r="H357">
        <v>1370.8704834</v>
      </c>
      <c r="I357">
        <v>1252.6021728999999</v>
      </c>
      <c r="J357">
        <v>1212.9951172000001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121.066372</v>
      </c>
      <c r="B358" s="1">
        <f>DATE(2010,8,30) + TIME(1,35,34)</f>
        <v>40420.066365740742</v>
      </c>
      <c r="C358">
        <v>80</v>
      </c>
      <c r="D358">
        <v>79.914337157999995</v>
      </c>
      <c r="E358">
        <v>50</v>
      </c>
      <c r="F358">
        <v>15.001693725999999</v>
      </c>
      <c r="G358">
        <v>1384.3759766000001</v>
      </c>
      <c r="H358">
        <v>1370.8359375</v>
      </c>
      <c r="I358">
        <v>1252.6242675999999</v>
      </c>
      <c r="J358">
        <v>1213.0147704999999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121.58199</v>
      </c>
      <c r="B359" s="1">
        <f>DATE(2010,8,30) + TIME(13,58,3)</f>
        <v>40420.581979166665</v>
      </c>
      <c r="C359">
        <v>80</v>
      </c>
      <c r="D359">
        <v>79.914405822999996</v>
      </c>
      <c r="E359">
        <v>50</v>
      </c>
      <c r="F359">
        <v>15.002173424</v>
      </c>
      <c r="G359">
        <v>1384.3424072</v>
      </c>
      <c r="H359">
        <v>1370.8044434000001</v>
      </c>
      <c r="I359">
        <v>1252.6448975000001</v>
      </c>
      <c r="J359">
        <v>1213.0330810999999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122.097607</v>
      </c>
      <c r="B360" s="1">
        <f>DATE(2010,8,31) + TIME(2,20,33)</f>
        <v>40421.097604166665</v>
      </c>
      <c r="C360">
        <v>80</v>
      </c>
      <c r="D360">
        <v>79.914466857999997</v>
      </c>
      <c r="E360">
        <v>50</v>
      </c>
      <c r="F360">
        <v>15.002669334</v>
      </c>
      <c r="G360">
        <v>1384.3101807</v>
      </c>
      <c r="H360">
        <v>1370.7741699000001</v>
      </c>
      <c r="I360">
        <v>1252.6646728999999</v>
      </c>
      <c r="J360">
        <v>1213.0506591999999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123</v>
      </c>
      <c r="B361" s="1">
        <f>DATE(2010,9,1) + TIME(0,0,0)</f>
        <v>40422</v>
      </c>
      <c r="C361">
        <v>80</v>
      </c>
      <c r="D361">
        <v>79.914596558</v>
      </c>
      <c r="E361">
        <v>50</v>
      </c>
      <c r="F361">
        <v>15.003372192</v>
      </c>
      <c r="G361">
        <v>1384.269043</v>
      </c>
      <c r="H361">
        <v>1370.7353516000001</v>
      </c>
      <c r="I361">
        <v>1252.6905518000001</v>
      </c>
      <c r="J361">
        <v>1213.0742187999999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123.514745</v>
      </c>
      <c r="B362" s="1">
        <f>DATE(2010,9,1) + TIME(12,21,13)</f>
        <v>40422.514733796299</v>
      </c>
      <c r="C362">
        <v>80</v>
      </c>
      <c r="D362">
        <v>79.914642334000007</v>
      </c>
      <c r="E362">
        <v>50</v>
      </c>
      <c r="F362">
        <v>15.004018783999999</v>
      </c>
      <c r="G362">
        <v>1384.2303466999999</v>
      </c>
      <c r="H362">
        <v>1370.6993408000001</v>
      </c>
      <c r="I362">
        <v>1252.7131348</v>
      </c>
      <c r="J362">
        <v>1213.0936279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124.527141</v>
      </c>
      <c r="B363" s="1">
        <f>DATE(2010,9,2) + TIME(12,39,4)</f>
        <v>40423.527129629627</v>
      </c>
      <c r="C363">
        <v>80</v>
      </c>
      <c r="D363">
        <v>79.914787292</v>
      </c>
      <c r="E363">
        <v>50</v>
      </c>
      <c r="F363">
        <v>15.004954337999999</v>
      </c>
      <c r="G363">
        <v>1384.1843262</v>
      </c>
      <c r="H363">
        <v>1370.6558838000001</v>
      </c>
      <c r="I363">
        <v>1252.7429199000001</v>
      </c>
      <c r="J363">
        <v>1213.1206055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125.540817</v>
      </c>
      <c r="B364" s="1">
        <f>DATE(2010,9,3) + TIME(12,58,46)</f>
        <v>40424.540810185186</v>
      </c>
      <c r="C364">
        <v>80</v>
      </c>
      <c r="D364">
        <v>79.914901732999994</v>
      </c>
      <c r="E364">
        <v>50</v>
      </c>
      <c r="F364">
        <v>15.006143570000001</v>
      </c>
      <c r="G364">
        <v>1384.1290283000001</v>
      </c>
      <c r="H364">
        <v>1370.604126</v>
      </c>
      <c r="I364">
        <v>1252.7777100000001</v>
      </c>
      <c r="J364">
        <v>1213.1512451000001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126.56079800000001</v>
      </c>
      <c r="B365" s="1">
        <f>DATE(2010,9,4) + TIME(13,27,32)</f>
        <v>40425.560787037037</v>
      </c>
      <c r="C365">
        <v>80</v>
      </c>
      <c r="D365">
        <v>79.915023804</v>
      </c>
      <c r="E365">
        <v>50</v>
      </c>
      <c r="F365">
        <v>15.007555008000001</v>
      </c>
      <c r="G365">
        <v>1384.0712891000001</v>
      </c>
      <c r="H365">
        <v>1370.5500488</v>
      </c>
      <c r="I365">
        <v>1252.8153076000001</v>
      </c>
      <c r="J365">
        <v>1213.1843262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127.58969</v>
      </c>
      <c r="B366" s="1">
        <f>DATE(2010,9,5) + TIME(14,9,9)</f>
        <v>40426.589687500003</v>
      </c>
      <c r="C366">
        <v>80</v>
      </c>
      <c r="D366">
        <v>79.915138244999994</v>
      </c>
      <c r="E366">
        <v>50</v>
      </c>
      <c r="F366">
        <v>15.009192467</v>
      </c>
      <c r="G366">
        <v>1384.0126952999999</v>
      </c>
      <c r="H366">
        <v>1370.4951172000001</v>
      </c>
      <c r="I366">
        <v>1252.8546143000001</v>
      </c>
      <c r="J366">
        <v>1213.2189940999999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128.105603</v>
      </c>
      <c r="B367" s="1">
        <f>DATE(2010,9,6) + TIME(2,32,4)</f>
        <v>40427.10560185185</v>
      </c>
      <c r="C367">
        <v>80</v>
      </c>
      <c r="D367">
        <v>79.915168761999993</v>
      </c>
      <c r="E367">
        <v>50</v>
      </c>
      <c r="F367">
        <v>15.010495186</v>
      </c>
      <c r="G367">
        <v>1383.9692382999999</v>
      </c>
      <c r="H367">
        <v>1370.4547118999999</v>
      </c>
      <c r="I367">
        <v>1252.8840332</v>
      </c>
      <c r="J367">
        <v>1213.2441406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128.62151700000001</v>
      </c>
      <c r="B368" s="1">
        <f>DATE(2010,9,6) + TIME(14,54,59)</f>
        <v>40427.621516203704</v>
      </c>
      <c r="C368">
        <v>80</v>
      </c>
      <c r="D368">
        <v>79.915229796999995</v>
      </c>
      <c r="E368">
        <v>50</v>
      </c>
      <c r="F368">
        <v>15.011750221</v>
      </c>
      <c r="G368">
        <v>1383.9335937999999</v>
      </c>
      <c r="H368">
        <v>1370.4212646000001</v>
      </c>
      <c r="I368">
        <v>1252.9097899999999</v>
      </c>
      <c r="J368">
        <v>1213.2669678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129.13742999999999</v>
      </c>
      <c r="B369" s="1">
        <f>DATE(2010,9,7) + TIME(3,17,53)</f>
        <v>40428.137418981481</v>
      </c>
      <c r="C369">
        <v>80</v>
      </c>
      <c r="D369">
        <v>79.915290833</v>
      </c>
      <c r="E369">
        <v>50</v>
      </c>
      <c r="F369">
        <v>15.013005257</v>
      </c>
      <c r="G369">
        <v>1383.9011230000001</v>
      </c>
      <c r="H369">
        <v>1370.3907471</v>
      </c>
      <c r="I369">
        <v>1252.9335937999999</v>
      </c>
      <c r="J369">
        <v>1213.2882079999999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129.65334300000001</v>
      </c>
      <c r="B370" s="1">
        <f>DATE(2010,9,7) + TIME(15,40,48)</f>
        <v>40428.653333333335</v>
      </c>
      <c r="C370">
        <v>80</v>
      </c>
      <c r="D370">
        <v>79.915351868000002</v>
      </c>
      <c r="E370">
        <v>50</v>
      </c>
      <c r="F370">
        <v>15.014293671000001</v>
      </c>
      <c r="G370">
        <v>1383.8699951000001</v>
      </c>
      <c r="H370">
        <v>1370.3615723</v>
      </c>
      <c r="I370">
        <v>1252.956543</v>
      </c>
      <c r="J370">
        <v>1213.3085937999999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130.16925699999999</v>
      </c>
      <c r="B371" s="1">
        <f>DATE(2010,9,8) + TIME(4,3,43)</f>
        <v>40429.169247685182</v>
      </c>
      <c r="C371">
        <v>80</v>
      </c>
      <c r="D371">
        <v>79.915420531999999</v>
      </c>
      <c r="E371">
        <v>50</v>
      </c>
      <c r="F371">
        <v>15.015634537</v>
      </c>
      <c r="G371">
        <v>1383.8395995999999</v>
      </c>
      <c r="H371">
        <v>1370.3328856999999</v>
      </c>
      <c r="I371">
        <v>1252.9790039</v>
      </c>
      <c r="J371">
        <v>1213.3286132999999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130.68517</v>
      </c>
      <c r="B372" s="1">
        <f>DATE(2010,9,8) + TIME(16,26,38)</f>
        <v>40429.685162037036</v>
      </c>
      <c r="C372">
        <v>80</v>
      </c>
      <c r="D372">
        <v>79.915481567</v>
      </c>
      <c r="E372">
        <v>50</v>
      </c>
      <c r="F372">
        <v>15.017045020999999</v>
      </c>
      <c r="G372">
        <v>1383.8095702999999</v>
      </c>
      <c r="H372">
        <v>1370.3046875</v>
      </c>
      <c r="I372">
        <v>1253.0014647999999</v>
      </c>
      <c r="J372">
        <v>1213.3485106999999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131.20108300000001</v>
      </c>
      <c r="B373" s="1">
        <f>DATE(2010,9,9) + TIME(4,49,33)</f>
        <v>40430.20107638889</v>
      </c>
      <c r="C373">
        <v>80</v>
      </c>
      <c r="D373">
        <v>79.915542603000006</v>
      </c>
      <c r="E373">
        <v>50</v>
      </c>
      <c r="F373">
        <v>15.018535613999999</v>
      </c>
      <c r="G373">
        <v>1383.7797852000001</v>
      </c>
      <c r="H373">
        <v>1370.2767334</v>
      </c>
      <c r="I373">
        <v>1253.0239257999999</v>
      </c>
      <c r="J373">
        <v>1213.3685303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131.71699699999999</v>
      </c>
      <c r="B374" s="1">
        <f>DATE(2010,9,9) + TIME(17,12,28)</f>
        <v>40430.716990740744</v>
      </c>
      <c r="C374">
        <v>80</v>
      </c>
      <c r="D374">
        <v>79.915603637999993</v>
      </c>
      <c r="E374">
        <v>50</v>
      </c>
      <c r="F374">
        <v>15.020116806000001</v>
      </c>
      <c r="G374">
        <v>1383.7502440999999</v>
      </c>
      <c r="H374">
        <v>1370.2489014</v>
      </c>
      <c r="I374">
        <v>1253.0466309000001</v>
      </c>
      <c r="J374">
        <v>1213.3885498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132.23291</v>
      </c>
      <c r="B375" s="1">
        <f>DATE(2010,9,10) + TIME(5,35,23)</f>
        <v>40431.232905092591</v>
      </c>
      <c r="C375">
        <v>80</v>
      </c>
      <c r="D375">
        <v>79.915664672999995</v>
      </c>
      <c r="E375">
        <v>50</v>
      </c>
      <c r="F375">
        <v>15.02179718</v>
      </c>
      <c r="G375">
        <v>1383.7208252</v>
      </c>
      <c r="H375">
        <v>1370.2213135</v>
      </c>
      <c r="I375">
        <v>1253.0693358999999</v>
      </c>
      <c r="J375">
        <v>1213.4086914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132.74882400000001</v>
      </c>
      <c r="B376" s="1">
        <f>DATE(2010,9,10) + TIME(17,58,18)</f>
        <v>40431.748819444445</v>
      </c>
      <c r="C376">
        <v>80</v>
      </c>
      <c r="D376">
        <v>79.915725707999997</v>
      </c>
      <c r="E376">
        <v>50</v>
      </c>
      <c r="F376">
        <v>15.023582458</v>
      </c>
      <c r="G376">
        <v>1383.6915283000001</v>
      </c>
      <c r="H376">
        <v>1370.1937256000001</v>
      </c>
      <c r="I376">
        <v>1253.0924072</v>
      </c>
      <c r="J376">
        <v>1213.4290771000001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133.264737</v>
      </c>
      <c r="B377" s="1">
        <f>DATE(2010,9,11) + TIME(6,21,13)</f>
        <v>40432.264733796299</v>
      </c>
      <c r="C377">
        <v>80</v>
      </c>
      <c r="D377">
        <v>79.915786742999998</v>
      </c>
      <c r="E377">
        <v>50</v>
      </c>
      <c r="F377">
        <v>15.025481224</v>
      </c>
      <c r="G377">
        <v>1383.6624756000001</v>
      </c>
      <c r="H377">
        <v>1370.1663818</v>
      </c>
      <c r="I377">
        <v>1253.1156006000001</v>
      </c>
      <c r="J377">
        <v>1213.449707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133.77969200000001</v>
      </c>
      <c r="B378" s="1">
        <f>DATE(2010,9,11) + TIME(18,42,45)</f>
        <v>40432.779687499999</v>
      </c>
      <c r="C378">
        <v>80</v>
      </c>
      <c r="D378">
        <v>79.915840149000005</v>
      </c>
      <c r="E378">
        <v>50</v>
      </c>
      <c r="F378">
        <v>15.027498245</v>
      </c>
      <c r="G378">
        <v>1383.6334228999999</v>
      </c>
      <c r="H378">
        <v>1370.1391602000001</v>
      </c>
      <c r="I378">
        <v>1253.1390381000001</v>
      </c>
      <c r="J378">
        <v>1213.4705810999999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134.29333099999999</v>
      </c>
      <c r="B379" s="1">
        <f>DATE(2010,9,12) + TIME(7,2,23)</f>
        <v>40433.293321759258</v>
      </c>
      <c r="C379">
        <v>80</v>
      </c>
      <c r="D379">
        <v>79.915901184000006</v>
      </c>
      <c r="E379">
        <v>50</v>
      </c>
      <c r="F379">
        <v>15.029639244</v>
      </c>
      <c r="G379">
        <v>1383.6046143000001</v>
      </c>
      <c r="H379">
        <v>1370.1120605000001</v>
      </c>
      <c r="I379">
        <v>1253.1627197</v>
      </c>
      <c r="J379">
        <v>1213.4915771000001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134.80586199999999</v>
      </c>
      <c r="B380" s="1">
        <f>DATE(2010,9,12) + TIME(19,20,26)</f>
        <v>40433.805856481478</v>
      </c>
      <c r="C380">
        <v>80</v>
      </c>
      <c r="D380">
        <v>79.915962218999994</v>
      </c>
      <c r="E380">
        <v>50</v>
      </c>
      <c r="F380">
        <v>15.031910895999999</v>
      </c>
      <c r="G380">
        <v>1383.5759277</v>
      </c>
      <c r="H380">
        <v>1370.0850829999999</v>
      </c>
      <c r="I380">
        <v>1253.1866454999999</v>
      </c>
      <c r="J380">
        <v>1213.5128173999999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135.31746200000001</v>
      </c>
      <c r="B381" s="1">
        <f>DATE(2010,9,13) + TIME(7,37,8)</f>
        <v>40434.317453703705</v>
      </c>
      <c r="C381">
        <v>80</v>
      </c>
      <c r="D381">
        <v>79.916023253999995</v>
      </c>
      <c r="E381">
        <v>50</v>
      </c>
      <c r="F381">
        <v>15.034320831</v>
      </c>
      <c r="G381">
        <v>1383.5474853999999</v>
      </c>
      <c r="H381">
        <v>1370.0582274999999</v>
      </c>
      <c r="I381">
        <v>1253.2108154</v>
      </c>
      <c r="J381">
        <v>1213.5343018000001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136.339167</v>
      </c>
      <c r="B382" s="1">
        <f>DATE(2010,9,14) + TIME(8,8,24)</f>
        <v>40435.339166666665</v>
      </c>
      <c r="C382">
        <v>80</v>
      </c>
      <c r="D382">
        <v>79.916168213000006</v>
      </c>
      <c r="E382">
        <v>50</v>
      </c>
      <c r="F382">
        <v>15.038014412000001</v>
      </c>
      <c r="G382">
        <v>1383.5076904</v>
      </c>
      <c r="H382">
        <v>1370.0206298999999</v>
      </c>
      <c r="I382">
        <v>1253.2432861</v>
      </c>
      <c r="J382">
        <v>1213.5643310999999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137.360882</v>
      </c>
      <c r="B383" s="1">
        <f>DATE(2010,9,15) + TIME(8,39,40)</f>
        <v>40436.360879629632</v>
      </c>
      <c r="C383">
        <v>80</v>
      </c>
      <c r="D383">
        <v>79.916282654</v>
      </c>
      <c r="E383">
        <v>50</v>
      </c>
      <c r="F383">
        <v>15.042942047</v>
      </c>
      <c r="G383">
        <v>1383.4569091999999</v>
      </c>
      <c r="H383">
        <v>1369.9729004000001</v>
      </c>
      <c r="I383">
        <v>1253.2874756000001</v>
      </c>
      <c r="J383">
        <v>1213.6033935999999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138.399362</v>
      </c>
      <c r="B384" s="1">
        <f>DATE(2010,9,16) + TIME(9,35,4)</f>
        <v>40437.399351851855</v>
      </c>
      <c r="C384">
        <v>80</v>
      </c>
      <c r="D384">
        <v>79.916397094999994</v>
      </c>
      <c r="E384">
        <v>50</v>
      </c>
      <c r="F384">
        <v>15.048865318000001</v>
      </c>
      <c r="G384">
        <v>1383.4029541</v>
      </c>
      <c r="H384">
        <v>1369.9222411999999</v>
      </c>
      <c r="I384">
        <v>1253.3361815999999</v>
      </c>
      <c r="J384">
        <v>1213.6467285000001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138.92692099999999</v>
      </c>
      <c r="B385" s="1">
        <f>DATE(2010,9,16) + TIME(22,14,45)</f>
        <v>40437.92690972222</v>
      </c>
      <c r="C385">
        <v>80</v>
      </c>
      <c r="D385">
        <v>79.916427612000007</v>
      </c>
      <c r="E385">
        <v>50</v>
      </c>
      <c r="F385">
        <v>15.053663254</v>
      </c>
      <c r="G385">
        <v>1383.3623047000001</v>
      </c>
      <c r="H385">
        <v>1369.8843993999999</v>
      </c>
      <c r="I385">
        <v>1253.3764647999999</v>
      </c>
      <c r="J385">
        <v>1213.6810303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139.95297199999999</v>
      </c>
      <c r="B386" s="1">
        <f>DATE(2010,9,17) + TIME(22,52,16)</f>
        <v>40438.952962962961</v>
      </c>
      <c r="C386">
        <v>80</v>
      </c>
      <c r="D386">
        <v>79.916564941000004</v>
      </c>
      <c r="E386">
        <v>50</v>
      </c>
      <c r="F386">
        <v>15.060208320999999</v>
      </c>
      <c r="G386">
        <v>1383.3155518000001</v>
      </c>
      <c r="H386">
        <v>1369.8400879000001</v>
      </c>
      <c r="I386">
        <v>1253.4185791</v>
      </c>
      <c r="J386">
        <v>1213.7209473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140.47450799999999</v>
      </c>
      <c r="B387" s="1">
        <f>DATE(2010,9,18) + TIME(11,23,17)</f>
        <v>40439.474502314813</v>
      </c>
      <c r="C387">
        <v>80</v>
      </c>
      <c r="D387">
        <v>79.916603088000002</v>
      </c>
      <c r="E387">
        <v>50</v>
      </c>
      <c r="F387">
        <v>15.065709114000001</v>
      </c>
      <c r="G387">
        <v>1383.2770995999999</v>
      </c>
      <c r="H387">
        <v>1369.8043213000001</v>
      </c>
      <c r="I387">
        <v>1253.4589844</v>
      </c>
      <c r="J387">
        <v>1213.7554932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141.486806</v>
      </c>
      <c r="B388" s="1">
        <f>DATE(2010,9,19) + TIME(11,41,0)</f>
        <v>40440.486805555556</v>
      </c>
      <c r="C388">
        <v>80</v>
      </c>
      <c r="D388">
        <v>79.916740417</v>
      </c>
      <c r="E388">
        <v>50</v>
      </c>
      <c r="F388">
        <v>15.073286057000001</v>
      </c>
      <c r="G388">
        <v>1383.2318115</v>
      </c>
      <c r="H388">
        <v>1369.7612305</v>
      </c>
      <c r="I388">
        <v>1253.5012207</v>
      </c>
      <c r="J388">
        <v>1213.7958983999999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142.525871</v>
      </c>
      <c r="B389" s="1">
        <f>DATE(2010,9,20) + TIME(12,37,15)</f>
        <v>40441.525868055556</v>
      </c>
      <c r="C389">
        <v>80</v>
      </c>
      <c r="D389">
        <v>79.916862488000007</v>
      </c>
      <c r="E389">
        <v>50</v>
      </c>
      <c r="F389">
        <v>15.082544327000001</v>
      </c>
      <c r="G389">
        <v>1383.1796875</v>
      </c>
      <c r="H389">
        <v>1369.7122803</v>
      </c>
      <c r="I389">
        <v>1253.5541992000001</v>
      </c>
      <c r="J389">
        <v>1213.8439940999999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143.568533</v>
      </c>
      <c r="B390" s="1">
        <f>DATE(2010,9,21) + TIME(13,38,41)</f>
        <v>40442.568530092591</v>
      </c>
      <c r="C390">
        <v>80</v>
      </c>
      <c r="D390">
        <v>79.916976929</v>
      </c>
      <c r="E390">
        <v>50</v>
      </c>
      <c r="F390">
        <v>15.093315125</v>
      </c>
      <c r="G390">
        <v>1383.1253661999999</v>
      </c>
      <c r="H390">
        <v>1369.6611327999999</v>
      </c>
      <c r="I390">
        <v>1253.6115723</v>
      </c>
      <c r="J390">
        <v>1213.8962402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144.093141</v>
      </c>
      <c r="B391" s="1">
        <f>DATE(2010,9,22) + TIME(2,14,7)</f>
        <v>40443.093136574076</v>
      </c>
      <c r="C391">
        <v>80</v>
      </c>
      <c r="D391">
        <v>79.917015075999998</v>
      </c>
      <c r="E391">
        <v>50</v>
      </c>
      <c r="F391">
        <v>15.101847649</v>
      </c>
      <c r="G391">
        <v>1383.0855713000001</v>
      </c>
      <c r="H391">
        <v>1369.6239014</v>
      </c>
      <c r="I391">
        <v>1253.659668</v>
      </c>
      <c r="J391">
        <v>1213.9377440999999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144.617749</v>
      </c>
      <c r="B392" s="1">
        <f>DATE(2010,9,22) + TIME(14,49,33)</f>
        <v>40443.617743055554</v>
      </c>
      <c r="C392">
        <v>80</v>
      </c>
      <c r="D392">
        <v>79.917068481000001</v>
      </c>
      <c r="E392">
        <v>50</v>
      </c>
      <c r="F392">
        <v>15.109985352000001</v>
      </c>
      <c r="G392">
        <v>1383.052124</v>
      </c>
      <c r="H392">
        <v>1369.5924072</v>
      </c>
      <c r="I392">
        <v>1253.6967772999999</v>
      </c>
      <c r="J392">
        <v>1213.9725341999999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145.14235600000001</v>
      </c>
      <c r="B393" s="1">
        <f>DATE(2010,9,23) + TIME(3,24,59)</f>
        <v>40444.14234953704</v>
      </c>
      <c r="C393">
        <v>80</v>
      </c>
      <c r="D393">
        <v>79.917129517000006</v>
      </c>
      <c r="E393">
        <v>50</v>
      </c>
      <c r="F393">
        <v>15.118053436</v>
      </c>
      <c r="G393">
        <v>1383.0214844</v>
      </c>
      <c r="H393">
        <v>1369.5634766000001</v>
      </c>
      <c r="I393">
        <v>1253.7310791</v>
      </c>
      <c r="J393">
        <v>1214.0051269999999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145.66696400000001</v>
      </c>
      <c r="B394" s="1">
        <f>DATE(2010,9,23) + TIME(16,0,25)</f>
        <v>40444.666956018518</v>
      </c>
      <c r="C394">
        <v>80</v>
      </c>
      <c r="D394">
        <v>79.917190551999994</v>
      </c>
      <c r="E394">
        <v>50</v>
      </c>
      <c r="F394">
        <v>15.126257896</v>
      </c>
      <c r="G394">
        <v>1382.9920654</v>
      </c>
      <c r="H394">
        <v>1369.5356445</v>
      </c>
      <c r="I394">
        <v>1253.7646483999999</v>
      </c>
      <c r="J394">
        <v>1214.0367432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146.19157200000001</v>
      </c>
      <c r="B395" s="1">
        <f>DATE(2010,9,24) + TIME(4,35,51)</f>
        <v>40445.191562499997</v>
      </c>
      <c r="C395">
        <v>80</v>
      </c>
      <c r="D395">
        <v>79.917251586999996</v>
      </c>
      <c r="E395">
        <v>50</v>
      </c>
      <c r="F395">
        <v>15.134734154</v>
      </c>
      <c r="G395">
        <v>1382.9632568</v>
      </c>
      <c r="H395">
        <v>1369.5084228999999</v>
      </c>
      <c r="I395">
        <v>1253.7980957</v>
      </c>
      <c r="J395">
        <v>1214.0683594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146.71618000000001</v>
      </c>
      <c r="B396" s="1">
        <f>DATE(2010,9,24) + TIME(17,11,17)</f>
        <v>40445.716168981482</v>
      </c>
      <c r="C396">
        <v>80</v>
      </c>
      <c r="D396">
        <v>79.917312621999997</v>
      </c>
      <c r="E396">
        <v>50</v>
      </c>
      <c r="F396">
        <v>15.143571853999999</v>
      </c>
      <c r="G396">
        <v>1382.9348144999999</v>
      </c>
      <c r="H396">
        <v>1369.4815673999999</v>
      </c>
      <c r="I396">
        <v>1253.8316649999999</v>
      </c>
      <c r="J396">
        <v>1214.1002197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147.24078800000001</v>
      </c>
      <c r="B397" s="1">
        <f>DATE(2010,9,25) + TIME(5,46,44)</f>
        <v>40446.240787037037</v>
      </c>
      <c r="C397">
        <v>80</v>
      </c>
      <c r="D397">
        <v>79.917373656999999</v>
      </c>
      <c r="E397">
        <v>50</v>
      </c>
      <c r="F397">
        <v>15.152839661</v>
      </c>
      <c r="G397">
        <v>1382.9066161999999</v>
      </c>
      <c r="H397">
        <v>1369.4549560999999</v>
      </c>
      <c r="I397">
        <v>1253.8656006000001</v>
      </c>
      <c r="J397">
        <v>1214.1324463000001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147.76539600000001</v>
      </c>
      <c r="B398" s="1">
        <f>DATE(2010,9,25) + TIME(18,22,10)</f>
        <v>40446.765393518515</v>
      </c>
      <c r="C398">
        <v>80</v>
      </c>
      <c r="D398">
        <v>79.917434692</v>
      </c>
      <c r="E398">
        <v>50</v>
      </c>
      <c r="F398">
        <v>15.162586212000001</v>
      </c>
      <c r="G398">
        <v>1382.8785399999999</v>
      </c>
      <c r="H398">
        <v>1369.4284668</v>
      </c>
      <c r="I398">
        <v>1253.8997803</v>
      </c>
      <c r="J398">
        <v>1214.1650391000001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148.29000300000001</v>
      </c>
      <c r="B399" s="1">
        <f>DATE(2010,9,26) + TIME(6,57,36)</f>
        <v>40447.29</v>
      </c>
      <c r="C399">
        <v>80</v>
      </c>
      <c r="D399">
        <v>79.917495728000006</v>
      </c>
      <c r="E399">
        <v>50</v>
      </c>
      <c r="F399">
        <v>15.172852516000001</v>
      </c>
      <c r="G399">
        <v>1382.8507079999999</v>
      </c>
      <c r="H399">
        <v>1369.4020995999999</v>
      </c>
      <c r="I399">
        <v>1253.9345702999999</v>
      </c>
      <c r="J399">
        <v>1214.1983643000001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148.81461100000001</v>
      </c>
      <c r="B400" s="1">
        <f>DATE(2010,9,26) + TIME(19,33,2)</f>
        <v>40447.814606481479</v>
      </c>
      <c r="C400">
        <v>80</v>
      </c>
      <c r="D400">
        <v>79.917556762999993</v>
      </c>
      <c r="E400">
        <v>50</v>
      </c>
      <c r="F400">
        <v>15.183675766</v>
      </c>
      <c r="G400">
        <v>1382.822876</v>
      </c>
      <c r="H400">
        <v>1369.3758545000001</v>
      </c>
      <c r="I400">
        <v>1253.9697266000001</v>
      </c>
      <c r="J400">
        <v>1214.2321777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149.33921900000001</v>
      </c>
      <c r="B401" s="1">
        <f>DATE(2010,9,27) + TIME(8,8,28)</f>
        <v>40448.339212962965</v>
      </c>
      <c r="C401">
        <v>80</v>
      </c>
      <c r="D401">
        <v>79.917610167999996</v>
      </c>
      <c r="E401">
        <v>50</v>
      </c>
      <c r="F401">
        <v>15.195090294</v>
      </c>
      <c r="G401">
        <v>1382.7951660000001</v>
      </c>
      <c r="H401">
        <v>1369.3497314000001</v>
      </c>
      <c r="I401">
        <v>1254.0053711</v>
      </c>
      <c r="J401">
        <v>1214.2667236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149.86257800000001</v>
      </c>
      <c r="B402" s="1">
        <f>DATE(2010,9,27) + TIME(20,42,6)</f>
        <v>40448.862569444442</v>
      </c>
      <c r="C402">
        <v>80</v>
      </c>
      <c r="D402">
        <v>79.917671204000001</v>
      </c>
      <c r="E402">
        <v>50</v>
      </c>
      <c r="F402">
        <v>15.207110405</v>
      </c>
      <c r="G402">
        <v>1382.7677002</v>
      </c>
      <c r="H402">
        <v>1369.3237305</v>
      </c>
      <c r="I402">
        <v>1254.0415039</v>
      </c>
      <c r="J402">
        <v>1214.3018798999999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150.38486700000001</v>
      </c>
      <c r="B403" s="1">
        <f>DATE(2010,9,28) + TIME(9,14,12)</f>
        <v>40449.38486111111</v>
      </c>
      <c r="C403">
        <v>80</v>
      </c>
      <c r="D403">
        <v>79.917732239000003</v>
      </c>
      <c r="E403">
        <v>50</v>
      </c>
      <c r="F403">
        <v>15.219763756000001</v>
      </c>
      <c r="G403">
        <v>1382.7402344</v>
      </c>
      <c r="H403">
        <v>1369.2977295000001</v>
      </c>
      <c r="I403">
        <v>1254.078125</v>
      </c>
      <c r="J403">
        <v>1214.3376464999999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150.90622999999999</v>
      </c>
      <c r="B404" s="1">
        <f>DATE(2010,9,28) + TIME(21,44,58)</f>
        <v>40449.906226851854</v>
      </c>
      <c r="C404">
        <v>80</v>
      </c>
      <c r="D404">
        <v>79.917785644999995</v>
      </c>
      <c r="E404">
        <v>50</v>
      </c>
      <c r="F404">
        <v>15.233079910000001</v>
      </c>
      <c r="G404">
        <v>1382.7128906</v>
      </c>
      <c r="H404">
        <v>1369.2719727000001</v>
      </c>
      <c r="I404">
        <v>1254.1152344</v>
      </c>
      <c r="J404">
        <v>1214.3742675999999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151.42682400000001</v>
      </c>
      <c r="B405" s="1">
        <f>DATE(2010,9,29) + TIME(10,14,37)</f>
        <v>40450.426817129628</v>
      </c>
      <c r="C405">
        <v>80</v>
      </c>
      <c r="D405">
        <v>79.917846679999997</v>
      </c>
      <c r="E405">
        <v>50</v>
      </c>
      <c r="F405">
        <v>15.247089386000001</v>
      </c>
      <c r="G405">
        <v>1382.6856689000001</v>
      </c>
      <c r="H405">
        <v>1369.2462158000001</v>
      </c>
      <c r="I405">
        <v>1254.152832</v>
      </c>
      <c r="J405">
        <v>1214.411499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151.94681600000001</v>
      </c>
      <c r="B406" s="1">
        <f>DATE(2010,9,29) + TIME(22,43,24)</f>
        <v>40450.946805555555</v>
      </c>
      <c r="C406">
        <v>80</v>
      </c>
      <c r="D406">
        <v>79.917907714999998</v>
      </c>
      <c r="E406">
        <v>50</v>
      </c>
      <c r="F406">
        <v>15.261825562</v>
      </c>
      <c r="G406">
        <v>1382.6585693</v>
      </c>
      <c r="H406">
        <v>1369.2205810999999</v>
      </c>
      <c r="I406">
        <v>1254.190918</v>
      </c>
      <c r="J406">
        <v>1214.4494629000001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152.47340800000001</v>
      </c>
      <c r="B407" s="1">
        <f>DATE(2010,9,30) + TIME(11,21,42)</f>
        <v>40451.473402777781</v>
      </c>
      <c r="C407">
        <v>80</v>
      </c>
      <c r="D407">
        <v>79.917961121000005</v>
      </c>
      <c r="E407">
        <v>50</v>
      </c>
      <c r="F407">
        <v>15.277451514999999</v>
      </c>
      <c r="G407">
        <v>1382.6313477000001</v>
      </c>
      <c r="H407">
        <v>1369.1948242000001</v>
      </c>
      <c r="I407">
        <v>1254.2296143000001</v>
      </c>
      <c r="J407">
        <v>1214.4885254000001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153</v>
      </c>
      <c r="B408" s="1">
        <f>DATE(2010,10,1) + TIME(0,0,0)</f>
        <v>40452</v>
      </c>
      <c r="C408">
        <v>80</v>
      </c>
      <c r="D408">
        <v>79.918022156000006</v>
      </c>
      <c r="E408">
        <v>50</v>
      </c>
      <c r="F408">
        <v>15.293931961</v>
      </c>
      <c r="G408">
        <v>1382.6040039</v>
      </c>
      <c r="H408">
        <v>1369.1690673999999</v>
      </c>
      <c r="I408">
        <v>1254.269043</v>
      </c>
      <c r="J408">
        <v>1214.5285644999999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153.518869</v>
      </c>
      <c r="B409" s="1">
        <f>DATE(2010,10,1) + TIME(12,27,10)</f>
        <v>40452.518865740742</v>
      </c>
      <c r="C409">
        <v>80</v>
      </c>
      <c r="D409">
        <v>79.918083190999994</v>
      </c>
      <c r="E409">
        <v>50</v>
      </c>
      <c r="F409">
        <v>15.311141014</v>
      </c>
      <c r="G409">
        <v>1382.5770264</v>
      </c>
      <c r="H409">
        <v>1369.1434326000001</v>
      </c>
      <c r="I409">
        <v>1254.3093262</v>
      </c>
      <c r="J409">
        <v>1214.5694579999999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154.54799199999999</v>
      </c>
      <c r="B410" s="1">
        <f>DATE(2010,10,2) + TIME(13,9,6)</f>
        <v>40453.547986111109</v>
      </c>
      <c r="C410">
        <v>80</v>
      </c>
      <c r="D410">
        <v>79.918212890999996</v>
      </c>
      <c r="E410">
        <v>50</v>
      </c>
      <c r="F410">
        <v>15.337050438</v>
      </c>
      <c r="G410">
        <v>1382.5385742000001</v>
      </c>
      <c r="H410">
        <v>1369.1068115</v>
      </c>
      <c r="I410">
        <v>1254.3563231999999</v>
      </c>
      <c r="J410">
        <v>1214.6229248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155.58785</v>
      </c>
      <c r="B411" s="1">
        <f>DATE(2010,10,3) + TIME(14,6,30)</f>
        <v>40454.587847222225</v>
      </c>
      <c r="C411">
        <v>80</v>
      </c>
      <c r="D411">
        <v>79.918327332000004</v>
      </c>
      <c r="E411">
        <v>50</v>
      </c>
      <c r="F411">
        <v>15.371232986000001</v>
      </c>
      <c r="G411">
        <v>1382.4907227000001</v>
      </c>
      <c r="H411">
        <v>1369.0615233999999</v>
      </c>
      <c r="I411">
        <v>1254.4323730000001</v>
      </c>
      <c r="J411">
        <v>1214.7000731999999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156.647908</v>
      </c>
      <c r="B412" s="1">
        <f>DATE(2010,10,4) + TIME(15,32,59)</f>
        <v>40455.647905092592</v>
      </c>
      <c r="C412">
        <v>80</v>
      </c>
      <c r="D412">
        <v>79.918441771999994</v>
      </c>
      <c r="E412">
        <v>50</v>
      </c>
      <c r="F412">
        <v>15.411802292000001</v>
      </c>
      <c r="G412">
        <v>1382.4393310999999</v>
      </c>
      <c r="H412">
        <v>1369.0130615</v>
      </c>
      <c r="I412">
        <v>1254.5152588000001</v>
      </c>
      <c r="J412">
        <v>1214.786499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157.18561500000001</v>
      </c>
      <c r="B413" s="1">
        <f>DATE(2010,10,5) + TIME(4,27,17)</f>
        <v>40456.185613425929</v>
      </c>
      <c r="C413">
        <v>80</v>
      </c>
      <c r="D413">
        <v>79.918479919000006</v>
      </c>
      <c r="E413">
        <v>50</v>
      </c>
      <c r="F413">
        <v>15.444274902</v>
      </c>
      <c r="G413">
        <v>1382.4014893000001</v>
      </c>
      <c r="H413">
        <v>1368.9775391000001</v>
      </c>
      <c r="I413">
        <v>1254.59375</v>
      </c>
      <c r="J413">
        <v>1214.8615723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158.18043</v>
      </c>
      <c r="B414" s="1">
        <f>DATE(2010,10,6) + TIME(4,19,49)</f>
        <v>40457.180428240739</v>
      </c>
      <c r="C414">
        <v>80</v>
      </c>
      <c r="D414">
        <v>79.918601989999999</v>
      </c>
      <c r="E414">
        <v>50</v>
      </c>
      <c r="F414">
        <v>15.486731529</v>
      </c>
      <c r="G414">
        <v>1382.3568115</v>
      </c>
      <c r="H414">
        <v>1368.9349365</v>
      </c>
      <c r="I414">
        <v>1254.6520995999999</v>
      </c>
      <c r="J414">
        <v>1214.9349365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159.24250799999999</v>
      </c>
      <c r="B415" s="1">
        <f>DATE(2010,10,7) + TIME(5,49,12)</f>
        <v>40458.2425</v>
      </c>
      <c r="C415">
        <v>80</v>
      </c>
      <c r="D415">
        <v>79.918724060000002</v>
      </c>
      <c r="E415">
        <v>50</v>
      </c>
      <c r="F415">
        <v>15.537315369</v>
      </c>
      <c r="G415">
        <v>1382.3068848</v>
      </c>
      <c r="H415">
        <v>1368.8875731999999</v>
      </c>
      <c r="I415">
        <v>1254.7370605000001</v>
      </c>
      <c r="J415">
        <v>1215.0291748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159.77403200000001</v>
      </c>
      <c r="B416" s="1">
        <f>DATE(2010,10,7) + TIME(18,34,36)</f>
        <v>40458.774027777778</v>
      </c>
      <c r="C416">
        <v>80</v>
      </c>
      <c r="D416">
        <v>79.918762207</v>
      </c>
      <c r="E416">
        <v>50</v>
      </c>
      <c r="F416">
        <v>15.577825546</v>
      </c>
      <c r="G416">
        <v>1382.2697754000001</v>
      </c>
      <c r="H416">
        <v>1368.8527832</v>
      </c>
      <c r="I416">
        <v>1254.8232422000001</v>
      </c>
      <c r="J416">
        <v>1215.1138916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160.816247</v>
      </c>
      <c r="B417" s="1">
        <f>DATE(2010,10,8) + TIME(19,35,23)</f>
        <v>40459.816238425927</v>
      </c>
      <c r="C417">
        <v>80</v>
      </c>
      <c r="D417">
        <v>79.918891907000003</v>
      </c>
      <c r="E417">
        <v>50</v>
      </c>
      <c r="F417">
        <v>15.63213253</v>
      </c>
      <c r="G417">
        <v>1382.2241211</v>
      </c>
      <c r="H417">
        <v>1368.8092041</v>
      </c>
      <c r="I417">
        <v>1254.8835449000001</v>
      </c>
      <c r="J417">
        <v>1215.1965332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161.34061600000001</v>
      </c>
      <c r="B418" s="1">
        <f>DATE(2010,10,9) + TIME(8,10,29)</f>
        <v>40460.340613425928</v>
      </c>
      <c r="C418">
        <v>80</v>
      </c>
      <c r="D418">
        <v>79.918930054</v>
      </c>
      <c r="E418">
        <v>50</v>
      </c>
      <c r="F418">
        <v>15.676880836</v>
      </c>
      <c r="G418">
        <v>1382.1888428</v>
      </c>
      <c r="H418">
        <v>1368.776001</v>
      </c>
      <c r="I418">
        <v>1254.9714355000001</v>
      </c>
      <c r="J418">
        <v>1215.284668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162.36580699999999</v>
      </c>
      <c r="B419" s="1">
        <f>DATE(2010,10,10) + TIME(8,46,45)</f>
        <v>40461.365798611114</v>
      </c>
      <c r="C419">
        <v>80</v>
      </c>
      <c r="D419">
        <v>79.919059752999999</v>
      </c>
      <c r="E419">
        <v>50</v>
      </c>
      <c r="F419">
        <v>15.737332344</v>
      </c>
      <c r="G419">
        <v>1382.1442870999999</v>
      </c>
      <c r="H419">
        <v>1368.7333983999999</v>
      </c>
      <c r="I419">
        <v>1255.0316161999999</v>
      </c>
      <c r="J419">
        <v>1215.3710937999999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162.88449399999999</v>
      </c>
      <c r="B420" s="1">
        <f>DATE(2010,10,10) + TIME(21,13,40)</f>
        <v>40461.88449074074</v>
      </c>
      <c r="C420">
        <v>80</v>
      </c>
      <c r="D420">
        <v>79.919097899999997</v>
      </c>
      <c r="E420">
        <v>50</v>
      </c>
      <c r="F420">
        <v>15.787333488</v>
      </c>
      <c r="G420">
        <v>1382.1097411999999</v>
      </c>
      <c r="H420">
        <v>1368.7009277</v>
      </c>
      <c r="I420">
        <v>1255.1228027</v>
      </c>
      <c r="J420">
        <v>1215.4647216999999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163.89477099999999</v>
      </c>
      <c r="B421" s="1">
        <f>DATE(2010,10,11) + TIME(21,28,28)</f>
        <v>40462.894768518519</v>
      </c>
      <c r="C421">
        <v>80</v>
      </c>
      <c r="D421">
        <v>79.919227599999999</v>
      </c>
      <c r="E421">
        <v>50</v>
      </c>
      <c r="F421">
        <v>15.854957581000001</v>
      </c>
      <c r="G421">
        <v>1382.065918</v>
      </c>
      <c r="H421">
        <v>1368.6590576000001</v>
      </c>
      <c r="I421">
        <v>1255.1833495999999</v>
      </c>
      <c r="J421">
        <v>1215.5560303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164.92725899999999</v>
      </c>
      <c r="B422" s="1">
        <f>DATE(2010,10,12) + TIME(22,15,15)</f>
        <v>40463.927256944444</v>
      </c>
      <c r="C422">
        <v>80</v>
      </c>
      <c r="D422">
        <v>79.919342040999993</v>
      </c>
      <c r="E422">
        <v>50</v>
      </c>
      <c r="F422">
        <v>15.935400962999999</v>
      </c>
      <c r="G422">
        <v>1382.0170897999999</v>
      </c>
      <c r="H422">
        <v>1368.6125488</v>
      </c>
      <c r="I422">
        <v>1255.2832031</v>
      </c>
      <c r="J422">
        <v>1215.6788329999999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165.96439699999999</v>
      </c>
      <c r="B423" s="1">
        <f>DATE(2010,10,13) + TIME(23,8,43)</f>
        <v>40464.964386574073</v>
      </c>
      <c r="C423">
        <v>80</v>
      </c>
      <c r="D423">
        <v>79.919448853000006</v>
      </c>
      <c r="E423">
        <v>50</v>
      </c>
      <c r="F423">
        <v>16.026247025</v>
      </c>
      <c r="G423">
        <v>1381.9660644999999</v>
      </c>
      <c r="H423">
        <v>1368.5642089999999</v>
      </c>
      <c r="I423">
        <v>1255.3897704999999</v>
      </c>
      <c r="J423">
        <v>1215.8134766000001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167.00862900000001</v>
      </c>
      <c r="B424" s="1">
        <f>DATE(2010,10,15) + TIME(0,12,25)</f>
        <v>40466.008622685185</v>
      </c>
      <c r="C424">
        <v>80</v>
      </c>
      <c r="D424">
        <v>79.919563292999996</v>
      </c>
      <c r="E424">
        <v>50</v>
      </c>
      <c r="F424">
        <v>16.126495361</v>
      </c>
      <c r="G424">
        <v>1381.9143065999999</v>
      </c>
      <c r="H424">
        <v>1368.5148925999999</v>
      </c>
      <c r="I424">
        <v>1255.5</v>
      </c>
      <c r="J424">
        <v>1215.9571533000001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167.53550200000001</v>
      </c>
      <c r="B425" s="1">
        <f>DATE(2010,10,15) + TIME(12,51,7)</f>
        <v>40466.535497685189</v>
      </c>
      <c r="C425">
        <v>80</v>
      </c>
      <c r="D425">
        <v>79.919601439999994</v>
      </c>
      <c r="E425">
        <v>50</v>
      </c>
      <c r="F425">
        <v>16.203153610000001</v>
      </c>
      <c r="G425">
        <v>1381.8778076000001</v>
      </c>
      <c r="H425">
        <v>1368.4804687999999</v>
      </c>
      <c r="I425">
        <v>1255.6105957</v>
      </c>
      <c r="J425">
        <v>1216.0819091999999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168.55596199999999</v>
      </c>
      <c r="B426" s="1">
        <f>DATE(2010,10,16) + TIME(13,20,35)</f>
        <v>40467.555960648147</v>
      </c>
      <c r="C426">
        <v>80</v>
      </c>
      <c r="D426">
        <v>79.919723511000001</v>
      </c>
      <c r="E426">
        <v>50</v>
      </c>
      <c r="F426">
        <v>16.303565978999998</v>
      </c>
      <c r="G426">
        <v>1381.8322754000001</v>
      </c>
      <c r="H426">
        <v>1368.4367675999999</v>
      </c>
      <c r="I426">
        <v>1255.6746826000001</v>
      </c>
      <c r="J426">
        <v>1216.1983643000001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169.075591</v>
      </c>
      <c r="B427" s="1">
        <f>DATE(2010,10,17) + TIME(1,48,51)</f>
        <v>40468.075590277775</v>
      </c>
      <c r="C427">
        <v>80</v>
      </c>
      <c r="D427">
        <v>79.919761657999999</v>
      </c>
      <c r="E427">
        <v>50</v>
      </c>
      <c r="F427">
        <v>16.384485245</v>
      </c>
      <c r="G427">
        <v>1381.7979736</v>
      </c>
      <c r="H427">
        <v>1368.4045410000001</v>
      </c>
      <c r="I427">
        <v>1255.7857666</v>
      </c>
      <c r="J427">
        <v>1216.3261719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170.085894</v>
      </c>
      <c r="B428" s="1">
        <f>DATE(2010,10,18) + TIME(2,3,41)</f>
        <v>40469.0858912037</v>
      </c>
      <c r="C428">
        <v>80</v>
      </c>
      <c r="D428">
        <v>79.919891356999997</v>
      </c>
      <c r="E428">
        <v>50</v>
      </c>
      <c r="F428">
        <v>16.492200851</v>
      </c>
      <c r="G428">
        <v>1381.7537841999999</v>
      </c>
      <c r="H428">
        <v>1368.3620605000001</v>
      </c>
      <c r="I428">
        <v>1255.848999</v>
      </c>
      <c r="J428">
        <v>1216.4470214999999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171.11798999999999</v>
      </c>
      <c r="B429" s="1">
        <f>DATE(2010,10,19) + TIME(2,49,54)</f>
        <v>40470.117986111109</v>
      </c>
      <c r="C429">
        <v>80</v>
      </c>
      <c r="D429">
        <v>79.919998168999996</v>
      </c>
      <c r="E429">
        <v>50</v>
      </c>
      <c r="F429">
        <v>16.618238449</v>
      </c>
      <c r="G429">
        <v>1381.7050781</v>
      </c>
      <c r="H429">
        <v>1368.3155518000001</v>
      </c>
      <c r="I429">
        <v>1255.9642334</v>
      </c>
      <c r="J429">
        <v>1216.6113281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172.155271</v>
      </c>
      <c r="B430" s="1">
        <f>DATE(2010,10,20) + TIME(3,43,35)</f>
        <v>40471.155266203707</v>
      </c>
      <c r="C430">
        <v>80</v>
      </c>
      <c r="D430">
        <v>79.920112610000004</v>
      </c>
      <c r="E430">
        <v>50</v>
      </c>
      <c r="F430">
        <v>16.758359908999999</v>
      </c>
      <c r="G430">
        <v>1381.6542969</v>
      </c>
      <c r="H430">
        <v>1368.2672118999999</v>
      </c>
      <c r="I430">
        <v>1256.0860596</v>
      </c>
      <c r="J430">
        <v>1216.7906493999999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173.200694</v>
      </c>
      <c r="B431" s="1">
        <f>DATE(2010,10,21) + TIME(4,48,59)</f>
        <v>40472.200682870367</v>
      </c>
      <c r="C431">
        <v>80</v>
      </c>
      <c r="D431">
        <v>79.920219420999999</v>
      </c>
      <c r="E431">
        <v>50</v>
      </c>
      <c r="F431">
        <v>16.910564423</v>
      </c>
      <c r="G431">
        <v>1381.6026611</v>
      </c>
      <c r="H431">
        <v>1368.2180175999999</v>
      </c>
      <c r="I431">
        <v>1256.2109375</v>
      </c>
      <c r="J431">
        <v>1216.980957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174.25698800000001</v>
      </c>
      <c r="B432" s="1">
        <f>DATE(2010,10,22) + TIME(6,10,3)</f>
        <v>40473.256979166668</v>
      </c>
      <c r="C432">
        <v>80</v>
      </c>
      <c r="D432">
        <v>79.920333862000007</v>
      </c>
      <c r="E432">
        <v>50</v>
      </c>
      <c r="F432">
        <v>17.074399948</v>
      </c>
      <c r="G432">
        <v>1381.5505370999999</v>
      </c>
      <c r="H432">
        <v>1368.1682129000001</v>
      </c>
      <c r="I432">
        <v>1256.3389893000001</v>
      </c>
      <c r="J432">
        <v>1217.1818848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174.790065</v>
      </c>
      <c r="B433" s="1">
        <f>DATE(2010,10,22) + TIME(18,57,41)</f>
        <v>40473.79005787037</v>
      </c>
      <c r="C433">
        <v>80</v>
      </c>
      <c r="D433">
        <v>79.920372009000005</v>
      </c>
      <c r="E433">
        <v>50</v>
      </c>
      <c r="F433">
        <v>17.197725296000002</v>
      </c>
      <c r="G433">
        <v>1381.5141602000001</v>
      </c>
      <c r="H433">
        <v>1368.1339111</v>
      </c>
      <c r="I433">
        <v>1256.4738769999999</v>
      </c>
      <c r="J433">
        <v>1217.3570557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175.81178399999999</v>
      </c>
      <c r="B434" s="1">
        <f>DATE(2010,10,23) + TIME(19,28,58)</f>
        <v>40474.811782407407</v>
      </c>
      <c r="C434">
        <v>80</v>
      </c>
      <c r="D434">
        <v>79.920494079999997</v>
      </c>
      <c r="E434">
        <v>50</v>
      </c>
      <c r="F434">
        <v>17.355194092000001</v>
      </c>
      <c r="G434">
        <v>1381.4682617000001</v>
      </c>
      <c r="H434">
        <v>1368.0897216999999</v>
      </c>
      <c r="I434">
        <v>1256.5395507999999</v>
      </c>
      <c r="J434">
        <v>1217.515625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176.865298</v>
      </c>
      <c r="B435" s="1">
        <f>DATE(2010,10,24) + TIME(20,46,1)</f>
        <v>40475.865289351852</v>
      </c>
      <c r="C435">
        <v>80</v>
      </c>
      <c r="D435">
        <v>79.920608521000005</v>
      </c>
      <c r="E435">
        <v>50</v>
      </c>
      <c r="F435">
        <v>17.534000397</v>
      </c>
      <c r="G435">
        <v>1381.418457</v>
      </c>
      <c r="H435">
        <v>1368.0421143000001</v>
      </c>
      <c r="I435">
        <v>1256.6682129000001</v>
      </c>
      <c r="J435">
        <v>1217.7281493999999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177.925747</v>
      </c>
      <c r="B436" s="1">
        <f>DATE(2010,10,25) + TIME(22,13,4)</f>
        <v>40476.925740740742</v>
      </c>
      <c r="C436">
        <v>80</v>
      </c>
      <c r="D436">
        <v>79.920722960999996</v>
      </c>
      <c r="E436">
        <v>50</v>
      </c>
      <c r="F436">
        <v>17.729007720999999</v>
      </c>
      <c r="G436">
        <v>1381.3668213000001</v>
      </c>
      <c r="H436">
        <v>1367.9927978999999</v>
      </c>
      <c r="I436">
        <v>1256.8045654</v>
      </c>
      <c r="J436">
        <v>1217.958374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178.996376</v>
      </c>
      <c r="B437" s="1">
        <f>DATE(2010,10,26) + TIME(23,54,46)</f>
        <v>40477.996365740742</v>
      </c>
      <c r="C437">
        <v>80</v>
      </c>
      <c r="D437">
        <v>79.920829772999994</v>
      </c>
      <c r="E437">
        <v>50</v>
      </c>
      <c r="F437">
        <v>17.937318802</v>
      </c>
      <c r="G437">
        <v>1381.3143310999999</v>
      </c>
      <c r="H437">
        <v>1367.9426269999999</v>
      </c>
      <c r="I437">
        <v>1256.9438477000001</v>
      </c>
      <c r="J437">
        <v>1218.2009277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180.08047400000001</v>
      </c>
      <c r="B438" s="1">
        <f>DATE(2010,10,28) + TIME(1,55,52)</f>
        <v>40479.080462962964</v>
      </c>
      <c r="C438">
        <v>80</v>
      </c>
      <c r="D438">
        <v>79.920944214000002</v>
      </c>
      <c r="E438">
        <v>50</v>
      </c>
      <c r="F438">
        <v>18.158020019999999</v>
      </c>
      <c r="G438">
        <v>1381.2612305</v>
      </c>
      <c r="H438">
        <v>1367.8918457</v>
      </c>
      <c r="I438">
        <v>1257.0861815999999</v>
      </c>
      <c r="J438">
        <v>1218.4550781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181.183077</v>
      </c>
      <c r="B439" s="1">
        <f>DATE(2010,10,29) + TIME(4,23,37)</f>
        <v>40480.183067129627</v>
      </c>
      <c r="C439">
        <v>80</v>
      </c>
      <c r="D439">
        <v>79.921058654999996</v>
      </c>
      <c r="E439">
        <v>50</v>
      </c>
      <c r="F439">
        <v>18.391204834</v>
      </c>
      <c r="G439">
        <v>1381.2075195</v>
      </c>
      <c r="H439">
        <v>1367.840332</v>
      </c>
      <c r="I439">
        <v>1257.2320557</v>
      </c>
      <c r="J439">
        <v>1218.7214355000001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182.30683999999999</v>
      </c>
      <c r="B440" s="1">
        <f>DATE(2010,10,30) + TIME(7,21,50)</f>
        <v>40481.306828703702</v>
      </c>
      <c r="C440">
        <v>80</v>
      </c>
      <c r="D440">
        <v>79.921173096000004</v>
      </c>
      <c r="E440">
        <v>50</v>
      </c>
      <c r="F440">
        <v>18.637281418000001</v>
      </c>
      <c r="G440">
        <v>1381.152832</v>
      </c>
      <c r="H440">
        <v>1367.7880858999999</v>
      </c>
      <c r="I440">
        <v>1257.3824463000001</v>
      </c>
      <c r="J440">
        <v>1219.0009766000001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183.44197700000001</v>
      </c>
      <c r="B441" s="1">
        <f>DATE(2010,10,31) + TIME(10,36,26)</f>
        <v>40482.441967592589</v>
      </c>
      <c r="C441">
        <v>80</v>
      </c>
      <c r="D441">
        <v>79.921295165999993</v>
      </c>
      <c r="E441">
        <v>50</v>
      </c>
      <c r="F441">
        <v>18.895553588999999</v>
      </c>
      <c r="G441">
        <v>1381.0976562000001</v>
      </c>
      <c r="H441">
        <v>1367.7352295000001</v>
      </c>
      <c r="I441">
        <v>1257.5377197</v>
      </c>
      <c r="J441">
        <v>1219.2938231999999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184</v>
      </c>
      <c r="B442" s="1">
        <f>DATE(2010,11,1) + TIME(0,0,0)</f>
        <v>40483</v>
      </c>
      <c r="C442">
        <v>80</v>
      </c>
      <c r="D442">
        <v>79.921333313000005</v>
      </c>
      <c r="E442">
        <v>50</v>
      </c>
      <c r="F442">
        <v>19.085195541000001</v>
      </c>
      <c r="G442">
        <v>1381.0600586</v>
      </c>
      <c r="H442">
        <v>1367.6995850000001</v>
      </c>
      <c r="I442">
        <v>1257.7042236</v>
      </c>
      <c r="J442">
        <v>1219.5455322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184.000001</v>
      </c>
      <c r="B443" s="1">
        <f>DATE(2010,11,1) + TIME(0,0,0)</f>
        <v>40483</v>
      </c>
      <c r="C443">
        <v>80</v>
      </c>
      <c r="D443">
        <v>79.921302795000003</v>
      </c>
      <c r="E443">
        <v>50</v>
      </c>
      <c r="F443">
        <v>19.085241318000001</v>
      </c>
      <c r="G443">
        <v>1367.6895752</v>
      </c>
      <c r="H443">
        <v>1355.7342529</v>
      </c>
      <c r="I443">
        <v>1295.3276367000001</v>
      </c>
      <c r="J443">
        <v>1257.7145995999999</v>
      </c>
      <c r="K443">
        <v>0</v>
      </c>
      <c r="L443">
        <v>2400</v>
      </c>
      <c r="M443">
        <v>2400</v>
      </c>
      <c r="N443">
        <v>0</v>
      </c>
    </row>
    <row r="444" spans="1:14" x14ac:dyDescent="0.25">
      <c r="A444">
        <v>184.00000399999999</v>
      </c>
      <c r="B444" s="1">
        <f>DATE(2010,11,1) + TIME(0,0,0)</f>
        <v>40483</v>
      </c>
      <c r="C444">
        <v>80</v>
      </c>
      <c r="D444">
        <v>79.921203613000003</v>
      </c>
      <c r="E444">
        <v>50</v>
      </c>
      <c r="F444">
        <v>19.085374831999999</v>
      </c>
      <c r="G444">
        <v>1367.659668</v>
      </c>
      <c r="H444">
        <v>1355.7042236</v>
      </c>
      <c r="I444">
        <v>1295.3568115</v>
      </c>
      <c r="J444">
        <v>1257.7457274999999</v>
      </c>
      <c r="K444">
        <v>0</v>
      </c>
      <c r="L444">
        <v>2400</v>
      </c>
      <c r="M444">
        <v>2400</v>
      </c>
      <c r="N444">
        <v>0</v>
      </c>
    </row>
    <row r="445" spans="1:14" x14ac:dyDescent="0.25">
      <c r="A445">
        <v>184.000013</v>
      </c>
      <c r="B445" s="1">
        <f>DATE(2010,11,1) + TIME(0,0,1)</f>
        <v>40483.000011574077</v>
      </c>
      <c r="C445">
        <v>80</v>
      </c>
      <c r="D445">
        <v>79.920913696</v>
      </c>
      <c r="E445">
        <v>50</v>
      </c>
      <c r="F445">
        <v>19.085777282999999</v>
      </c>
      <c r="G445">
        <v>1367.5704346</v>
      </c>
      <c r="H445">
        <v>1355.6148682</v>
      </c>
      <c r="I445">
        <v>1295.4438477000001</v>
      </c>
      <c r="J445">
        <v>1257.8389893000001</v>
      </c>
      <c r="K445">
        <v>0</v>
      </c>
      <c r="L445">
        <v>2400</v>
      </c>
      <c r="M445">
        <v>2400</v>
      </c>
      <c r="N445">
        <v>0</v>
      </c>
    </row>
    <row r="446" spans="1:14" x14ac:dyDescent="0.25">
      <c r="A446">
        <v>184.00004000000001</v>
      </c>
      <c r="B446" s="1">
        <f>DATE(2010,11,1) + TIME(0,0,3)</f>
        <v>40483.000034722223</v>
      </c>
      <c r="C446">
        <v>80</v>
      </c>
      <c r="D446">
        <v>79.920074463000006</v>
      </c>
      <c r="E446">
        <v>50</v>
      </c>
      <c r="F446">
        <v>19.086986541999998</v>
      </c>
      <c r="G446">
        <v>1367.3077393000001</v>
      </c>
      <c r="H446">
        <v>1355.3518065999999</v>
      </c>
      <c r="I446">
        <v>1295.7036132999999</v>
      </c>
      <c r="J446">
        <v>1258.1166992000001</v>
      </c>
      <c r="K446">
        <v>0</v>
      </c>
      <c r="L446">
        <v>2400</v>
      </c>
      <c r="M446">
        <v>2400</v>
      </c>
      <c r="N446">
        <v>0</v>
      </c>
    </row>
    <row r="447" spans="1:14" x14ac:dyDescent="0.25">
      <c r="A447">
        <v>184.00012100000001</v>
      </c>
      <c r="B447" s="1">
        <f>DATE(2010,11,1) + TIME(0,0,10)</f>
        <v>40483.000115740739</v>
      </c>
      <c r="C447">
        <v>80</v>
      </c>
      <c r="D447">
        <v>79.917678832999997</v>
      </c>
      <c r="E447">
        <v>50</v>
      </c>
      <c r="F447">
        <v>19.090599059999999</v>
      </c>
      <c r="G447">
        <v>1366.5623779</v>
      </c>
      <c r="H447">
        <v>1354.6054687999999</v>
      </c>
      <c r="I447">
        <v>1296.4681396000001</v>
      </c>
      <c r="J447">
        <v>1258.9331055</v>
      </c>
      <c r="K447">
        <v>0</v>
      </c>
      <c r="L447">
        <v>2400</v>
      </c>
      <c r="M447">
        <v>2400</v>
      </c>
      <c r="N447">
        <v>0</v>
      </c>
    </row>
    <row r="448" spans="1:14" x14ac:dyDescent="0.25">
      <c r="A448">
        <v>184.00036399999999</v>
      </c>
      <c r="B448" s="1">
        <f>DATE(2010,11,1) + TIME(0,0,31)</f>
        <v>40483.000358796293</v>
      </c>
      <c r="C448">
        <v>80</v>
      </c>
      <c r="D448">
        <v>79.911514281999999</v>
      </c>
      <c r="E448">
        <v>50</v>
      </c>
      <c r="F448">
        <v>19.101324081000001</v>
      </c>
      <c r="G448">
        <v>1364.640625</v>
      </c>
      <c r="H448">
        <v>1352.6815185999999</v>
      </c>
      <c r="I448">
        <v>1298.6392822</v>
      </c>
      <c r="J448">
        <v>1261.2412108999999</v>
      </c>
      <c r="K448">
        <v>0</v>
      </c>
      <c r="L448">
        <v>2400</v>
      </c>
      <c r="M448">
        <v>2400</v>
      </c>
      <c r="N448">
        <v>0</v>
      </c>
    </row>
    <row r="449" spans="1:14" x14ac:dyDescent="0.25">
      <c r="A449">
        <v>184.001093</v>
      </c>
      <c r="B449" s="1">
        <f>DATE(2010,11,1) + TIME(0,1,34)</f>
        <v>40483.001087962963</v>
      </c>
      <c r="C449">
        <v>80</v>
      </c>
      <c r="D449">
        <v>79.898536682</v>
      </c>
      <c r="E449">
        <v>50</v>
      </c>
      <c r="F449">
        <v>19.132705688000001</v>
      </c>
      <c r="G449">
        <v>1360.6075439000001</v>
      </c>
      <c r="H449">
        <v>1348.6447754000001</v>
      </c>
      <c r="I449">
        <v>1304.2519531</v>
      </c>
      <c r="J449">
        <v>1267.1459961</v>
      </c>
      <c r="K449">
        <v>0</v>
      </c>
      <c r="L449">
        <v>2400</v>
      </c>
      <c r="M449">
        <v>2400</v>
      </c>
      <c r="N449">
        <v>0</v>
      </c>
    </row>
    <row r="450" spans="1:14" x14ac:dyDescent="0.25">
      <c r="A450">
        <v>184.00327999999999</v>
      </c>
      <c r="B450" s="1">
        <f>DATE(2010,11,1) + TIME(0,4,43)</f>
        <v>40483.003275462965</v>
      </c>
      <c r="C450">
        <v>80</v>
      </c>
      <c r="D450">
        <v>79.878303528000004</v>
      </c>
      <c r="E450">
        <v>50</v>
      </c>
      <c r="F450">
        <v>19.223091125</v>
      </c>
      <c r="G450">
        <v>1354.4211425999999</v>
      </c>
      <c r="H450">
        <v>1342.4577637</v>
      </c>
      <c r="I450">
        <v>1316.0822754000001</v>
      </c>
      <c r="J450">
        <v>1279.3817139</v>
      </c>
      <c r="K450">
        <v>0</v>
      </c>
      <c r="L450">
        <v>2400</v>
      </c>
      <c r="M450">
        <v>2400</v>
      </c>
      <c r="N450">
        <v>0</v>
      </c>
    </row>
    <row r="451" spans="1:14" x14ac:dyDescent="0.25">
      <c r="A451">
        <v>184.00984099999999</v>
      </c>
      <c r="B451" s="1">
        <f>DATE(2010,11,1) + TIME(0,14,10)</f>
        <v>40483.009837962964</v>
      </c>
      <c r="C451">
        <v>80</v>
      </c>
      <c r="D451">
        <v>79.853706360000004</v>
      </c>
      <c r="E451">
        <v>50</v>
      </c>
      <c r="F451">
        <v>19.481414794999999</v>
      </c>
      <c r="G451">
        <v>1347.2949219</v>
      </c>
      <c r="H451">
        <v>1335.3361815999999</v>
      </c>
      <c r="I451">
        <v>1334.1884766000001</v>
      </c>
      <c r="J451">
        <v>1297.8181152</v>
      </c>
      <c r="K451">
        <v>0</v>
      </c>
      <c r="L451">
        <v>2400</v>
      </c>
      <c r="M451">
        <v>2400</v>
      </c>
      <c r="N451">
        <v>0</v>
      </c>
    </row>
    <row r="452" spans="1:14" x14ac:dyDescent="0.25">
      <c r="A452">
        <v>184.02952400000001</v>
      </c>
      <c r="B452" s="1">
        <f>DATE(2010,11,1) + TIME(0,42,30)</f>
        <v>40483.029513888891</v>
      </c>
      <c r="C452">
        <v>80</v>
      </c>
      <c r="D452">
        <v>79.824768066000004</v>
      </c>
      <c r="E452">
        <v>50</v>
      </c>
      <c r="F452">
        <v>20.221788406000002</v>
      </c>
      <c r="G452">
        <v>1340.0399170000001</v>
      </c>
      <c r="H452">
        <v>1328.0904541</v>
      </c>
      <c r="I452">
        <v>1354.4735106999999</v>
      </c>
      <c r="J452">
        <v>1318.6990966999999</v>
      </c>
      <c r="K452">
        <v>0</v>
      </c>
      <c r="L452">
        <v>2400</v>
      </c>
      <c r="M452">
        <v>2400</v>
      </c>
      <c r="N452">
        <v>0</v>
      </c>
    </row>
    <row r="453" spans="1:14" x14ac:dyDescent="0.25">
      <c r="A453">
        <v>184.056039</v>
      </c>
      <c r="B453" s="1">
        <f>DATE(2010,11,1) + TIME(1,20,41)</f>
        <v>40483.056030092594</v>
      </c>
      <c r="C453">
        <v>80</v>
      </c>
      <c r="D453">
        <v>79.802040099999999</v>
      </c>
      <c r="E453">
        <v>50</v>
      </c>
      <c r="F453">
        <v>21.179080963000001</v>
      </c>
      <c r="G453">
        <v>1335.4245605000001</v>
      </c>
      <c r="H453">
        <v>1323.4777832</v>
      </c>
      <c r="I453">
        <v>1366.8643798999999</v>
      </c>
      <c r="J453">
        <v>1331.8740233999999</v>
      </c>
      <c r="K453">
        <v>0</v>
      </c>
      <c r="L453">
        <v>2400</v>
      </c>
      <c r="M453">
        <v>2400</v>
      </c>
      <c r="N453">
        <v>0</v>
      </c>
    </row>
    <row r="454" spans="1:14" x14ac:dyDescent="0.25">
      <c r="A454">
        <v>184.08359799999999</v>
      </c>
      <c r="B454" s="1">
        <f>DATE(2010,11,1) + TIME(2,0,22)</f>
        <v>40483.083587962959</v>
      </c>
      <c r="C454">
        <v>80</v>
      </c>
      <c r="D454">
        <v>79.784149170000006</v>
      </c>
      <c r="E454">
        <v>50</v>
      </c>
      <c r="F454">
        <v>22.137893677000001</v>
      </c>
      <c r="G454">
        <v>1332.4655762</v>
      </c>
      <c r="H454">
        <v>1320.5134277</v>
      </c>
      <c r="I454">
        <v>1374.2777100000001</v>
      </c>
      <c r="J454">
        <v>1340.0574951000001</v>
      </c>
      <c r="K454">
        <v>0</v>
      </c>
      <c r="L454">
        <v>2400</v>
      </c>
      <c r="M454">
        <v>2400</v>
      </c>
      <c r="N454">
        <v>0</v>
      </c>
    </row>
    <row r="455" spans="1:14" x14ac:dyDescent="0.25">
      <c r="A455">
        <v>184.11209400000001</v>
      </c>
      <c r="B455" s="1">
        <f>DATE(2010,11,1) + TIME(2,41,24)</f>
        <v>40483.112083333333</v>
      </c>
      <c r="C455">
        <v>80</v>
      </c>
      <c r="D455">
        <v>79.768424988000007</v>
      </c>
      <c r="E455">
        <v>50</v>
      </c>
      <c r="F455">
        <v>23.094354630000002</v>
      </c>
      <c r="G455">
        <v>1330.286499</v>
      </c>
      <c r="H455">
        <v>1318.3226318</v>
      </c>
      <c r="I455">
        <v>1379.3364257999999</v>
      </c>
      <c r="J455">
        <v>1345.859375</v>
      </c>
      <c r="K455">
        <v>0</v>
      </c>
      <c r="L455">
        <v>2400</v>
      </c>
      <c r="M455">
        <v>2400</v>
      </c>
      <c r="N455">
        <v>0</v>
      </c>
    </row>
    <row r="456" spans="1:14" x14ac:dyDescent="0.25">
      <c r="A456">
        <v>184.141524</v>
      </c>
      <c r="B456" s="1">
        <f>DATE(2010,11,1) + TIME(3,23,47)</f>
        <v>40483.141516203701</v>
      </c>
      <c r="C456">
        <v>80</v>
      </c>
      <c r="D456">
        <v>79.753814696999996</v>
      </c>
      <c r="E456">
        <v>50</v>
      </c>
      <c r="F456">
        <v>24.047220230000001</v>
      </c>
      <c r="G456">
        <v>1328.5412598</v>
      </c>
      <c r="H456">
        <v>1316.5609131000001</v>
      </c>
      <c r="I456">
        <v>1383.0769043</v>
      </c>
      <c r="J456">
        <v>1350.3128661999999</v>
      </c>
      <c r="K456">
        <v>0</v>
      </c>
      <c r="L456">
        <v>2400</v>
      </c>
      <c r="M456">
        <v>2400</v>
      </c>
      <c r="N456">
        <v>0</v>
      </c>
    </row>
    <row r="457" spans="1:14" x14ac:dyDescent="0.25">
      <c r="A457">
        <v>184.17189500000001</v>
      </c>
      <c r="B457" s="1">
        <f>DATE(2010,11,1) + TIME(4,7,31)</f>
        <v>40483.171886574077</v>
      </c>
      <c r="C457">
        <v>80</v>
      </c>
      <c r="D457">
        <v>79.739807128999999</v>
      </c>
      <c r="E457">
        <v>50</v>
      </c>
      <c r="F457">
        <v>24.995214462</v>
      </c>
      <c r="G457">
        <v>1327.0657959</v>
      </c>
      <c r="H457">
        <v>1315.0662841999999</v>
      </c>
      <c r="I457">
        <v>1385.9892577999999</v>
      </c>
      <c r="J457">
        <v>1353.9078368999999</v>
      </c>
      <c r="K457">
        <v>0</v>
      </c>
      <c r="L457">
        <v>2400</v>
      </c>
      <c r="M457">
        <v>2400</v>
      </c>
      <c r="N457">
        <v>0</v>
      </c>
    </row>
    <row r="458" spans="1:14" x14ac:dyDescent="0.25">
      <c r="A458">
        <v>184.203282</v>
      </c>
      <c r="B458" s="1">
        <f>DATE(2010,11,1) + TIME(4,52,43)</f>
        <v>40483.203275462962</v>
      </c>
      <c r="C458">
        <v>80</v>
      </c>
      <c r="D458">
        <v>79.726104735999996</v>
      </c>
      <c r="E458">
        <v>50</v>
      </c>
      <c r="F458">
        <v>25.939365386999999</v>
      </c>
      <c r="G458">
        <v>1325.7698975000001</v>
      </c>
      <c r="H458">
        <v>1313.7497559000001</v>
      </c>
      <c r="I458">
        <v>1388.3436279</v>
      </c>
      <c r="J458">
        <v>1356.916626</v>
      </c>
      <c r="K458">
        <v>0</v>
      </c>
      <c r="L458">
        <v>2400</v>
      </c>
      <c r="M458">
        <v>2400</v>
      </c>
      <c r="N458">
        <v>0</v>
      </c>
    </row>
    <row r="459" spans="1:14" x14ac:dyDescent="0.25">
      <c r="A459">
        <v>184.235747</v>
      </c>
      <c r="B459" s="1">
        <f>DATE(2010,11,1) + TIME(5,39,28)</f>
        <v>40483.23574074074</v>
      </c>
      <c r="C459">
        <v>80</v>
      </c>
      <c r="D459">
        <v>79.712532042999996</v>
      </c>
      <c r="E459">
        <v>50</v>
      </c>
      <c r="F459">
        <v>26.87894249</v>
      </c>
      <c r="G459">
        <v>1324.6011963000001</v>
      </c>
      <c r="H459">
        <v>1312.5603027</v>
      </c>
      <c r="I459">
        <v>1390.3000488</v>
      </c>
      <c r="J459">
        <v>1359.5</v>
      </c>
      <c r="K459">
        <v>0</v>
      </c>
      <c r="L459">
        <v>2400</v>
      </c>
      <c r="M459">
        <v>2400</v>
      </c>
      <c r="N459">
        <v>0</v>
      </c>
    </row>
    <row r="460" spans="1:14" x14ac:dyDescent="0.25">
      <c r="A460">
        <v>184.269364</v>
      </c>
      <c r="B460" s="1">
        <f>DATE(2010,11,1) + TIME(6,27,53)</f>
        <v>40483.269363425927</v>
      </c>
      <c r="C460">
        <v>80</v>
      </c>
      <c r="D460">
        <v>79.698982239000003</v>
      </c>
      <c r="E460">
        <v>50</v>
      </c>
      <c r="F460">
        <v>27.813755035</v>
      </c>
      <c r="G460">
        <v>1323.5272216999999</v>
      </c>
      <c r="H460">
        <v>1311.4660644999999</v>
      </c>
      <c r="I460">
        <v>1391.9604492000001</v>
      </c>
      <c r="J460">
        <v>1361.7617187999999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184.30421699999999</v>
      </c>
      <c r="B461" s="1">
        <f>DATE(2010,11,1) + TIME(7,18,4)</f>
        <v>40483.304212962961</v>
      </c>
      <c r="C461">
        <v>80</v>
      </c>
      <c r="D461">
        <v>79.685363769999995</v>
      </c>
      <c r="E461">
        <v>50</v>
      </c>
      <c r="F461">
        <v>28.743614196999999</v>
      </c>
      <c r="G461">
        <v>1322.5263672000001</v>
      </c>
      <c r="H461">
        <v>1310.4459228999999</v>
      </c>
      <c r="I461">
        <v>1393.3936768000001</v>
      </c>
      <c r="J461">
        <v>1363.7718506000001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184.34038100000001</v>
      </c>
      <c r="B462" s="1">
        <f>DATE(2010,11,1) + TIME(8,10,8)</f>
        <v>40483.340370370373</v>
      </c>
      <c r="C462">
        <v>80</v>
      </c>
      <c r="D462">
        <v>79.671623229999994</v>
      </c>
      <c r="E462">
        <v>50</v>
      </c>
      <c r="F462">
        <v>29.667850494</v>
      </c>
      <c r="G462">
        <v>1321.5847168</v>
      </c>
      <c r="H462">
        <v>1309.4862060999999</v>
      </c>
      <c r="I462">
        <v>1394.6477050999999</v>
      </c>
      <c r="J462">
        <v>1365.5791016000001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184.37795299999999</v>
      </c>
      <c r="B463" s="1">
        <f>DATE(2010,11,1) + TIME(9,4,15)</f>
        <v>40483.377951388888</v>
      </c>
      <c r="C463">
        <v>80</v>
      </c>
      <c r="D463">
        <v>79.657699585000003</v>
      </c>
      <c r="E463">
        <v>50</v>
      </c>
      <c r="F463">
        <v>30.586236954</v>
      </c>
      <c r="G463">
        <v>1320.6916504000001</v>
      </c>
      <c r="H463">
        <v>1308.5765381000001</v>
      </c>
      <c r="I463">
        <v>1395.7576904</v>
      </c>
      <c r="J463">
        <v>1367.2199707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184.41705899999999</v>
      </c>
      <c r="B464" s="1">
        <f>DATE(2010,11,1) + TIME(10,0,33)</f>
        <v>40483.417048611111</v>
      </c>
      <c r="C464">
        <v>80</v>
      </c>
      <c r="D464">
        <v>79.643547057999996</v>
      </c>
      <c r="E464">
        <v>50</v>
      </c>
      <c r="F464">
        <v>31.498706817999999</v>
      </c>
      <c r="G464">
        <v>1319.8393555</v>
      </c>
      <c r="H464">
        <v>1307.7089844</v>
      </c>
      <c r="I464">
        <v>1396.7504882999999</v>
      </c>
      <c r="J464">
        <v>1368.7225341999999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184.457832</v>
      </c>
      <c r="B465" s="1">
        <f>DATE(2010,11,1) + TIME(10,59,16)</f>
        <v>40483.457824074074</v>
      </c>
      <c r="C465">
        <v>80</v>
      </c>
      <c r="D465">
        <v>79.629112243999998</v>
      </c>
      <c r="E465">
        <v>50</v>
      </c>
      <c r="F465">
        <v>32.404922485</v>
      </c>
      <c r="G465">
        <v>1319.0219727000001</v>
      </c>
      <c r="H465">
        <v>1306.8774414</v>
      </c>
      <c r="I465">
        <v>1397.6466064000001</v>
      </c>
      <c r="J465">
        <v>1370.1080322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184.50042199999999</v>
      </c>
      <c r="B466" s="1">
        <f>DATE(2010,11,1) + TIME(12,0,36)</f>
        <v>40483.500416666669</v>
      </c>
      <c r="C466">
        <v>80</v>
      </c>
      <c r="D466">
        <v>79.614356994999994</v>
      </c>
      <c r="E466">
        <v>50</v>
      </c>
      <c r="F466">
        <v>33.304573058999999</v>
      </c>
      <c r="G466">
        <v>1318.2346190999999</v>
      </c>
      <c r="H466">
        <v>1306.0772704999999</v>
      </c>
      <c r="I466">
        <v>1398.4616699000001</v>
      </c>
      <c r="J466">
        <v>1371.3933105000001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184.54500100000001</v>
      </c>
      <c r="B467" s="1">
        <f>DATE(2010,11,1) + TIME(13,4,48)</f>
        <v>40483.544999999998</v>
      </c>
      <c r="C467">
        <v>80</v>
      </c>
      <c r="D467">
        <v>79.599227905000006</v>
      </c>
      <c r="E467">
        <v>50</v>
      </c>
      <c r="F467">
        <v>34.197288512999997</v>
      </c>
      <c r="G467">
        <v>1317.4733887</v>
      </c>
      <c r="H467">
        <v>1305.3041992000001</v>
      </c>
      <c r="I467">
        <v>1399.208374</v>
      </c>
      <c r="J467">
        <v>1372.5919189000001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184.591758</v>
      </c>
      <c r="B468" s="1">
        <f>DATE(2010,11,1) + TIME(14,12,7)</f>
        <v>40483.591747685183</v>
      </c>
      <c r="C468">
        <v>80</v>
      </c>
      <c r="D468">
        <v>79.583671570000007</v>
      </c>
      <c r="E468">
        <v>50</v>
      </c>
      <c r="F468">
        <v>35.082530974999997</v>
      </c>
      <c r="G468">
        <v>1316.7351074000001</v>
      </c>
      <c r="H468">
        <v>1304.5550536999999</v>
      </c>
      <c r="I468">
        <v>1399.8968506000001</v>
      </c>
      <c r="J468">
        <v>1373.7147216999999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184.64092600000001</v>
      </c>
      <c r="B469" s="1">
        <f>DATE(2010,11,1) + TIME(15,22,56)</f>
        <v>40483.640925925924</v>
      </c>
      <c r="C469">
        <v>80</v>
      </c>
      <c r="D469">
        <v>79.567626953000001</v>
      </c>
      <c r="E469">
        <v>50</v>
      </c>
      <c r="F469">
        <v>35.960033416999998</v>
      </c>
      <c r="G469">
        <v>1316.0166016000001</v>
      </c>
      <c r="H469">
        <v>1303.8265381000001</v>
      </c>
      <c r="I469">
        <v>1400.5357666</v>
      </c>
      <c r="J469">
        <v>1374.7711182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184.69277099999999</v>
      </c>
      <c r="B470" s="1">
        <f>DATE(2010,11,1) + TIME(16,37,35)</f>
        <v>40483.692766203705</v>
      </c>
      <c r="C470">
        <v>80</v>
      </c>
      <c r="D470">
        <v>79.551033020000006</v>
      </c>
      <c r="E470">
        <v>50</v>
      </c>
      <c r="F470">
        <v>36.829296112000002</v>
      </c>
      <c r="G470">
        <v>1315.3153076000001</v>
      </c>
      <c r="H470">
        <v>1303.1159668</v>
      </c>
      <c r="I470">
        <v>1401.1318358999999</v>
      </c>
      <c r="J470">
        <v>1375.7685547000001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184.74757299999999</v>
      </c>
      <c r="B471" s="1">
        <f>DATE(2010,11,1) + TIME(17,56,30)</f>
        <v>40483.747569444444</v>
      </c>
      <c r="C471">
        <v>80</v>
      </c>
      <c r="D471">
        <v>79.533828735</v>
      </c>
      <c r="E471">
        <v>50</v>
      </c>
      <c r="F471">
        <v>37.689353943</v>
      </c>
      <c r="G471">
        <v>1314.6291504000001</v>
      </c>
      <c r="H471">
        <v>1302.4215088000001</v>
      </c>
      <c r="I471">
        <v>1401.690918</v>
      </c>
      <c r="J471">
        <v>1376.7133789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184.80568600000001</v>
      </c>
      <c r="B472" s="1">
        <f>DATE(2010,11,1) + TIME(19,20,11)</f>
        <v>40483.80568287037</v>
      </c>
      <c r="C472">
        <v>80</v>
      </c>
      <c r="D472">
        <v>79.515922545999999</v>
      </c>
      <c r="E472">
        <v>50</v>
      </c>
      <c r="F472">
        <v>38.539508820000002</v>
      </c>
      <c r="G472">
        <v>1313.9560547000001</v>
      </c>
      <c r="H472">
        <v>1301.7407227000001</v>
      </c>
      <c r="I472">
        <v>1402.2176514</v>
      </c>
      <c r="J472">
        <v>1377.6107178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184.86752899999999</v>
      </c>
      <c r="B473" s="1">
        <f>DATE(2010,11,1) + TIME(20,49,14)</f>
        <v>40483.867523148147</v>
      </c>
      <c r="C473">
        <v>80</v>
      </c>
      <c r="D473">
        <v>79.497230529999996</v>
      </c>
      <c r="E473">
        <v>50</v>
      </c>
      <c r="F473">
        <v>39.378997802999997</v>
      </c>
      <c r="G473">
        <v>1313.2941894999999</v>
      </c>
      <c r="H473">
        <v>1301.0716553</v>
      </c>
      <c r="I473">
        <v>1402.7163086</v>
      </c>
      <c r="J473">
        <v>1378.4655762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184.93360699999999</v>
      </c>
      <c r="B474" s="1">
        <f>DATE(2010,11,1) + TIME(22,24,23)</f>
        <v>40483.933599537035</v>
      </c>
      <c r="C474">
        <v>80</v>
      </c>
      <c r="D474">
        <v>79.477638244999994</v>
      </c>
      <c r="E474">
        <v>50</v>
      </c>
      <c r="F474">
        <v>40.207000731999997</v>
      </c>
      <c r="G474">
        <v>1312.6414795000001</v>
      </c>
      <c r="H474">
        <v>1300.4124756000001</v>
      </c>
      <c r="I474">
        <v>1403.1905518000001</v>
      </c>
      <c r="J474">
        <v>1379.2817382999999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185.00448700000001</v>
      </c>
      <c r="B475" s="1">
        <f>DATE(2010,11,2) + TIME(0,6,27)</f>
        <v>40484.004479166666</v>
      </c>
      <c r="C475">
        <v>80</v>
      </c>
      <c r="D475">
        <v>79.457015991000006</v>
      </c>
      <c r="E475">
        <v>50</v>
      </c>
      <c r="F475">
        <v>41.022186279000003</v>
      </c>
      <c r="G475">
        <v>1311.9964600000001</v>
      </c>
      <c r="H475">
        <v>1299.7613524999999</v>
      </c>
      <c r="I475">
        <v>1403.6433105000001</v>
      </c>
      <c r="J475">
        <v>1380.0626221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185.08088699999999</v>
      </c>
      <c r="B476" s="1">
        <f>DATE(2010,11,2) + TIME(1,56,28)</f>
        <v>40484.080879629626</v>
      </c>
      <c r="C476">
        <v>80</v>
      </c>
      <c r="D476">
        <v>79.435226439999994</v>
      </c>
      <c r="E476">
        <v>50</v>
      </c>
      <c r="F476">
        <v>41.823101043999998</v>
      </c>
      <c r="G476">
        <v>1311.3574219</v>
      </c>
      <c r="H476">
        <v>1299.1165771000001</v>
      </c>
      <c r="I476">
        <v>1404.0771483999999</v>
      </c>
      <c r="J476">
        <v>1380.8109131000001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185.163647</v>
      </c>
      <c r="B477" s="1">
        <f>DATE(2010,11,2) + TIME(3,55,39)</f>
        <v>40484.163645833331</v>
      </c>
      <c r="C477">
        <v>80</v>
      </c>
      <c r="D477">
        <v>79.412086486999996</v>
      </c>
      <c r="E477">
        <v>50</v>
      </c>
      <c r="F477">
        <v>42.607868195000002</v>
      </c>
      <c r="G477">
        <v>1310.7226562000001</v>
      </c>
      <c r="H477">
        <v>1298.4764404</v>
      </c>
      <c r="I477">
        <v>1404.4942627</v>
      </c>
      <c r="J477">
        <v>1381.5290527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185.253848</v>
      </c>
      <c r="B478" s="1">
        <f>DATE(2010,11,2) + TIME(6,5,32)</f>
        <v>40484.253842592596</v>
      </c>
      <c r="C478">
        <v>80</v>
      </c>
      <c r="D478">
        <v>79.387382506999998</v>
      </c>
      <c r="E478">
        <v>50</v>
      </c>
      <c r="F478">
        <v>43.374687195</v>
      </c>
      <c r="G478">
        <v>1310.090332</v>
      </c>
      <c r="H478">
        <v>1297.8391113</v>
      </c>
      <c r="I478">
        <v>1404.8968506000001</v>
      </c>
      <c r="J478">
        <v>1382.2189940999999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185.35287299999999</v>
      </c>
      <c r="B479" s="1">
        <f>DATE(2010,11,2) + TIME(8,28,8)</f>
        <v>40484.352870370371</v>
      </c>
      <c r="C479">
        <v>80</v>
      </c>
      <c r="D479">
        <v>79.360832213999998</v>
      </c>
      <c r="E479">
        <v>50</v>
      </c>
      <c r="F479">
        <v>44.121551513999997</v>
      </c>
      <c r="G479">
        <v>1309.458374</v>
      </c>
      <c r="H479">
        <v>1297.2021483999999</v>
      </c>
      <c r="I479">
        <v>1405.2868652</v>
      </c>
      <c r="J479">
        <v>1382.8830565999999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185.462457</v>
      </c>
      <c r="B480" s="1">
        <f>DATE(2010,11,2) + TIME(11,5,56)</f>
        <v>40484.462453703702</v>
      </c>
      <c r="C480">
        <v>80</v>
      </c>
      <c r="D480">
        <v>79.332099915000001</v>
      </c>
      <c r="E480">
        <v>50</v>
      </c>
      <c r="F480">
        <v>44.845809936999999</v>
      </c>
      <c r="G480">
        <v>1308.8245850000001</v>
      </c>
      <c r="H480">
        <v>1296.5637207</v>
      </c>
      <c r="I480">
        <v>1405.6655272999999</v>
      </c>
      <c r="J480">
        <v>1383.5222168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185.57425699999999</v>
      </c>
      <c r="B481" s="1">
        <f>DATE(2010,11,2) + TIME(13,46,55)</f>
        <v>40484.574247685188</v>
      </c>
      <c r="C481">
        <v>80</v>
      </c>
      <c r="D481">
        <v>79.303115844999994</v>
      </c>
      <c r="E481">
        <v>50</v>
      </c>
      <c r="F481">
        <v>45.491527556999998</v>
      </c>
      <c r="G481">
        <v>1308.2368164</v>
      </c>
      <c r="H481">
        <v>1295.9718018000001</v>
      </c>
      <c r="I481">
        <v>1406</v>
      </c>
      <c r="J481">
        <v>1384.0821533000001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185.687748</v>
      </c>
      <c r="B482" s="1">
        <f>DATE(2010,11,2) + TIME(16,30,21)</f>
        <v>40484.687743055554</v>
      </c>
      <c r="C482">
        <v>80</v>
      </c>
      <c r="D482">
        <v>79.273994446000003</v>
      </c>
      <c r="E482">
        <v>50</v>
      </c>
      <c r="F482">
        <v>46.063049315999997</v>
      </c>
      <c r="G482">
        <v>1307.6932373</v>
      </c>
      <c r="H482">
        <v>1295.4243164</v>
      </c>
      <c r="I482">
        <v>1406.2961425999999</v>
      </c>
      <c r="J482">
        <v>1384.5751952999999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185.80350999999999</v>
      </c>
      <c r="B483" s="1">
        <f>DATE(2010,11,2) + TIME(19,17,3)</f>
        <v>40484.803506944445</v>
      </c>
      <c r="C483">
        <v>80</v>
      </c>
      <c r="D483">
        <v>79.244606017999999</v>
      </c>
      <c r="E483">
        <v>50</v>
      </c>
      <c r="F483">
        <v>46.569885253999999</v>
      </c>
      <c r="G483">
        <v>1307.1872559000001</v>
      </c>
      <c r="H483">
        <v>1294.9147949000001</v>
      </c>
      <c r="I483">
        <v>1406.5611572</v>
      </c>
      <c r="J483">
        <v>1385.0129394999999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185.92207099999999</v>
      </c>
      <c r="B484" s="1">
        <f>DATE(2010,11,2) + TIME(22,7,46)</f>
        <v>40484.922060185185</v>
      </c>
      <c r="C484">
        <v>80</v>
      </c>
      <c r="D484">
        <v>79.214813231999997</v>
      </c>
      <c r="E484">
        <v>50</v>
      </c>
      <c r="F484">
        <v>47.019649506</v>
      </c>
      <c r="G484">
        <v>1306.7136230000001</v>
      </c>
      <c r="H484">
        <v>1294.4378661999999</v>
      </c>
      <c r="I484">
        <v>1406.7994385</v>
      </c>
      <c r="J484">
        <v>1385.4030762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186.04396700000001</v>
      </c>
      <c r="B485" s="1">
        <f>DATE(2010,11,3) + TIME(1,3,18)</f>
        <v>40485.043958333335</v>
      </c>
      <c r="C485">
        <v>80</v>
      </c>
      <c r="D485">
        <v>79.184509277000004</v>
      </c>
      <c r="E485">
        <v>50</v>
      </c>
      <c r="F485">
        <v>47.418720245000003</v>
      </c>
      <c r="G485">
        <v>1306.2683105000001</v>
      </c>
      <c r="H485">
        <v>1293.9895019999999</v>
      </c>
      <c r="I485">
        <v>1407.0139160000001</v>
      </c>
      <c r="J485">
        <v>1385.7514647999999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186.16977</v>
      </c>
      <c r="B486" s="1">
        <f>DATE(2010,11,3) + TIME(4,4,28)</f>
        <v>40485.169768518521</v>
      </c>
      <c r="C486">
        <v>80</v>
      </c>
      <c r="D486">
        <v>79.153572083</v>
      </c>
      <c r="E486">
        <v>50</v>
      </c>
      <c r="F486">
        <v>47.772544861</v>
      </c>
      <c r="G486">
        <v>1305.8480225000001</v>
      </c>
      <c r="H486">
        <v>1293.5662841999999</v>
      </c>
      <c r="I486">
        <v>1407.2069091999999</v>
      </c>
      <c r="J486">
        <v>1386.0626221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186.29971800000001</v>
      </c>
      <c r="B487" s="1">
        <f>DATE(2010,11,3) + TIME(7,11,35)</f>
        <v>40485.299710648149</v>
      </c>
      <c r="C487">
        <v>80</v>
      </c>
      <c r="D487">
        <v>79.121948242000002</v>
      </c>
      <c r="E487">
        <v>50</v>
      </c>
      <c r="F487">
        <v>48.085037231000001</v>
      </c>
      <c r="G487">
        <v>1305.4510498</v>
      </c>
      <c r="H487">
        <v>1293.1663818</v>
      </c>
      <c r="I487">
        <v>1407.3793945</v>
      </c>
      <c r="J487">
        <v>1386.3392334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186.43392700000001</v>
      </c>
      <c r="B488" s="1">
        <f>DATE(2010,11,3) + TIME(10,24,51)</f>
        <v>40485.433923611112</v>
      </c>
      <c r="C488">
        <v>80</v>
      </c>
      <c r="D488">
        <v>79.089614867999998</v>
      </c>
      <c r="E488">
        <v>50</v>
      </c>
      <c r="F488">
        <v>48.359649658000002</v>
      </c>
      <c r="G488">
        <v>1305.0761719</v>
      </c>
      <c r="H488">
        <v>1292.7888184000001</v>
      </c>
      <c r="I488">
        <v>1407.5319824000001</v>
      </c>
      <c r="J488">
        <v>1386.5832519999999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186.573095</v>
      </c>
      <c r="B489" s="1">
        <f>DATE(2010,11,3) + TIME(13,45,15)</f>
        <v>40485.57309027778</v>
      </c>
      <c r="C489">
        <v>80</v>
      </c>
      <c r="D489">
        <v>79.056434631000002</v>
      </c>
      <c r="E489">
        <v>50</v>
      </c>
      <c r="F489">
        <v>48.600605010999999</v>
      </c>
      <c r="G489">
        <v>1304.7211914</v>
      </c>
      <c r="H489">
        <v>1292.4312743999999</v>
      </c>
      <c r="I489">
        <v>1407.6662598</v>
      </c>
      <c r="J489">
        <v>1386.7982178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186.71795599999999</v>
      </c>
      <c r="B490" s="1">
        <f>DATE(2010,11,3) + TIME(17,13,51)</f>
        <v>40485.717951388891</v>
      </c>
      <c r="C490">
        <v>80</v>
      </c>
      <c r="D490">
        <v>79.022262573000006</v>
      </c>
      <c r="E490">
        <v>50</v>
      </c>
      <c r="F490">
        <v>48.811508179</v>
      </c>
      <c r="G490">
        <v>1304.3841553</v>
      </c>
      <c r="H490">
        <v>1292.0916748</v>
      </c>
      <c r="I490">
        <v>1407.7832031</v>
      </c>
      <c r="J490">
        <v>1386.9859618999999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186.869058</v>
      </c>
      <c r="B491" s="1">
        <f>DATE(2010,11,3) + TIME(20,51,26)</f>
        <v>40485.869050925925</v>
      </c>
      <c r="C491">
        <v>80</v>
      </c>
      <c r="D491">
        <v>78.986991881999998</v>
      </c>
      <c r="E491">
        <v>50</v>
      </c>
      <c r="F491">
        <v>48.995246887</v>
      </c>
      <c r="G491">
        <v>1304.0640868999999</v>
      </c>
      <c r="H491">
        <v>1291.769043</v>
      </c>
      <c r="I491">
        <v>1407.8826904</v>
      </c>
      <c r="J491">
        <v>1387.1478271000001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187.02730399999999</v>
      </c>
      <c r="B492" s="1">
        <f>DATE(2010,11,4) + TIME(0,39,19)</f>
        <v>40486.027303240742</v>
      </c>
      <c r="C492">
        <v>80</v>
      </c>
      <c r="D492">
        <v>78.950454711999996</v>
      </c>
      <c r="E492">
        <v>50</v>
      </c>
      <c r="F492">
        <v>49.154731750000003</v>
      </c>
      <c r="G492">
        <v>1303.7596435999999</v>
      </c>
      <c r="H492">
        <v>1291.4621582</v>
      </c>
      <c r="I492">
        <v>1407.9654541</v>
      </c>
      <c r="J492">
        <v>1387.2854004000001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187.193637</v>
      </c>
      <c r="B493" s="1">
        <f>DATE(2010,11,4) + TIME(4,38,50)</f>
        <v>40486.19363425926</v>
      </c>
      <c r="C493">
        <v>80</v>
      </c>
      <c r="D493">
        <v>78.912483214999995</v>
      </c>
      <c r="E493">
        <v>50</v>
      </c>
      <c r="F493">
        <v>49.292491912999999</v>
      </c>
      <c r="G493">
        <v>1303.4696045000001</v>
      </c>
      <c r="H493">
        <v>1291.1696777</v>
      </c>
      <c r="I493">
        <v>1408.03125</v>
      </c>
      <c r="J493">
        <v>1387.3992920000001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187.36905999999999</v>
      </c>
      <c r="B494" s="1">
        <f>DATE(2010,11,4) + TIME(8,51,26)</f>
        <v>40486.369050925925</v>
      </c>
      <c r="C494">
        <v>80</v>
      </c>
      <c r="D494">
        <v>78.872886657999999</v>
      </c>
      <c r="E494">
        <v>50</v>
      </c>
      <c r="F494">
        <v>49.410766602000002</v>
      </c>
      <c r="G494">
        <v>1303.1934814000001</v>
      </c>
      <c r="H494">
        <v>1290.8911132999999</v>
      </c>
      <c r="I494">
        <v>1408.0798339999999</v>
      </c>
      <c r="J494">
        <v>1387.4901123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187.55470700000001</v>
      </c>
      <c r="B495" s="1">
        <f>DATE(2010,11,4) + TIME(13,18,46)</f>
        <v>40486.554699074077</v>
      </c>
      <c r="C495">
        <v>80</v>
      </c>
      <c r="D495">
        <v>78.831466675000001</v>
      </c>
      <c r="E495">
        <v>50</v>
      </c>
      <c r="F495">
        <v>49.511604308999999</v>
      </c>
      <c r="G495">
        <v>1302.9305420000001</v>
      </c>
      <c r="H495">
        <v>1290.6257324000001</v>
      </c>
      <c r="I495">
        <v>1408.1109618999999</v>
      </c>
      <c r="J495">
        <v>1387.5581055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187.75070500000001</v>
      </c>
      <c r="B496" s="1">
        <f>DATE(2010,11,4) + TIME(18,1,0)</f>
        <v>40486.750694444447</v>
      </c>
      <c r="C496">
        <v>80</v>
      </c>
      <c r="D496">
        <v>78.788200377999999</v>
      </c>
      <c r="E496">
        <v>50</v>
      </c>
      <c r="F496">
        <v>49.596492767000001</v>
      </c>
      <c r="G496">
        <v>1302.6817627</v>
      </c>
      <c r="H496">
        <v>1290.3745117000001</v>
      </c>
      <c r="I496">
        <v>1408.1229248</v>
      </c>
      <c r="J496">
        <v>1387.6024170000001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187.957246</v>
      </c>
      <c r="B497" s="1">
        <f>DATE(2010,11,4) + TIME(22,58,26)</f>
        <v>40486.957245370373</v>
      </c>
      <c r="C497">
        <v>80</v>
      </c>
      <c r="D497">
        <v>78.743064880000006</v>
      </c>
      <c r="E497">
        <v>50</v>
      </c>
      <c r="F497">
        <v>49.667095183999997</v>
      </c>
      <c r="G497">
        <v>1302.4475098</v>
      </c>
      <c r="H497">
        <v>1290.1378173999999</v>
      </c>
      <c r="I497">
        <v>1408.1157227000001</v>
      </c>
      <c r="J497">
        <v>1387.6232910000001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188.17603299999999</v>
      </c>
      <c r="B498" s="1">
        <f>DATE(2010,11,5) + TIME(4,13,29)</f>
        <v>40487.176030092596</v>
      </c>
      <c r="C498">
        <v>80</v>
      </c>
      <c r="D498">
        <v>78.695762634000005</v>
      </c>
      <c r="E498">
        <v>50</v>
      </c>
      <c r="F498">
        <v>49.725440978999998</v>
      </c>
      <c r="G498">
        <v>1302.2266846</v>
      </c>
      <c r="H498">
        <v>1289.9146728999999</v>
      </c>
      <c r="I498">
        <v>1408.0899658000001</v>
      </c>
      <c r="J498">
        <v>1387.6223144999999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188.40901199999999</v>
      </c>
      <c r="B499" s="1">
        <f>DATE(2010,11,5) + TIME(9,48,58)</f>
        <v>40487.409004629626</v>
      </c>
      <c r="C499">
        <v>80</v>
      </c>
      <c r="D499">
        <v>78.645980835000003</v>
      </c>
      <c r="E499">
        <v>50</v>
      </c>
      <c r="F499">
        <v>49.773281097000002</v>
      </c>
      <c r="G499">
        <v>1302.0185547000001</v>
      </c>
      <c r="H499">
        <v>1289.7039795000001</v>
      </c>
      <c r="I499">
        <v>1408.0455322</v>
      </c>
      <c r="J499">
        <v>1387.5996094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188.65475900000001</v>
      </c>
      <c r="B500" s="1">
        <f>DATE(2010,11,5) + TIME(15,42,51)</f>
        <v>40487.654756944445</v>
      </c>
      <c r="C500">
        <v>80</v>
      </c>
      <c r="D500">
        <v>78.593925475999995</v>
      </c>
      <c r="E500">
        <v>50</v>
      </c>
      <c r="F500">
        <v>49.811702728</v>
      </c>
      <c r="G500">
        <v>1301.8248291</v>
      </c>
      <c r="H500">
        <v>1289.5078125</v>
      </c>
      <c r="I500">
        <v>1407.9804687999999</v>
      </c>
      <c r="J500">
        <v>1387.5535889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188.901871</v>
      </c>
      <c r="B501" s="1">
        <f>DATE(2010,11,5) + TIME(21,38,41)</f>
        <v>40487.901863425926</v>
      </c>
      <c r="C501">
        <v>80</v>
      </c>
      <c r="D501">
        <v>78.541450499999996</v>
      </c>
      <c r="E501">
        <v>50</v>
      </c>
      <c r="F501">
        <v>49.841121674</v>
      </c>
      <c r="G501">
        <v>1301.6522216999999</v>
      </c>
      <c r="H501">
        <v>1289.3328856999999</v>
      </c>
      <c r="I501">
        <v>1407.8931885</v>
      </c>
      <c r="J501">
        <v>1387.4829102000001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189.151757</v>
      </c>
      <c r="B502" s="1">
        <f>DATE(2010,11,6) + TIME(3,38,31)</f>
        <v>40488.151747685188</v>
      </c>
      <c r="C502">
        <v>80</v>
      </c>
      <c r="D502">
        <v>78.488441467000001</v>
      </c>
      <c r="E502">
        <v>50</v>
      </c>
      <c r="F502">
        <v>49.863761902</v>
      </c>
      <c r="G502">
        <v>1301.4975586</v>
      </c>
      <c r="H502">
        <v>1289.1759033000001</v>
      </c>
      <c r="I502">
        <v>1407.7941894999999</v>
      </c>
      <c r="J502">
        <v>1387.3985596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189.40569500000001</v>
      </c>
      <c r="B503" s="1">
        <f>DATE(2010,11,6) + TIME(9,44,12)</f>
        <v>40488.405694444446</v>
      </c>
      <c r="C503">
        <v>80</v>
      </c>
      <c r="D503">
        <v>78.434768676999994</v>
      </c>
      <c r="E503">
        <v>50</v>
      </c>
      <c r="F503">
        <v>49.881240845000001</v>
      </c>
      <c r="G503">
        <v>1301.3582764</v>
      </c>
      <c r="H503">
        <v>1289.0343018000001</v>
      </c>
      <c r="I503">
        <v>1407.6857910000001</v>
      </c>
      <c r="J503">
        <v>1387.3031006000001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189.66450599999999</v>
      </c>
      <c r="B504" s="1">
        <f>DATE(2010,11,6) + TIME(15,56,53)</f>
        <v>40488.664502314816</v>
      </c>
      <c r="C504">
        <v>80</v>
      </c>
      <c r="D504">
        <v>78.380340575999995</v>
      </c>
      <c r="E504">
        <v>50</v>
      </c>
      <c r="F504">
        <v>49.894756317000002</v>
      </c>
      <c r="G504">
        <v>1301.2322998</v>
      </c>
      <c r="H504">
        <v>1288.9060059000001</v>
      </c>
      <c r="I504">
        <v>1407.5687256000001</v>
      </c>
      <c r="J504">
        <v>1387.197876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189.929045</v>
      </c>
      <c r="B505" s="1">
        <f>DATE(2010,11,6) + TIME(22,17,49)</f>
        <v>40488.929039351853</v>
      </c>
      <c r="C505">
        <v>80</v>
      </c>
      <c r="D505">
        <v>78.325065613000007</v>
      </c>
      <c r="E505">
        <v>50</v>
      </c>
      <c r="F505">
        <v>49.905212401999997</v>
      </c>
      <c r="G505">
        <v>1301.1179199000001</v>
      </c>
      <c r="H505">
        <v>1288.7893065999999</v>
      </c>
      <c r="I505">
        <v>1407.4440918</v>
      </c>
      <c r="J505">
        <v>1387.0842285000001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190.20064099999999</v>
      </c>
      <c r="B506" s="1">
        <f>DATE(2010,11,7) + TIME(4,48,55)</f>
        <v>40489.200636574074</v>
      </c>
      <c r="C506">
        <v>80</v>
      </c>
      <c r="D506">
        <v>78.268745421999995</v>
      </c>
      <c r="E506">
        <v>50</v>
      </c>
      <c r="F506">
        <v>49.913314819</v>
      </c>
      <c r="G506">
        <v>1301.0134277</v>
      </c>
      <c r="H506">
        <v>1288.6824951000001</v>
      </c>
      <c r="I506">
        <v>1407.3126221</v>
      </c>
      <c r="J506">
        <v>1386.9630127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190.48025999999999</v>
      </c>
      <c r="B507" s="1">
        <f>DATE(2010,11,7) + TIME(11,31,34)</f>
        <v>40489.480254629627</v>
      </c>
      <c r="C507">
        <v>80</v>
      </c>
      <c r="D507">
        <v>78.211235045999999</v>
      </c>
      <c r="E507">
        <v>50</v>
      </c>
      <c r="F507">
        <v>49.919601440000001</v>
      </c>
      <c r="G507">
        <v>1300.9178466999999</v>
      </c>
      <c r="H507">
        <v>1288.5845947</v>
      </c>
      <c r="I507">
        <v>1407.1748047000001</v>
      </c>
      <c r="J507">
        <v>1386.8349608999999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190.768968</v>
      </c>
      <c r="B508" s="1">
        <f>DATE(2010,11,7) + TIME(18,27,18)</f>
        <v>40489.768958333334</v>
      </c>
      <c r="C508">
        <v>80</v>
      </c>
      <c r="D508">
        <v>78.152374268000003</v>
      </c>
      <c r="E508">
        <v>50</v>
      </c>
      <c r="F508">
        <v>49.924476624</v>
      </c>
      <c r="G508">
        <v>1300.8299560999999</v>
      </c>
      <c r="H508">
        <v>1288.4942627</v>
      </c>
      <c r="I508">
        <v>1407.0311279</v>
      </c>
      <c r="J508">
        <v>1386.7008057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191.06805499999999</v>
      </c>
      <c r="B509" s="1">
        <f>DATE(2010,11,8) + TIME(1,37,59)</f>
        <v>40490.068043981482</v>
      </c>
      <c r="C509">
        <v>80</v>
      </c>
      <c r="D509">
        <v>78.091964722</v>
      </c>
      <c r="E509">
        <v>50</v>
      </c>
      <c r="F509">
        <v>49.928268433</v>
      </c>
      <c r="G509">
        <v>1300.7489014</v>
      </c>
      <c r="H509">
        <v>1288.4107666</v>
      </c>
      <c r="I509">
        <v>1406.8820800999999</v>
      </c>
      <c r="J509">
        <v>1386.5610352000001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191.37873999999999</v>
      </c>
      <c r="B510" s="1">
        <f>DATE(2010,11,8) + TIME(9,5,23)</f>
        <v>40490.378738425927</v>
      </c>
      <c r="C510">
        <v>80</v>
      </c>
      <c r="D510">
        <v>78.029808044000006</v>
      </c>
      <c r="E510">
        <v>50</v>
      </c>
      <c r="F510">
        <v>49.931217193999998</v>
      </c>
      <c r="G510">
        <v>1300.6737060999999</v>
      </c>
      <c r="H510">
        <v>1288.3331298999999</v>
      </c>
      <c r="I510">
        <v>1406.7279053</v>
      </c>
      <c r="J510">
        <v>1386.4161377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191.702192</v>
      </c>
      <c r="B511" s="1">
        <f>DATE(2010,11,8) + TIME(16,51,9)</f>
        <v>40490.702187499999</v>
      </c>
      <c r="C511">
        <v>80</v>
      </c>
      <c r="D511">
        <v>77.965728760000005</v>
      </c>
      <c r="E511">
        <v>50</v>
      </c>
      <c r="F511">
        <v>49.933517455999997</v>
      </c>
      <c r="G511">
        <v>1300.6037598</v>
      </c>
      <c r="H511">
        <v>1288.2606201000001</v>
      </c>
      <c r="I511">
        <v>1406.5689697</v>
      </c>
      <c r="J511">
        <v>1386.2663574000001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192.03976800000001</v>
      </c>
      <c r="B512" s="1">
        <f>DATE(2010,11,9) + TIME(0,57,15)</f>
        <v>40491.039756944447</v>
      </c>
      <c r="C512">
        <v>80</v>
      </c>
      <c r="D512">
        <v>77.899505614999995</v>
      </c>
      <c r="E512">
        <v>50</v>
      </c>
      <c r="F512">
        <v>49.935317992999998</v>
      </c>
      <c r="G512">
        <v>1300.5384521000001</v>
      </c>
      <c r="H512">
        <v>1288.192749</v>
      </c>
      <c r="I512">
        <v>1406.4056396000001</v>
      </c>
      <c r="J512">
        <v>1386.1121826000001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192.393564</v>
      </c>
      <c r="B513" s="1">
        <f>DATE(2010,11,9) + TIME(9,26,43)</f>
        <v>40491.393553240741</v>
      </c>
      <c r="C513">
        <v>80</v>
      </c>
      <c r="D513">
        <v>77.830841063999998</v>
      </c>
      <c r="E513">
        <v>50</v>
      </c>
      <c r="F513">
        <v>49.936737061000002</v>
      </c>
      <c r="G513">
        <v>1300.4771728999999</v>
      </c>
      <c r="H513">
        <v>1288.1287841999999</v>
      </c>
      <c r="I513">
        <v>1406.2381591999999</v>
      </c>
      <c r="J513">
        <v>1385.9539795000001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192.76630700000001</v>
      </c>
      <c r="B514" s="1">
        <f>DATE(2010,11,9) + TIME(18,23,28)</f>
        <v>40491.766296296293</v>
      </c>
      <c r="C514">
        <v>80</v>
      </c>
      <c r="D514">
        <v>77.759323120000005</v>
      </c>
      <c r="E514">
        <v>50</v>
      </c>
      <c r="F514">
        <v>49.937862396</v>
      </c>
      <c r="G514">
        <v>1300.4191894999999</v>
      </c>
      <c r="H514">
        <v>1288.0679932</v>
      </c>
      <c r="I514">
        <v>1406.0664062000001</v>
      </c>
      <c r="J514">
        <v>1385.7917480000001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193.15669299999999</v>
      </c>
      <c r="B515" s="1">
        <f>DATE(2010,11,10) + TIME(3,45,38)</f>
        <v>40492.156689814816</v>
      </c>
      <c r="C515">
        <v>80</v>
      </c>
      <c r="D515">
        <v>77.685081482000001</v>
      </c>
      <c r="E515">
        <v>50</v>
      </c>
      <c r="F515">
        <v>49.938751220999997</v>
      </c>
      <c r="G515">
        <v>1300.3643798999999</v>
      </c>
      <c r="H515">
        <v>1288.0102539</v>
      </c>
      <c r="I515">
        <v>1405.8905029</v>
      </c>
      <c r="J515">
        <v>1385.6254882999999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193.550714</v>
      </c>
      <c r="B516" s="1">
        <f>DATE(2010,11,10) + TIME(13,13,1)</f>
        <v>40492.550706018519</v>
      </c>
      <c r="C516">
        <v>80</v>
      </c>
      <c r="D516">
        <v>77.609878539999997</v>
      </c>
      <c r="E516">
        <v>50</v>
      </c>
      <c r="F516">
        <v>49.939437865999999</v>
      </c>
      <c r="G516">
        <v>1300.3135986</v>
      </c>
      <c r="H516">
        <v>1287.956543</v>
      </c>
      <c r="I516">
        <v>1405.7126464999999</v>
      </c>
      <c r="J516">
        <v>1385.4573975000001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193.95043000000001</v>
      </c>
      <c r="B517" s="1">
        <f>DATE(2010,11,10) + TIME(22,48,37)</f>
        <v>40492.950428240743</v>
      </c>
      <c r="C517">
        <v>80</v>
      </c>
      <c r="D517">
        <v>77.533729553000001</v>
      </c>
      <c r="E517">
        <v>50</v>
      </c>
      <c r="F517">
        <v>49.939983368</v>
      </c>
      <c r="G517">
        <v>1300.2663574000001</v>
      </c>
      <c r="H517">
        <v>1287.9063721</v>
      </c>
      <c r="I517">
        <v>1405.5384521000001</v>
      </c>
      <c r="J517">
        <v>1385.2928466999999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194.35679999999999</v>
      </c>
      <c r="B518" s="1">
        <f>DATE(2010,11,11) + TIME(8,33,47)</f>
        <v>40493.356793981482</v>
      </c>
      <c r="C518">
        <v>80</v>
      </c>
      <c r="D518">
        <v>77.456665039000001</v>
      </c>
      <c r="E518">
        <v>50</v>
      </c>
      <c r="F518">
        <v>49.940418243000003</v>
      </c>
      <c r="G518">
        <v>1300.222168</v>
      </c>
      <c r="H518">
        <v>1287.8591309000001</v>
      </c>
      <c r="I518">
        <v>1405.3677978999999</v>
      </c>
      <c r="J518">
        <v>1385.1317139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194.77089899999999</v>
      </c>
      <c r="B519" s="1">
        <f>DATE(2010,11,11) + TIME(18,30,5)</f>
        <v>40493.770891203705</v>
      </c>
      <c r="C519">
        <v>80</v>
      </c>
      <c r="D519">
        <v>77.378631592000005</v>
      </c>
      <c r="E519">
        <v>50</v>
      </c>
      <c r="F519">
        <v>49.940776825</v>
      </c>
      <c r="G519">
        <v>1300.1804199000001</v>
      </c>
      <c r="H519">
        <v>1287.8142089999999</v>
      </c>
      <c r="I519">
        <v>1405.2005615</v>
      </c>
      <c r="J519">
        <v>1384.9738769999999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195.193611</v>
      </c>
      <c r="B520" s="1">
        <f>DATE(2010,11,12) + TIME(4,38,47)</f>
        <v>40494.193599537037</v>
      </c>
      <c r="C520">
        <v>80</v>
      </c>
      <c r="D520">
        <v>77.299575806000007</v>
      </c>
      <c r="E520">
        <v>50</v>
      </c>
      <c r="F520">
        <v>49.941074370999999</v>
      </c>
      <c r="G520">
        <v>1300.140625</v>
      </c>
      <c r="H520">
        <v>1287.7712402</v>
      </c>
      <c r="I520">
        <v>1405.0363769999999</v>
      </c>
      <c r="J520">
        <v>1384.8189697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195.62614199999999</v>
      </c>
      <c r="B521" s="1">
        <f>DATE(2010,11,12) + TIME(15,1,38)</f>
        <v>40494.626134259262</v>
      </c>
      <c r="C521">
        <v>80</v>
      </c>
      <c r="D521">
        <v>77.219367981000005</v>
      </c>
      <c r="E521">
        <v>50</v>
      </c>
      <c r="F521">
        <v>49.941322327000002</v>
      </c>
      <c r="G521">
        <v>1300.1025391000001</v>
      </c>
      <c r="H521">
        <v>1287.7298584</v>
      </c>
      <c r="I521">
        <v>1404.8751221</v>
      </c>
      <c r="J521">
        <v>1384.6668701000001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196.07024100000001</v>
      </c>
      <c r="B522" s="1">
        <f>DATE(2010,11,13) + TIME(1,41,8)</f>
        <v>40495.070231481484</v>
      </c>
      <c r="C522">
        <v>80</v>
      </c>
      <c r="D522">
        <v>77.137802124000004</v>
      </c>
      <c r="E522">
        <v>50</v>
      </c>
      <c r="F522">
        <v>49.941535950000002</v>
      </c>
      <c r="G522">
        <v>1300.0656738</v>
      </c>
      <c r="H522">
        <v>1287.6896973</v>
      </c>
      <c r="I522">
        <v>1404.7163086</v>
      </c>
      <c r="J522">
        <v>1384.5172118999999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196.52714599999999</v>
      </c>
      <c r="B523" s="1">
        <f>DATE(2010,11,13) + TIME(12,39,5)</f>
        <v>40495.527141203704</v>
      </c>
      <c r="C523">
        <v>80</v>
      </c>
      <c r="D523">
        <v>77.054710388000004</v>
      </c>
      <c r="E523">
        <v>50</v>
      </c>
      <c r="F523">
        <v>49.941719055</v>
      </c>
      <c r="G523">
        <v>1300.0297852000001</v>
      </c>
      <c r="H523">
        <v>1287.6502685999999</v>
      </c>
      <c r="I523">
        <v>1404.5594481999999</v>
      </c>
      <c r="J523">
        <v>1384.3696289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196.99885900000001</v>
      </c>
      <c r="B524" s="1">
        <f>DATE(2010,11,13) + TIME(23,58,21)</f>
        <v>40495.998854166668</v>
      </c>
      <c r="C524">
        <v>80</v>
      </c>
      <c r="D524">
        <v>76.969841002999999</v>
      </c>
      <c r="E524">
        <v>50</v>
      </c>
      <c r="F524">
        <v>49.941879272000001</v>
      </c>
      <c r="G524">
        <v>1299.9945068</v>
      </c>
      <c r="H524">
        <v>1287.6114502</v>
      </c>
      <c r="I524">
        <v>1404.4045410000001</v>
      </c>
      <c r="J524">
        <v>1384.2237548999999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197.486705</v>
      </c>
      <c r="B525" s="1">
        <f>DATE(2010,11,14) + TIME(11,40,51)</f>
        <v>40496.486701388887</v>
      </c>
      <c r="C525">
        <v>80</v>
      </c>
      <c r="D525">
        <v>76.882980347</v>
      </c>
      <c r="E525">
        <v>50</v>
      </c>
      <c r="F525">
        <v>49.942016602000002</v>
      </c>
      <c r="G525">
        <v>1299.9597168</v>
      </c>
      <c r="H525">
        <v>1287.572876</v>
      </c>
      <c r="I525">
        <v>1404.2508545000001</v>
      </c>
      <c r="J525">
        <v>1384.0793457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197.993696</v>
      </c>
      <c r="B526" s="1">
        <f>DATE(2010,11,14) + TIME(23,50,55)</f>
        <v>40496.993692129632</v>
      </c>
      <c r="C526">
        <v>80</v>
      </c>
      <c r="D526">
        <v>76.793777465999995</v>
      </c>
      <c r="E526">
        <v>50</v>
      </c>
      <c r="F526">
        <v>49.942142486999998</v>
      </c>
      <c r="G526">
        <v>1299.9249268000001</v>
      </c>
      <c r="H526">
        <v>1287.5344238</v>
      </c>
      <c r="I526">
        <v>1404.0981445</v>
      </c>
      <c r="J526">
        <v>1383.9359131000001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198.52325099999999</v>
      </c>
      <c r="B527" s="1">
        <f>DATE(2010,11,15) + TIME(12,33,28)</f>
        <v>40497.523240740738</v>
      </c>
      <c r="C527">
        <v>80</v>
      </c>
      <c r="D527">
        <v>76.701789856000005</v>
      </c>
      <c r="E527">
        <v>50</v>
      </c>
      <c r="F527">
        <v>49.942256927000003</v>
      </c>
      <c r="G527">
        <v>1299.8901367000001</v>
      </c>
      <c r="H527">
        <v>1287.4954834</v>
      </c>
      <c r="I527">
        <v>1403.9458007999999</v>
      </c>
      <c r="J527">
        <v>1383.7929687999999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199.064198</v>
      </c>
      <c r="B528" s="1">
        <f>DATE(2010,11,16) + TIME(1,32,26)</f>
        <v>40498.064189814817</v>
      </c>
      <c r="C528">
        <v>80</v>
      </c>
      <c r="D528">
        <v>76.608062743999994</v>
      </c>
      <c r="E528">
        <v>50</v>
      </c>
      <c r="F528">
        <v>49.942356109999999</v>
      </c>
      <c r="G528">
        <v>1299.8551024999999</v>
      </c>
      <c r="H528">
        <v>1287.4564209</v>
      </c>
      <c r="I528">
        <v>1403.7938231999999</v>
      </c>
      <c r="J528">
        <v>1383.6505127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199.61059700000001</v>
      </c>
      <c r="B529" s="1">
        <f>DATE(2010,11,16) + TIME(14,39,15)</f>
        <v>40498.610590277778</v>
      </c>
      <c r="C529">
        <v>80</v>
      </c>
      <c r="D529">
        <v>76.513458252000007</v>
      </c>
      <c r="E529">
        <v>50</v>
      </c>
      <c r="F529">
        <v>49.942443848000003</v>
      </c>
      <c r="G529">
        <v>1299.8204346</v>
      </c>
      <c r="H529">
        <v>1287.4176024999999</v>
      </c>
      <c r="I529">
        <v>1403.6448975000001</v>
      </c>
      <c r="J529">
        <v>1383.5108643000001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200.16497699999999</v>
      </c>
      <c r="B530" s="1">
        <f>DATE(2010,11,17) + TIME(3,57,34)</f>
        <v>40499.164976851855</v>
      </c>
      <c r="C530">
        <v>80</v>
      </c>
      <c r="D530">
        <v>76.418029785000002</v>
      </c>
      <c r="E530">
        <v>50</v>
      </c>
      <c r="F530">
        <v>49.942523956000002</v>
      </c>
      <c r="G530">
        <v>1299.7860106999999</v>
      </c>
      <c r="H530">
        <v>1287.3787841999999</v>
      </c>
      <c r="I530">
        <v>1403.5001221</v>
      </c>
      <c r="J530">
        <v>1383.3754882999999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200.728184</v>
      </c>
      <c r="B531" s="1">
        <f>DATE(2010,11,17) + TIME(17,28,35)</f>
        <v>40499.728182870371</v>
      </c>
      <c r="C531">
        <v>80</v>
      </c>
      <c r="D531">
        <v>76.321823120000005</v>
      </c>
      <c r="E531">
        <v>50</v>
      </c>
      <c r="F531">
        <v>49.942600249999998</v>
      </c>
      <c r="G531">
        <v>1299.7517089999999</v>
      </c>
      <c r="H531">
        <v>1287.3400879000001</v>
      </c>
      <c r="I531">
        <v>1403.3591309000001</v>
      </c>
      <c r="J531">
        <v>1383.2435303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201.303123</v>
      </c>
      <c r="B532" s="1">
        <f>DATE(2010,11,18) + TIME(7,16,29)</f>
        <v>40500.303113425929</v>
      </c>
      <c r="C532">
        <v>80</v>
      </c>
      <c r="D532">
        <v>76.224617003999995</v>
      </c>
      <c r="E532">
        <v>50</v>
      </c>
      <c r="F532">
        <v>49.942672729000002</v>
      </c>
      <c r="G532">
        <v>1299.7174072</v>
      </c>
      <c r="H532">
        <v>1287.3011475000001</v>
      </c>
      <c r="I532">
        <v>1403.2213135</v>
      </c>
      <c r="J532">
        <v>1383.114624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201.890828</v>
      </c>
      <c r="B533" s="1">
        <f>DATE(2010,11,18) + TIME(21,22,47)</f>
        <v>40500.890821759262</v>
      </c>
      <c r="C533">
        <v>80</v>
      </c>
      <c r="D533">
        <v>76.126281738000003</v>
      </c>
      <c r="E533">
        <v>50</v>
      </c>
      <c r="F533">
        <v>49.942741394000002</v>
      </c>
      <c r="G533">
        <v>1299.6827393000001</v>
      </c>
      <c r="H533">
        <v>1287.2617187999999</v>
      </c>
      <c r="I533">
        <v>1403.0859375</v>
      </c>
      <c r="J533">
        <v>1382.9882812000001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202.493787</v>
      </c>
      <c r="B534" s="1">
        <f>DATE(2010,11,19) + TIME(11,51,3)</f>
        <v>40501.493784722225</v>
      </c>
      <c r="C534">
        <v>80</v>
      </c>
      <c r="D534">
        <v>76.026557921999995</v>
      </c>
      <c r="E534">
        <v>50</v>
      </c>
      <c r="F534">
        <v>49.942810059000003</v>
      </c>
      <c r="G534">
        <v>1299.6477050999999</v>
      </c>
      <c r="H534">
        <v>1287.2218018000001</v>
      </c>
      <c r="I534">
        <v>1402.9528809000001</v>
      </c>
      <c r="J534">
        <v>1382.8640137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203.11341200000001</v>
      </c>
      <c r="B535" s="1">
        <f>DATE(2010,11,20) + TIME(2,43,18)</f>
        <v>40502.113402777781</v>
      </c>
      <c r="C535">
        <v>80</v>
      </c>
      <c r="D535">
        <v>75.925247192</v>
      </c>
      <c r="E535">
        <v>50</v>
      </c>
      <c r="F535">
        <v>49.942874908</v>
      </c>
      <c r="G535">
        <v>1299.6120605000001</v>
      </c>
      <c r="H535">
        <v>1287.1811522999999</v>
      </c>
      <c r="I535">
        <v>1402.8212891000001</v>
      </c>
      <c r="J535">
        <v>1382.7413329999999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203.75135700000001</v>
      </c>
      <c r="B536" s="1">
        <f>DATE(2010,11,20) + TIME(18,1,57)</f>
        <v>40502.751354166663</v>
      </c>
      <c r="C536">
        <v>80</v>
      </c>
      <c r="D536">
        <v>75.822151184000006</v>
      </c>
      <c r="E536">
        <v>50</v>
      </c>
      <c r="F536">
        <v>49.942939758000001</v>
      </c>
      <c r="G536">
        <v>1299.5756836</v>
      </c>
      <c r="H536">
        <v>1287.1395264</v>
      </c>
      <c r="I536">
        <v>1402.6911620999999</v>
      </c>
      <c r="J536">
        <v>1382.6199951000001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204.41025999999999</v>
      </c>
      <c r="B537" s="1">
        <f>DATE(2010,11,21) + TIME(9,50,46)</f>
        <v>40503.410254629627</v>
      </c>
      <c r="C537">
        <v>80</v>
      </c>
      <c r="D537">
        <v>75.716964722</v>
      </c>
      <c r="E537">
        <v>50</v>
      </c>
      <c r="F537">
        <v>49.943004608000003</v>
      </c>
      <c r="G537">
        <v>1299.5383300999999</v>
      </c>
      <c r="H537">
        <v>1287.0966797000001</v>
      </c>
      <c r="I537">
        <v>1402.5620117000001</v>
      </c>
      <c r="J537">
        <v>1382.4997559000001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205.09245300000001</v>
      </c>
      <c r="B538" s="1">
        <f>DATE(2010,11,22) + TIME(2,13,7)</f>
        <v>40504.092442129629</v>
      </c>
      <c r="C538">
        <v>80</v>
      </c>
      <c r="D538">
        <v>75.609420775999993</v>
      </c>
      <c r="E538">
        <v>50</v>
      </c>
      <c r="F538">
        <v>49.943073273000003</v>
      </c>
      <c r="G538">
        <v>1299.4998779</v>
      </c>
      <c r="H538">
        <v>1287.0524902</v>
      </c>
      <c r="I538">
        <v>1402.4335937999999</v>
      </c>
      <c r="J538">
        <v>1382.3801269999999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205.802426</v>
      </c>
      <c r="B539" s="1">
        <f>DATE(2010,11,22) + TIME(19,15,29)</f>
        <v>40504.802418981482</v>
      </c>
      <c r="C539">
        <v>80</v>
      </c>
      <c r="D539">
        <v>75.499053954999994</v>
      </c>
      <c r="E539">
        <v>50</v>
      </c>
      <c r="F539">
        <v>49.943138122999997</v>
      </c>
      <c r="G539">
        <v>1299.4599608999999</v>
      </c>
      <c r="H539">
        <v>1287.0065918</v>
      </c>
      <c r="I539">
        <v>1402.3052978999999</v>
      </c>
      <c r="J539">
        <v>1382.2608643000001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206.516921</v>
      </c>
      <c r="B540" s="1">
        <f>DATE(2010,11,23) + TIME(12,24,21)</f>
        <v>40505.516909722224</v>
      </c>
      <c r="C540">
        <v>80</v>
      </c>
      <c r="D540">
        <v>75.387641907000003</v>
      </c>
      <c r="E540">
        <v>50</v>
      </c>
      <c r="F540">
        <v>49.943202972000002</v>
      </c>
      <c r="G540">
        <v>1299.4188231999999</v>
      </c>
      <c r="H540">
        <v>1286.9593506000001</v>
      </c>
      <c r="I540">
        <v>1402.1773682</v>
      </c>
      <c r="J540">
        <v>1382.1418457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207.23939799999999</v>
      </c>
      <c r="B541" s="1">
        <f>DATE(2010,11,24) + TIME(5,44,44)</f>
        <v>40506.239398148151</v>
      </c>
      <c r="C541">
        <v>80</v>
      </c>
      <c r="D541">
        <v>75.275596618999998</v>
      </c>
      <c r="E541">
        <v>50</v>
      </c>
      <c r="F541">
        <v>49.943267822000003</v>
      </c>
      <c r="G541">
        <v>1299.3771973</v>
      </c>
      <c r="H541">
        <v>1286.9112548999999</v>
      </c>
      <c r="I541">
        <v>1402.0527344</v>
      </c>
      <c r="J541">
        <v>1382.0261230000001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207.97233499999999</v>
      </c>
      <c r="B542" s="1">
        <f>DATE(2010,11,24) + TIME(23,20,9)</f>
        <v>40506.972326388888</v>
      </c>
      <c r="C542">
        <v>80</v>
      </c>
      <c r="D542">
        <v>75.162994385000005</v>
      </c>
      <c r="E542">
        <v>50</v>
      </c>
      <c r="F542">
        <v>49.943332671999997</v>
      </c>
      <c r="G542">
        <v>1299.3348389</v>
      </c>
      <c r="H542">
        <v>1286.8623047000001</v>
      </c>
      <c r="I542">
        <v>1401.9311522999999</v>
      </c>
      <c r="J542">
        <v>1381.9132079999999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208.717692</v>
      </c>
      <c r="B543" s="1">
        <f>DATE(2010,11,25) + TIME(17,13,28)</f>
        <v>40507.717685185184</v>
      </c>
      <c r="C543">
        <v>80</v>
      </c>
      <c r="D543">
        <v>75.049758910999998</v>
      </c>
      <c r="E543">
        <v>50</v>
      </c>
      <c r="F543">
        <v>49.943397521999998</v>
      </c>
      <c r="G543">
        <v>1299.2917480000001</v>
      </c>
      <c r="H543">
        <v>1286.8122559000001</v>
      </c>
      <c r="I543">
        <v>1401.8121338000001</v>
      </c>
      <c r="J543">
        <v>1381.8027344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209.47796099999999</v>
      </c>
      <c r="B544" s="1">
        <f>DATE(2010,11,26) + TIME(11,28,15)</f>
        <v>40508.477951388886</v>
      </c>
      <c r="C544">
        <v>80</v>
      </c>
      <c r="D544">
        <v>74.935661315999994</v>
      </c>
      <c r="E544">
        <v>50</v>
      </c>
      <c r="F544">
        <v>49.943466186999999</v>
      </c>
      <c r="G544">
        <v>1299.2475586</v>
      </c>
      <c r="H544">
        <v>1286.7609863</v>
      </c>
      <c r="I544">
        <v>1401.6950684000001</v>
      </c>
      <c r="J544">
        <v>1381.6942139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210.25545600000001</v>
      </c>
      <c r="B545" s="1">
        <f>DATE(2010,11,27) + TIME(6,7,51)</f>
        <v>40509.25545138889</v>
      </c>
      <c r="C545">
        <v>80</v>
      </c>
      <c r="D545">
        <v>74.820426940999994</v>
      </c>
      <c r="E545">
        <v>50</v>
      </c>
      <c r="F545">
        <v>49.943534851000003</v>
      </c>
      <c r="G545">
        <v>1299.2022704999999</v>
      </c>
      <c r="H545">
        <v>1286.7082519999999</v>
      </c>
      <c r="I545">
        <v>1401.5798339999999</v>
      </c>
      <c r="J545">
        <v>1381.5874022999999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211.05159800000001</v>
      </c>
      <c r="B546" s="1">
        <f>DATE(2010,11,28) + TIME(1,14,18)</f>
        <v>40510.05159722222</v>
      </c>
      <c r="C546">
        <v>80</v>
      </c>
      <c r="D546">
        <v>74.703895568999997</v>
      </c>
      <c r="E546">
        <v>50</v>
      </c>
      <c r="F546">
        <v>49.943607329999999</v>
      </c>
      <c r="G546">
        <v>1299.1556396000001</v>
      </c>
      <c r="H546">
        <v>1286.6539307</v>
      </c>
      <c r="I546">
        <v>1401.4658202999999</v>
      </c>
      <c r="J546">
        <v>1381.4816894999999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211.87040099999999</v>
      </c>
      <c r="B547" s="1">
        <f>DATE(2010,11,28) + TIME(20,53,22)</f>
        <v>40510.870393518519</v>
      </c>
      <c r="C547">
        <v>80</v>
      </c>
      <c r="D547">
        <v>74.585700989000003</v>
      </c>
      <c r="E547">
        <v>50</v>
      </c>
      <c r="F547">
        <v>49.943679809999999</v>
      </c>
      <c r="G547">
        <v>1299.1075439000001</v>
      </c>
      <c r="H547">
        <v>1286.5976562000001</v>
      </c>
      <c r="I547">
        <v>1401.3529053</v>
      </c>
      <c r="J547">
        <v>1381.3770752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212.713775</v>
      </c>
      <c r="B548" s="1">
        <f>DATE(2010,11,29) + TIME(17,7,50)</f>
        <v>40511.713773148149</v>
      </c>
      <c r="C548">
        <v>80</v>
      </c>
      <c r="D548">
        <v>74.465576171999999</v>
      </c>
      <c r="E548">
        <v>50</v>
      </c>
      <c r="F548">
        <v>49.943756104000002</v>
      </c>
      <c r="G548">
        <v>1299.0576172000001</v>
      </c>
      <c r="H548">
        <v>1286.5391846</v>
      </c>
      <c r="I548">
        <v>1401.2406006000001</v>
      </c>
      <c r="J548">
        <v>1381.2731934000001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213.58635799999999</v>
      </c>
      <c r="B549" s="1">
        <f>DATE(2010,11,30) + TIME(14,4,21)</f>
        <v>40512.586354166669</v>
      </c>
      <c r="C549">
        <v>80</v>
      </c>
      <c r="D549">
        <v>74.343093871999997</v>
      </c>
      <c r="E549">
        <v>50</v>
      </c>
      <c r="F549">
        <v>49.943832397000001</v>
      </c>
      <c r="G549">
        <v>1299.0057373</v>
      </c>
      <c r="H549">
        <v>1286.4783935999999</v>
      </c>
      <c r="I549">
        <v>1401.1287841999999</v>
      </c>
      <c r="J549">
        <v>1381.1696777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214</v>
      </c>
      <c r="B550" s="1">
        <f>DATE(2010,12,1) + TIME(0,0,0)</f>
        <v>40513</v>
      </c>
      <c r="C550">
        <v>80</v>
      </c>
      <c r="D550">
        <v>74.263442992999998</v>
      </c>
      <c r="E550">
        <v>50</v>
      </c>
      <c r="F550">
        <v>49.943820952999999</v>
      </c>
      <c r="G550">
        <v>1298.9593506000001</v>
      </c>
      <c r="H550">
        <v>1286.4266356999999</v>
      </c>
      <c r="I550">
        <v>1401.0296631000001</v>
      </c>
      <c r="J550">
        <v>1381.0783690999999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214.88657599999999</v>
      </c>
      <c r="B551" s="1">
        <f>DATE(2010,12,1) + TIME(21,16,40)</f>
        <v>40513.886574074073</v>
      </c>
      <c r="C551">
        <v>80</v>
      </c>
      <c r="D551">
        <v>74.150566100999995</v>
      </c>
      <c r="E551">
        <v>50</v>
      </c>
      <c r="F551">
        <v>49.943950653000002</v>
      </c>
      <c r="G551">
        <v>1298.9232178</v>
      </c>
      <c r="H551">
        <v>1286.3808594</v>
      </c>
      <c r="I551">
        <v>1400.9608154</v>
      </c>
      <c r="J551">
        <v>1381.0141602000001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215.789514</v>
      </c>
      <c r="B552" s="1">
        <f>DATE(2010,12,2) + TIME(18,56,54)</f>
        <v>40514.789513888885</v>
      </c>
      <c r="C552">
        <v>80</v>
      </c>
      <c r="D552">
        <v>74.031196593999994</v>
      </c>
      <c r="E552">
        <v>50</v>
      </c>
      <c r="F552">
        <v>49.944030761999997</v>
      </c>
      <c r="G552">
        <v>1298.8692627</v>
      </c>
      <c r="H552">
        <v>1286.3173827999999</v>
      </c>
      <c r="I552">
        <v>1400.8564452999999</v>
      </c>
      <c r="J552">
        <v>1380.9177245999999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216.70521600000001</v>
      </c>
      <c r="B553" s="1">
        <f>DATE(2010,12,3) + TIME(16,55,30)</f>
        <v>40515.705208333333</v>
      </c>
      <c r="C553">
        <v>80</v>
      </c>
      <c r="D553">
        <v>73.908439635999997</v>
      </c>
      <c r="E553">
        <v>50</v>
      </c>
      <c r="F553">
        <v>49.944110870000003</v>
      </c>
      <c r="G553">
        <v>1298.8121338000001</v>
      </c>
      <c r="H553">
        <v>1286.2501221</v>
      </c>
      <c r="I553">
        <v>1400.7502440999999</v>
      </c>
      <c r="J553">
        <v>1380.8195800999999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217.63787199999999</v>
      </c>
      <c r="B554" s="1">
        <f>DATE(2010,12,4) + TIME(15,18,32)</f>
        <v>40516.637870370374</v>
      </c>
      <c r="C554">
        <v>80</v>
      </c>
      <c r="D554">
        <v>73.783599854000002</v>
      </c>
      <c r="E554">
        <v>50</v>
      </c>
      <c r="F554">
        <v>49.944190978999998</v>
      </c>
      <c r="G554">
        <v>1298.7532959</v>
      </c>
      <c r="H554">
        <v>1286.1805420000001</v>
      </c>
      <c r="I554">
        <v>1400.6455077999999</v>
      </c>
      <c r="J554">
        <v>1380.7227783000001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218.589046</v>
      </c>
      <c r="B555" s="1">
        <f>DATE(2010,12,5) + TIME(14,8,13)</f>
        <v>40517.589039351849</v>
      </c>
      <c r="C555">
        <v>80</v>
      </c>
      <c r="D555">
        <v>73.657234192000004</v>
      </c>
      <c r="E555">
        <v>50</v>
      </c>
      <c r="F555">
        <v>49.944274901999997</v>
      </c>
      <c r="G555">
        <v>1298.6923827999999</v>
      </c>
      <c r="H555">
        <v>1286.1083983999999</v>
      </c>
      <c r="I555">
        <v>1400.5419922000001</v>
      </c>
      <c r="J555">
        <v>1380.6273193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219.561823</v>
      </c>
      <c r="B556" s="1">
        <f>DATE(2010,12,6) + TIME(13,29,1)</f>
        <v>40518.56181712963</v>
      </c>
      <c r="C556">
        <v>80</v>
      </c>
      <c r="D556">
        <v>73.529418945000003</v>
      </c>
      <c r="E556">
        <v>50</v>
      </c>
      <c r="F556">
        <v>49.944362640000001</v>
      </c>
      <c r="G556">
        <v>1298.6295166</v>
      </c>
      <c r="H556">
        <v>1286.0335693</v>
      </c>
      <c r="I556">
        <v>1400.4396973</v>
      </c>
      <c r="J556">
        <v>1380.5328368999999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220.55868699999999</v>
      </c>
      <c r="B557" s="1">
        <f>DATE(2010,12,7) + TIME(13,24,30)</f>
        <v>40519.558680555558</v>
      </c>
      <c r="C557">
        <v>80</v>
      </c>
      <c r="D557">
        <v>73.400054932000003</v>
      </c>
      <c r="E557">
        <v>50</v>
      </c>
      <c r="F557">
        <v>49.944450377999999</v>
      </c>
      <c r="G557">
        <v>1298.5644531</v>
      </c>
      <c r="H557">
        <v>1285.9558105000001</v>
      </c>
      <c r="I557">
        <v>1400.3383789</v>
      </c>
      <c r="J557">
        <v>1380.4392089999999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221.58142699999999</v>
      </c>
      <c r="B558" s="1">
        <f>DATE(2010,12,8) + TIME(13,57,15)</f>
        <v>40520.581423611111</v>
      </c>
      <c r="C558">
        <v>80</v>
      </c>
      <c r="D558">
        <v>73.268997192</v>
      </c>
      <c r="E558">
        <v>50</v>
      </c>
      <c r="F558">
        <v>49.944541931000003</v>
      </c>
      <c r="G558">
        <v>1298.4968262</v>
      </c>
      <c r="H558">
        <v>1285.8748779</v>
      </c>
      <c r="I558">
        <v>1400.2376709</v>
      </c>
      <c r="J558">
        <v>1380.3463135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222.63602800000001</v>
      </c>
      <c r="B559" s="1">
        <f>DATE(2010,12,9) + TIME(15,15,52)</f>
        <v>40521.636018518519</v>
      </c>
      <c r="C559">
        <v>80</v>
      </c>
      <c r="D559">
        <v>73.135871886999993</v>
      </c>
      <c r="E559">
        <v>50</v>
      </c>
      <c r="F559">
        <v>49.944637299</v>
      </c>
      <c r="G559">
        <v>1298.4263916</v>
      </c>
      <c r="H559">
        <v>1285.7902832</v>
      </c>
      <c r="I559">
        <v>1400.1374512</v>
      </c>
      <c r="J559">
        <v>1380.2539062000001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223.70503299999999</v>
      </c>
      <c r="B560" s="1">
        <f>DATE(2010,12,10) + TIME(16,55,14)</f>
        <v>40522.705023148148</v>
      </c>
      <c r="C560">
        <v>80</v>
      </c>
      <c r="D560">
        <v>73.001426696999999</v>
      </c>
      <c r="E560">
        <v>50</v>
      </c>
      <c r="F560">
        <v>49.944732666</v>
      </c>
      <c r="G560">
        <v>1298.3529053</v>
      </c>
      <c r="H560">
        <v>1285.7020264</v>
      </c>
      <c r="I560">
        <v>1400.0375977000001</v>
      </c>
      <c r="J560">
        <v>1380.1617432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224.783976</v>
      </c>
      <c r="B561" s="1">
        <f>DATE(2010,12,11) + TIME(18,48,55)</f>
        <v>40523.78396990741</v>
      </c>
      <c r="C561">
        <v>80</v>
      </c>
      <c r="D561">
        <v>72.866508483999993</v>
      </c>
      <c r="E561">
        <v>50</v>
      </c>
      <c r="F561">
        <v>49.944828033</v>
      </c>
      <c r="G561">
        <v>1298.2772216999999</v>
      </c>
      <c r="H561">
        <v>1285.6107178</v>
      </c>
      <c r="I561">
        <v>1399.9393310999999</v>
      </c>
      <c r="J561">
        <v>1380.0711670000001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225.877061</v>
      </c>
      <c r="B562" s="1">
        <f>DATE(2010,12,12) + TIME(21,2,58)</f>
        <v>40524.877060185187</v>
      </c>
      <c r="C562">
        <v>80</v>
      </c>
      <c r="D562">
        <v>72.731315613000007</v>
      </c>
      <c r="E562">
        <v>50</v>
      </c>
      <c r="F562">
        <v>49.944923400999997</v>
      </c>
      <c r="G562">
        <v>1298.1995850000001</v>
      </c>
      <c r="H562">
        <v>1285.5167236</v>
      </c>
      <c r="I562">
        <v>1399.8430175999999</v>
      </c>
      <c r="J562">
        <v>1379.9824219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226.98728199999999</v>
      </c>
      <c r="B563" s="1">
        <f>DATE(2010,12,13) + TIME(23,41,41)</f>
        <v>40525.987280092595</v>
      </c>
      <c r="C563">
        <v>80</v>
      </c>
      <c r="D563">
        <v>72.595741271999998</v>
      </c>
      <c r="E563">
        <v>50</v>
      </c>
      <c r="F563">
        <v>49.945022582999997</v>
      </c>
      <c r="G563">
        <v>1298.1195068</v>
      </c>
      <c r="H563">
        <v>1285.4195557</v>
      </c>
      <c r="I563">
        <v>1399.7484131000001</v>
      </c>
      <c r="J563">
        <v>1379.8951416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228.11820299999999</v>
      </c>
      <c r="B564" s="1">
        <f>DATE(2010,12,15) + TIME(2,50,12)</f>
        <v>40527.118194444447</v>
      </c>
      <c r="C564">
        <v>80</v>
      </c>
      <c r="D564">
        <v>72.459503174000005</v>
      </c>
      <c r="E564">
        <v>50</v>
      </c>
      <c r="F564">
        <v>49.945125580000003</v>
      </c>
      <c r="G564">
        <v>1298.0369873</v>
      </c>
      <c r="H564">
        <v>1285.3188477000001</v>
      </c>
      <c r="I564">
        <v>1399.6550293</v>
      </c>
      <c r="J564">
        <v>1379.809082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229.27132599999999</v>
      </c>
      <c r="B565" s="1">
        <f>DATE(2010,12,16) + TIME(6,30,42)</f>
        <v>40528.271319444444</v>
      </c>
      <c r="C565">
        <v>80</v>
      </c>
      <c r="D565">
        <v>72.322341918999996</v>
      </c>
      <c r="E565">
        <v>50</v>
      </c>
      <c r="F565">
        <v>49.945228577000002</v>
      </c>
      <c r="G565">
        <v>1297.9515381000001</v>
      </c>
      <c r="H565">
        <v>1285.2143555</v>
      </c>
      <c r="I565">
        <v>1399.5627440999999</v>
      </c>
      <c r="J565">
        <v>1379.723999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230.45019199999999</v>
      </c>
      <c r="B566" s="1">
        <f>DATE(2010,12,17) + TIME(10,48,16)</f>
        <v>40529.450185185182</v>
      </c>
      <c r="C566">
        <v>80</v>
      </c>
      <c r="D566">
        <v>72.183975219999994</v>
      </c>
      <c r="E566">
        <v>50</v>
      </c>
      <c r="F566">
        <v>49.945331572999997</v>
      </c>
      <c r="G566">
        <v>1297.862793</v>
      </c>
      <c r="H566">
        <v>1285.1057129000001</v>
      </c>
      <c r="I566">
        <v>1399.4714355000001</v>
      </c>
      <c r="J566">
        <v>1379.6397704999999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231.658207</v>
      </c>
      <c r="B567" s="1">
        <f>DATE(2010,12,18) + TIME(15,47,49)</f>
        <v>40530.658206018517</v>
      </c>
      <c r="C567">
        <v>80</v>
      </c>
      <c r="D567">
        <v>72.044059752999999</v>
      </c>
      <c r="E567">
        <v>50</v>
      </c>
      <c r="F567">
        <v>49.945438385000003</v>
      </c>
      <c r="G567">
        <v>1297.7706298999999</v>
      </c>
      <c r="H567">
        <v>1284.9923096</v>
      </c>
      <c r="I567">
        <v>1399.3806152</v>
      </c>
      <c r="J567">
        <v>1379.5562743999999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232.90242799999999</v>
      </c>
      <c r="B568" s="1">
        <f>DATE(2010,12,19) + TIME(21,39,29)</f>
        <v>40531.902418981481</v>
      </c>
      <c r="C568">
        <v>80</v>
      </c>
      <c r="D568">
        <v>71.902076721</v>
      </c>
      <c r="E568">
        <v>50</v>
      </c>
      <c r="F568">
        <v>49.945552825999997</v>
      </c>
      <c r="G568">
        <v>1297.6744385</v>
      </c>
      <c r="H568">
        <v>1284.8735352000001</v>
      </c>
      <c r="I568">
        <v>1399.2904053</v>
      </c>
      <c r="J568">
        <v>1379.4730225000001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234.171289</v>
      </c>
      <c r="B569" s="1">
        <f>DATE(2010,12,21) + TIME(4,6,39)</f>
        <v>40533.171284722222</v>
      </c>
      <c r="C569">
        <v>80</v>
      </c>
      <c r="D569">
        <v>71.758216857999997</v>
      </c>
      <c r="E569">
        <v>50</v>
      </c>
      <c r="F569">
        <v>49.945663451999998</v>
      </c>
      <c r="G569">
        <v>1297.5738524999999</v>
      </c>
      <c r="H569">
        <v>1284.7490233999999</v>
      </c>
      <c r="I569">
        <v>1399.2001952999999</v>
      </c>
      <c r="J569">
        <v>1379.3900146000001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235.45200299999999</v>
      </c>
      <c r="B570" s="1">
        <f>DATE(2010,12,22) + TIME(10,50,53)</f>
        <v>40534.452002314814</v>
      </c>
      <c r="C570">
        <v>80</v>
      </c>
      <c r="D570">
        <v>71.613380432</v>
      </c>
      <c r="E570">
        <v>50</v>
      </c>
      <c r="F570">
        <v>49.945777892999999</v>
      </c>
      <c r="G570">
        <v>1297.4692382999999</v>
      </c>
      <c r="H570">
        <v>1284.6191406</v>
      </c>
      <c r="I570">
        <v>1399.1108397999999</v>
      </c>
      <c r="J570">
        <v>1379.3077393000001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236.74793</v>
      </c>
      <c r="B571" s="1">
        <f>DATE(2010,12,23) + TIME(17,57,1)</f>
        <v>40535.747928240744</v>
      </c>
      <c r="C571">
        <v>80</v>
      </c>
      <c r="D571">
        <v>71.468048096000004</v>
      </c>
      <c r="E571">
        <v>50</v>
      </c>
      <c r="F571">
        <v>49.945892334</v>
      </c>
      <c r="G571">
        <v>1297.3615723</v>
      </c>
      <c r="H571">
        <v>1284.4848632999999</v>
      </c>
      <c r="I571">
        <v>1399.0231934000001</v>
      </c>
      <c r="J571">
        <v>1379.2270507999999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238.063211</v>
      </c>
      <c r="B572" s="1">
        <f>DATE(2010,12,25) + TIME(1,31,1)</f>
        <v>40537.063206018516</v>
      </c>
      <c r="C572">
        <v>80</v>
      </c>
      <c r="D572">
        <v>71.322143554999997</v>
      </c>
      <c r="E572">
        <v>50</v>
      </c>
      <c r="F572">
        <v>49.946006775000001</v>
      </c>
      <c r="G572">
        <v>1297.2504882999999</v>
      </c>
      <c r="H572">
        <v>1284.3458252</v>
      </c>
      <c r="I572">
        <v>1398.9370117000001</v>
      </c>
      <c r="J572">
        <v>1379.1477050999999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239.400136</v>
      </c>
      <c r="B573" s="1">
        <f>DATE(2010,12,26) + TIME(9,36,11)</f>
        <v>40538.400127314817</v>
      </c>
      <c r="C573">
        <v>80</v>
      </c>
      <c r="D573">
        <v>71.175415039000001</v>
      </c>
      <c r="E573">
        <v>50</v>
      </c>
      <c r="F573">
        <v>49.946125031000001</v>
      </c>
      <c r="G573">
        <v>1297.1354980000001</v>
      </c>
      <c r="H573">
        <v>1284.2014160000001</v>
      </c>
      <c r="I573">
        <v>1398.8519286999999</v>
      </c>
      <c r="J573">
        <v>1379.0694579999999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240.76379399999999</v>
      </c>
      <c r="B574" s="1">
        <f>DATE(2010,12,27) + TIME(18,19,51)</f>
        <v>40539.763784722221</v>
      </c>
      <c r="C574">
        <v>80</v>
      </c>
      <c r="D574">
        <v>71.027458190999994</v>
      </c>
      <c r="E574">
        <v>50</v>
      </c>
      <c r="F574">
        <v>49.946247100999997</v>
      </c>
      <c r="G574">
        <v>1297.0163574000001</v>
      </c>
      <c r="H574">
        <v>1284.0511475000001</v>
      </c>
      <c r="I574">
        <v>1398.7679443</v>
      </c>
      <c r="J574">
        <v>1378.9920654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242.15536299999999</v>
      </c>
      <c r="B575" s="1">
        <f>DATE(2010,12,29) + TIME(3,43,43)</f>
        <v>40541.155358796299</v>
      </c>
      <c r="C575">
        <v>80</v>
      </c>
      <c r="D575">
        <v>70.877937317000004</v>
      </c>
      <c r="E575">
        <v>50</v>
      </c>
      <c r="F575">
        <v>49.946369171000001</v>
      </c>
      <c r="G575">
        <v>1296.8924560999999</v>
      </c>
      <c r="H575">
        <v>1283.8944091999999</v>
      </c>
      <c r="I575">
        <v>1398.6845702999999</v>
      </c>
      <c r="J575">
        <v>1378.9152832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243.58270400000001</v>
      </c>
      <c r="B576" s="1">
        <f>DATE(2010,12,30) + TIME(13,59,5)</f>
        <v>40542.582696759258</v>
      </c>
      <c r="C576">
        <v>80</v>
      </c>
      <c r="D576">
        <v>70.726325989000003</v>
      </c>
      <c r="E576">
        <v>50</v>
      </c>
      <c r="F576">
        <v>49.946495056000003</v>
      </c>
      <c r="G576">
        <v>1296.7635498</v>
      </c>
      <c r="H576">
        <v>1283.7307129000001</v>
      </c>
      <c r="I576">
        <v>1398.6018065999999</v>
      </c>
      <c r="J576">
        <v>1378.8391113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245</v>
      </c>
      <c r="B577" s="1">
        <f>DATE(2011,1,1) + TIME(0,0,0)</f>
        <v>40544</v>
      </c>
      <c r="C577">
        <v>80</v>
      </c>
      <c r="D577">
        <v>70.574005127000007</v>
      </c>
      <c r="E577">
        <v>50</v>
      </c>
      <c r="F577">
        <v>49.946617126</v>
      </c>
      <c r="G577">
        <v>1296.6291504000001</v>
      </c>
      <c r="H577">
        <v>1283.5596923999999</v>
      </c>
      <c r="I577">
        <v>1398.5196533000001</v>
      </c>
      <c r="J577">
        <v>1378.7634277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246.45398700000001</v>
      </c>
      <c r="B578" s="1">
        <f>DATE(2011,1,2) + TIME(10,53,44)</f>
        <v>40545.453981481478</v>
      </c>
      <c r="C578">
        <v>80</v>
      </c>
      <c r="D578">
        <v>70.420806885000005</v>
      </c>
      <c r="E578">
        <v>50</v>
      </c>
      <c r="F578">
        <v>49.946746826000002</v>
      </c>
      <c r="G578">
        <v>1296.4919434000001</v>
      </c>
      <c r="H578">
        <v>1283.3840332</v>
      </c>
      <c r="I578">
        <v>1398.4396973</v>
      </c>
      <c r="J578">
        <v>1378.6899414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247.93916100000001</v>
      </c>
      <c r="B579" s="1">
        <f>DATE(2011,1,3) + TIME(22,32,23)</f>
        <v>40546.939155092594</v>
      </c>
      <c r="C579">
        <v>80</v>
      </c>
      <c r="D579">
        <v>70.265586853000002</v>
      </c>
      <c r="E579">
        <v>50</v>
      </c>
      <c r="F579">
        <v>49.946876525999997</v>
      </c>
      <c r="G579">
        <v>1296.3488769999999</v>
      </c>
      <c r="H579">
        <v>1283.2003173999999</v>
      </c>
      <c r="I579">
        <v>1398.3601074000001</v>
      </c>
      <c r="J579">
        <v>1378.6166992000001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249.44384500000001</v>
      </c>
      <c r="B580" s="1">
        <f>DATE(2011,1,5) + TIME(10,39,8)</f>
        <v>40548.443842592591</v>
      </c>
      <c r="C580">
        <v>80</v>
      </c>
      <c r="D580">
        <v>70.108444214000002</v>
      </c>
      <c r="E580">
        <v>50</v>
      </c>
      <c r="F580">
        <v>49.947006225999999</v>
      </c>
      <c r="G580">
        <v>1296.1998291</v>
      </c>
      <c r="H580">
        <v>1283.0084228999999</v>
      </c>
      <c r="I580">
        <v>1398.2811279</v>
      </c>
      <c r="J580">
        <v>1378.5439452999999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250.97489999999999</v>
      </c>
      <c r="B581" s="1">
        <f>DATE(2011,1,6) + TIME(23,23,51)</f>
        <v>40549.974895833337</v>
      </c>
      <c r="C581">
        <v>80</v>
      </c>
      <c r="D581">
        <v>69.949417113999999</v>
      </c>
      <c r="E581">
        <v>50</v>
      </c>
      <c r="F581">
        <v>49.947139739999997</v>
      </c>
      <c r="G581">
        <v>1296.0455322</v>
      </c>
      <c r="H581">
        <v>1282.8089600000001</v>
      </c>
      <c r="I581">
        <v>1398.203125</v>
      </c>
      <c r="J581">
        <v>1378.472168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252.53432000000001</v>
      </c>
      <c r="B582" s="1">
        <f>DATE(2011,1,8) + TIME(12,49,25)</f>
        <v>40551.534317129626</v>
      </c>
      <c r="C582">
        <v>80</v>
      </c>
      <c r="D582">
        <v>69.788047790999997</v>
      </c>
      <c r="E582">
        <v>50</v>
      </c>
      <c r="F582">
        <v>49.947273254000002</v>
      </c>
      <c r="G582">
        <v>1295.885376</v>
      </c>
      <c r="H582">
        <v>1282.6010742000001</v>
      </c>
      <c r="I582">
        <v>1398.1258545000001</v>
      </c>
      <c r="J582">
        <v>1378.401001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254.12527399999999</v>
      </c>
      <c r="B583" s="1">
        <f>DATE(2011,1,10) + TIME(3,0,23)</f>
        <v>40553.1252662037</v>
      </c>
      <c r="C583">
        <v>80</v>
      </c>
      <c r="D583">
        <v>69.624000549000002</v>
      </c>
      <c r="E583">
        <v>50</v>
      </c>
      <c r="F583">
        <v>49.947410583</v>
      </c>
      <c r="G583">
        <v>1295.71875</v>
      </c>
      <c r="H583">
        <v>1282.3841553</v>
      </c>
      <c r="I583">
        <v>1398.0491943</v>
      </c>
      <c r="J583">
        <v>1378.3304443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255.75294099999999</v>
      </c>
      <c r="B584" s="1">
        <f>DATE(2011,1,11) + TIME(18,4,14)</f>
        <v>40554.752939814818</v>
      </c>
      <c r="C584">
        <v>80</v>
      </c>
      <c r="D584">
        <v>69.456710814999994</v>
      </c>
      <c r="E584">
        <v>50</v>
      </c>
      <c r="F584">
        <v>49.947551726999997</v>
      </c>
      <c r="G584">
        <v>1295.5452881000001</v>
      </c>
      <c r="H584">
        <v>1282.1573486</v>
      </c>
      <c r="I584">
        <v>1397.9730225000001</v>
      </c>
      <c r="J584">
        <v>1378.260376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257.411858</v>
      </c>
      <c r="B585" s="1">
        <f>DATE(2011,1,13) + TIME(9,53,4)</f>
        <v>40556.411851851852</v>
      </c>
      <c r="C585">
        <v>80</v>
      </c>
      <c r="D585">
        <v>69.285873413000004</v>
      </c>
      <c r="E585">
        <v>50</v>
      </c>
      <c r="F585">
        <v>49.947692871000001</v>
      </c>
      <c r="G585">
        <v>1295.3642577999999</v>
      </c>
      <c r="H585">
        <v>1281.9199219</v>
      </c>
      <c r="I585">
        <v>1397.8972168</v>
      </c>
      <c r="J585">
        <v>1378.1906738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259.08771300000001</v>
      </c>
      <c r="B586" s="1">
        <f>DATE(2011,1,15) + TIME(2,6,18)</f>
        <v>40558.087708333333</v>
      </c>
      <c r="C586">
        <v>80</v>
      </c>
      <c r="D586">
        <v>69.111877441000004</v>
      </c>
      <c r="E586">
        <v>50</v>
      </c>
      <c r="F586">
        <v>49.947837829999997</v>
      </c>
      <c r="G586">
        <v>1295.1759033000001</v>
      </c>
      <c r="H586">
        <v>1281.6721190999999</v>
      </c>
      <c r="I586">
        <v>1397.8220214999999</v>
      </c>
      <c r="J586">
        <v>1378.1214600000001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260.77985200000001</v>
      </c>
      <c r="B587" s="1">
        <f>DATE(2011,1,16) + TIME(18,42,59)</f>
        <v>40559.779849537037</v>
      </c>
      <c r="C587">
        <v>80</v>
      </c>
      <c r="D587">
        <v>68.935226439999994</v>
      </c>
      <c r="E587">
        <v>50</v>
      </c>
      <c r="F587">
        <v>49.947978972999998</v>
      </c>
      <c r="G587">
        <v>1294.9815673999999</v>
      </c>
      <c r="H587">
        <v>1281.4151611</v>
      </c>
      <c r="I587">
        <v>1397.7479248</v>
      </c>
      <c r="J587">
        <v>1378.0533447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262.49720000000002</v>
      </c>
      <c r="B588" s="1">
        <f>DATE(2011,1,18) + TIME(11,55,58)</f>
        <v>40561.497199074074</v>
      </c>
      <c r="C588">
        <v>80</v>
      </c>
      <c r="D588">
        <v>68.755615234000004</v>
      </c>
      <c r="E588">
        <v>50</v>
      </c>
      <c r="F588">
        <v>49.948123932000001</v>
      </c>
      <c r="G588">
        <v>1294.7808838000001</v>
      </c>
      <c r="H588">
        <v>1281.1490478999999</v>
      </c>
      <c r="I588">
        <v>1397.6750488</v>
      </c>
      <c r="J588">
        <v>1377.9862060999999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264.24103600000001</v>
      </c>
      <c r="B589" s="1">
        <f>DATE(2011,1,20) + TIME(5,47,5)</f>
        <v>40563.241030092591</v>
      </c>
      <c r="C589">
        <v>80</v>
      </c>
      <c r="D589">
        <v>68.572380065999994</v>
      </c>
      <c r="E589">
        <v>50</v>
      </c>
      <c r="F589">
        <v>49.948272705000001</v>
      </c>
      <c r="G589">
        <v>1294.5732422000001</v>
      </c>
      <c r="H589">
        <v>1280.8725586</v>
      </c>
      <c r="I589">
        <v>1397.6029053</v>
      </c>
      <c r="J589">
        <v>1377.9197998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266.01738399999999</v>
      </c>
      <c r="B590" s="1">
        <f>DATE(2011,1,22) + TIME(0,25,1)</f>
        <v>40565.017372685186</v>
      </c>
      <c r="C590">
        <v>80</v>
      </c>
      <c r="D590">
        <v>68.384826660000002</v>
      </c>
      <c r="E590">
        <v>50</v>
      </c>
      <c r="F590">
        <v>49.948421478</v>
      </c>
      <c r="G590">
        <v>1294.3580322</v>
      </c>
      <c r="H590">
        <v>1280.5850829999999</v>
      </c>
      <c r="I590">
        <v>1397.5314940999999</v>
      </c>
      <c r="J590">
        <v>1377.8540039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267.82888000000003</v>
      </c>
      <c r="B591" s="1">
        <f>DATE(2011,1,23) + TIME(19,53,35)</f>
        <v>40566.828877314816</v>
      </c>
      <c r="C591">
        <v>80</v>
      </c>
      <c r="D591">
        <v>68.192138671999999</v>
      </c>
      <c r="E591">
        <v>50</v>
      </c>
      <c r="F591">
        <v>49.948574065999999</v>
      </c>
      <c r="G591">
        <v>1294.1345214999999</v>
      </c>
      <c r="H591">
        <v>1280.2852783000001</v>
      </c>
      <c r="I591">
        <v>1397.4605713000001</v>
      </c>
      <c r="J591">
        <v>1377.7888184000001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269.68087500000001</v>
      </c>
      <c r="B592" s="1">
        <f>DATE(2011,1,25) + TIME(16,20,27)</f>
        <v>40568.680868055555</v>
      </c>
      <c r="C592">
        <v>80</v>
      </c>
      <c r="D592">
        <v>67.993492126000007</v>
      </c>
      <c r="E592">
        <v>50</v>
      </c>
      <c r="F592">
        <v>49.948726653999998</v>
      </c>
      <c r="G592">
        <v>1293.9019774999999</v>
      </c>
      <c r="H592">
        <v>1279.9724120999999</v>
      </c>
      <c r="I592">
        <v>1397.3900146000001</v>
      </c>
      <c r="J592">
        <v>1377.7237548999999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271.55781200000001</v>
      </c>
      <c r="B593" s="1">
        <f>DATE(2011,1,27) + TIME(13,23,14)</f>
        <v>40570.557800925926</v>
      </c>
      <c r="C593">
        <v>80</v>
      </c>
      <c r="D593">
        <v>67.788574218999997</v>
      </c>
      <c r="E593">
        <v>50</v>
      </c>
      <c r="F593">
        <v>49.948883057000003</v>
      </c>
      <c r="G593">
        <v>1293.6599120999999</v>
      </c>
      <c r="H593">
        <v>1279.6455077999999</v>
      </c>
      <c r="I593">
        <v>1397.3198242000001</v>
      </c>
      <c r="J593">
        <v>1377.6591797000001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273.454565</v>
      </c>
      <c r="B594" s="1">
        <f>DATE(2011,1,29) + TIME(10,54,34)</f>
        <v>40572.454560185186</v>
      </c>
      <c r="C594">
        <v>80</v>
      </c>
      <c r="D594">
        <v>67.577789307000003</v>
      </c>
      <c r="E594">
        <v>50</v>
      </c>
      <c r="F594">
        <v>49.949039458999998</v>
      </c>
      <c r="G594">
        <v>1293.4094238</v>
      </c>
      <c r="H594">
        <v>1279.3060303</v>
      </c>
      <c r="I594">
        <v>1397.2502440999999</v>
      </c>
      <c r="J594">
        <v>1377.5950928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275.372522</v>
      </c>
      <c r="B595" s="1">
        <f>DATE(2011,1,31) + TIME(8,56,25)</f>
        <v>40574.372511574074</v>
      </c>
      <c r="C595">
        <v>80</v>
      </c>
      <c r="D595">
        <v>67.361106872999997</v>
      </c>
      <c r="E595">
        <v>50</v>
      </c>
      <c r="F595">
        <v>49.949195862000003</v>
      </c>
      <c r="G595">
        <v>1293.1511230000001</v>
      </c>
      <c r="H595">
        <v>1278.9547118999999</v>
      </c>
      <c r="I595">
        <v>1397.1817627</v>
      </c>
      <c r="J595">
        <v>1377.5319824000001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276</v>
      </c>
      <c r="B596" s="1">
        <f>DATE(2011,2,1) + TIME(0,0,0)</f>
        <v>40575</v>
      </c>
      <c r="C596">
        <v>80</v>
      </c>
      <c r="D596">
        <v>67.223182678000001</v>
      </c>
      <c r="E596">
        <v>50</v>
      </c>
      <c r="F596">
        <v>49.94921875</v>
      </c>
      <c r="G596">
        <v>1292.9195557</v>
      </c>
      <c r="H596">
        <v>1278.6470947</v>
      </c>
      <c r="I596">
        <v>1397.1273193</v>
      </c>
      <c r="J596">
        <v>1377.4822998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277.94965200000001</v>
      </c>
      <c r="B597" s="1">
        <f>DATE(2011,2,2) + TIME(22,47,29)</f>
        <v>40576.949641203704</v>
      </c>
      <c r="C597">
        <v>80</v>
      </c>
      <c r="D597">
        <v>67.044052124000004</v>
      </c>
      <c r="E597">
        <v>50</v>
      </c>
      <c r="F597">
        <v>49.949409484999997</v>
      </c>
      <c r="G597">
        <v>1292.7791748</v>
      </c>
      <c r="H597">
        <v>1278.4418945</v>
      </c>
      <c r="I597">
        <v>1397.0887451000001</v>
      </c>
      <c r="J597">
        <v>1377.4462891000001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279.9436</v>
      </c>
      <c r="B598" s="1">
        <f>DATE(2011,2,4) + TIME(22,38,47)</f>
        <v>40578.943599537037</v>
      </c>
      <c r="C598">
        <v>80</v>
      </c>
      <c r="D598">
        <v>66.824615479000002</v>
      </c>
      <c r="E598">
        <v>50</v>
      </c>
      <c r="F598">
        <v>49.949569701999998</v>
      </c>
      <c r="G598">
        <v>1292.5147704999999</v>
      </c>
      <c r="H598">
        <v>1278.0816649999999</v>
      </c>
      <c r="I598">
        <v>1397.0247803</v>
      </c>
      <c r="J598">
        <v>1377.3873291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281.97570400000001</v>
      </c>
      <c r="B599" s="1">
        <f>DATE(2011,2,6) + TIME(23,25,0)</f>
        <v>40580.975694444445</v>
      </c>
      <c r="C599">
        <v>80</v>
      </c>
      <c r="D599">
        <v>66.585754394999995</v>
      </c>
      <c r="E599">
        <v>50</v>
      </c>
      <c r="F599">
        <v>49.949729918999999</v>
      </c>
      <c r="G599">
        <v>1292.2293701000001</v>
      </c>
      <c r="H599">
        <v>1277.6898193</v>
      </c>
      <c r="I599">
        <v>1396.9584961</v>
      </c>
      <c r="J599">
        <v>1377.3262939000001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284.05134900000002</v>
      </c>
      <c r="B600" s="1">
        <f>DATE(2011,2,9) + TIME(1,13,56)</f>
        <v>40583.051342592589</v>
      </c>
      <c r="C600">
        <v>80</v>
      </c>
      <c r="D600">
        <v>66.333480835000003</v>
      </c>
      <c r="E600">
        <v>50</v>
      </c>
      <c r="F600">
        <v>49.949897765999999</v>
      </c>
      <c r="G600">
        <v>1291.9310303</v>
      </c>
      <c r="H600">
        <v>1277.2777100000001</v>
      </c>
      <c r="I600">
        <v>1396.8920897999999</v>
      </c>
      <c r="J600">
        <v>1377.2652588000001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286.14431300000001</v>
      </c>
      <c r="B601" s="1">
        <f>DATE(2011,2,11) + TIME(3,27,48)</f>
        <v>40585.144305555557</v>
      </c>
      <c r="C601">
        <v>80</v>
      </c>
      <c r="D601">
        <v>66.069648743000002</v>
      </c>
      <c r="E601">
        <v>50</v>
      </c>
      <c r="F601">
        <v>49.950061798</v>
      </c>
      <c r="G601">
        <v>1291.6207274999999</v>
      </c>
      <c r="H601">
        <v>1276.8474120999999</v>
      </c>
      <c r="I601">
        <v>1396.8259277</v>
      </c>
      <c r="J601">
        <v>1377.2042236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288.25398300000001</v>
      </c>
      <c r="B602" s="1">
        <f>DATE(2011,2,13) + TIME(6,5,44)</f>
        <v>40587.253981481481</v>
      </c>
      <c r="C602">
        <v>80</v>
      </c>
      <c r="D602">
        <v>65.795783997000001</v>
      </c>
      <c r="E602">
        <v>50</v>
      </c>
      <c r="F602">
        <v>49.950229645</v>
      </c>
      <c r="G602">
        <v>1291.3016356999999</v>
      </c>
      <c r="H602">
        <v>1276.4031981999999</v>
      </c>
      <c r="I602">
        <v>1396.7606201000001</v>
      </c>
      <c r="J602">
        <v>1377.144043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290.39209599999998</v>
      </c>
      <c r="B603" s="1">
        <f>DATE(2011,2,15) + TIME(9,24,37)</f>
        <v>40589.392094907409</v>
      </c>
      <c r="C603">
        <v>80</v>
      </c>
      <c r="D603">
        <v>65.511505127000007</v>
      </c>
      <c r="E603">
        <v>50</v>
      </c>
      <c r="F603">
        <v>49.950397490999997</v>
      </c>
      <c r="G603">
        <v>1290.9743652</v>
      </c>
      <c r="H603">
        <v>1275.9455565999999</v>
      </c>
      <c r="I603">
        <v>1396.6960449000001</v>
      </c>
      <c r="J603">
        <v>1377.0845947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292.56040999999999</v>
      </c>
      <c r="B604" s="1">
        <f>DATE(2011,2,17) + TIME(13,26,59)</f>
        <v>40591.56040509259</v>
      </c>
      <c r="C604">
        <v>80</v>
      </c>
      <c r="D604">
        <v>65.215385436999995</v>
      </c>
      <c r="E604">
        <v>50</v>
      </c>
      <c r="F604">
        <v>49.950565337999997</v>
      </c>
      <c r="G604">
        <v>1290.6375731999999</v>
      </c>
      <c r="H604">
        <v>1275.4729004000001</v>
      </c>
      <c r="I604">
        <v>1396.6320800999999</v>
      </c>
      <c r="J604">
        <v>1377.0256348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294.76627999999999</v>
      </c>
      <c r="B605" s="1">
        <f>DATE(2011,2,19) + TIME(18,23,26)</f>
        <v>40593.766273148147</v>
      </c>
      <c r="C605">
        <v>80</v>
      </c>
      <c r="D605">
        <v>64.906120299999998</v>
      </c>
      <c r="E605">
        <v>50</v>
      </c>
      <c r="F605">
        <v>49.950736999999997</v>
      </c>
      <c r="G605">
        <v>1290.2907714999999</v>
      </c>
      <c r="H605">
        <v>1274.9842529</v>
      </c>
      <c r="I605">
        <v>1396.5684814000001</v>
      </c>
      <c r="J605">
        <v>1376.9669189000001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297.01215500000001</v>
      </c>
      <c r="B606" s="1">
        <f>DATE(2011,2,22) + TIME(0,17,30)</f>
        <v>40596.012152777781</v>
      </c>
      <c r="C606">
        <v>80</v>
      </c>
      <c r="D606">
        <v>64.582252502000003</v>
      </c>
      <c r="E606">
        <v>50</v>
      </c>
      <c r="F606">
        <v>49.950908661</v>
      </c>
      <c r="G606">
        <v>1289.9327393000001</v>
      </c>
      <c r="H606">
        <v>1274.4780272999999</v>
      </c>
      <c r="I606">
        <v>1396.5051269999999</v>
      </c>
      <c r="J606">
        <v>1376.9085693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299.30468400000001</v>
      </c>
      <c r="B607" s="1">
        <f>DATE(2011,2,24) + TIME(7,18,44)</f>
        <v>40598.304675925923</v>
      </c>
      <c r="C607">
        <v>80</v>
      </c>
      <c r="D607">
        <v>64.242225646999998</v>
      </c>
      <c r="E607">
        <v>50</v>
      </c>
      <c r="F607">
        <v>49.951084137000002</v>
      </c>
      <c r="G607">
        <v>1289.5631103999999</v>
      </c>
      <c r="H607">
        <v>1273.953125</v>
      </c>
      <c r="I607">
        <v>1396.4417725000001</v>
      </c>
      <c r="J607">
        <v>1376.8500977000001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301.620654</v>
      </c>
      <c r="B608" s="1">
        <f>DATE(2011,2,26) + TIME(14,53,44)</f>
        <v>40600.620648148149</v>
      </c>
      <c r="C608">
        <v>80</v>
      </c>
      <c r="D608">
        <v>63.885372162000003</v>
      </c>
      <c r="E608">
        <v>50</v>
      </c>
      <c r="F608">
        <v>49.951259612999998</v>
      </c>
      <c r="G608">
        <v>1289.1810303</v>
      </c>
      <c r="H608">
        <v>1273.4086914</v>
      </c>
      <c r="I608">
        <v>1396.3785399999999</v>
      </c>
      <c r="J608">
        <v>1376.7917480000001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302.81032699999997</v>
      </c>
      <c r="B609" s="1">
        <f>DATE(2011,2,27) + TIME(19,26,52)</f>
        <v>40601.810324074075</v>
      </c>
      <c r="C609">
        <v>80</v>
      </c>
      <c r="D609">
        <v>63.584552764999998</v>
      </c>
      <c r="E609">
        <v>50</v>
      </c>
      <c r="F609">
        <v>49.951332092000001</v>
      </c>
      <c r="G609">
        <v>1288.8120117000001</v>
      </c>
      <c r="H609">
        <v>1272.8927002</v>
      </c>
      <c r="I609">
        <v>1396.3229980000001</v>
      </c>
      <c r="J609">
        <v>1376.7407227000001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304</v>
      </c>
      <c r="B610" s="1">
        <f>DATE(2011,3,1) + TIME(0,0,0)</f>
        <v>40603</v>
      </c>
      <c r="C610">
        <v>80</v>
      </c>
      <c r="D610">
        <v>63.344863891999999</v>
      </c>
      <c r="E610">
        <v>50</v>
      </c>
      <c r="F610">
        <v>49.951427459999998</v>
      </c>
      <c r="G610">
        <v>1288.5812988</v>
      </c>
      <c r="H610">
        <v>1272.5516356999999</v>
      </c>
      <c r="I610">
        <v>1396.2866211</v>
      </c>
      <c r="J610">
        <v>1376.7070312000001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305.66958799999998</v>
      </c>
      <c r="B611" s="1">
        <f>DATE(2011,3,2) + TIME(16,4,12)</f>
        <v>40604.669583333336</v>
      </c>
      <c r="C611">
        <v>80</v>
      </c>
      <c r="D611">
        <v>63.099815368999998</v>
      </c>
      <c r="E611">
        <v>50</v>
      </c>
      <c r="F611">
        <v>49.951560974000003</v>
      </c>
      <c r="G611">
        <v>1288.3590088000001</v>
      </c>
      <c r="H611">
        <v>1272.2220459</v>
      </c>
      <c r="I611">
        <v>1396.2512207</v>
      </c>
      <c r="J611">
        <v>1376.6740723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308.059549</v>
      </c>
      <c r="B612" s="1">
        <f>DATE(2011,3,5) + TIME(1,25,45)</f>
        <v>40607.059548611112</v>
      </c>
      <c r="C612">
        <v>80</v>
      </c>
      <c r="D612">
        <v>62.795600890999999</v>
      </c>
      <c r="E612">
        <v>50</v>
      </c>
      <c r="F612">
        <v>49.951747894</v>
      </c>
      <c r="G612">
        <v>1288.0689697</v>
      </c>
      <c r="H612">
        <v>1271.8007812000001</v>
      </c>
      <c r="I612">
        <v>1396.2056885</v>
      </c>
      <c r="J612">
        <v>1376.6319579999999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310.48183699999998</v>
      </c>
      <c r="B613" s="1">
        <f>DATE(2011,3,7) + TIME(11,33,50)</f>
        <v>40609.481828703705</v>
      </c>
      <c r="C613">
        <v>80</v>
      </c>
      <c r="D613">
        <v>62.400192261000001</v>
      </c>
      <c r="E613">
        <v>50</v>
      </c>
      <c r="F613">
        <v>49.951923370000003</v>
      </c>
      <c r="G613">
        <v>1287.6701660000001</v>
      </c>
      <c r="H613">
        <v>1271.2303466999999</v>
      </c>
      <c r="I613">
        <v>1396.145874</v>
      </c>
      <c r="J613">
        <v>1376.5767822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312.92137500000001</v>
      </c>
      <c r="B614" s="1">
        <f>DATE(2011,3,9) + TIME(22,6,46)</f>
        <v>40611.921365740738</v>
      </c>
      <c r="C614">
        <v>80</v>
      </c>
      <c r="D614">
        <v>61.968460082999997</v>
      </c>
      <c r="E614">
        <v>50</v>
      </c>
      <c r="F614">
        <v>49.952098845999998</v>
      </c>
      <c r="G614">
        <v>1287.2478027</v>
      </c>
      <c r="H614">
        <v>1270.6177978999999</v>
      </c>
      <c r="I614">
        <v>1396.0848389</v>
      </c>
      <c r="J614">
        <v>1376.5203856999999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315.37937199999999</v>
      </c>
      <c r="B615" s="1">
        <f>DATE(2011,3,12) + TIME(9,6,17)</f>
        <v>40614.379363425927</v>
      </c>
      <c r="C615">
        <v>80</v>
      </c>
      <c r="D615">
        <v>61.515323639000002</v>
      </c>
      <c r="E615">
        <v>50</v>
      </c>
      <c r="F615">
        <v>49.952278137</v>
      </c>
      <c r="G615">
        <v>1286.8146973</v>
      </c>
      <c r="H615">
        <v>1269.9855957</v>
      </c>
      <c r="I615">
        <v>1396.0240478999999</v>
      </c>
      <c r="J615">
        <v>1376.4642334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317.85330900000002</v>
      </c>
      <c r="B616" s="1">
        <f>DATE(2011,3,14) + TIME(20,28,45)</f>
        <v>40616.853298611109</v>
      </c>
      <c r="C616">
        <v>80</v>
      </c>
      <c r="D616">
        <v>61.044261931999998</v>
      </c>
      <c r="E616">
        <v>50</v>
      </c>
      <c r="F616">
        <v>49.952457428000002</v>
      </c>
      <c r="G616">
        <v>1286.3736572</v>
      </c>
      <c r="H616">
        <v>1269.3386230000001</v>
      </c>
      <c r="I616">
        <v>1395.9636230000001</v>
      </c>
      <c r="J616">
        <v>1376.4083252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320.342266</v>
      </c>
      <c r="B617" s="1">
        <f>DATE(2011,3,17) + TIME(8,12,51)</f>
        <v>40619.342256944445</v>
      </c>
      <c r="C617">
        <v>80</v>
      </c>
      <c r="D617">
        <v>60.556648254000002</v>
      </c>
      <c r="E617">
        <v>50</v>
      </c>
      <c r="F617">
        <v>49.952632903999998</v>
      </c>
      <c r="G617">
        <v>1285.9261475000001</v>
      </c>
      <c r="H617">
        <v>1268.6790771000001</v>
      </c>
      <c r="I617">
        <v>1395.9035644999999</v>
      </c>
      <c r="J617">
        <v>1376.3526611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322.85162100000002</v>
      </c>
      <c r="B618" s="1">
        <f>DATE(2011,3,19) + TIME(20,26,20)</f>
        <v>40621.851620370369</v>
      </c>
      <c r="C618">
        <v>80</v>
      </c>
      <c r="D618">
        <v>60.052387238000001</v>
      </c>
      <c r="E618">
        <v>50</v>
      </c>
      <c r="F618">
        <v>49.952812195</v>
      </c>
      <c r="G618">
        <v>1285.4726562000001</v>
      </c>
      <c r="H618">
        <v>1268.0076904</v>
      </c>
      <c r="I618">
        <v>1395.8438721</v>
      </c>
      <c r="J618">
        <v>1376.2974853999999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325.37816099999998</v>
      </c>
      <c r="B619" s="1">
        <f>DATE(2011,3,22) + TIME(9,4,33)</f>
        <v>40624.378159722219</v>
      </c>
      <c r="C619">
        <v>80</v>
      </c>
      <c r="D619">
        <v>59.530567169000001</v>
      </c>
      <c r="E619">
        <v>50</v>
      </c>
      <c r="F619">
        <v>49.952991486000002</v>
      </c>
      <c r="G619">
        <v>1285.0130615</v>
      </c>
      <c r="H619">
        <v>1267.3240966999999</v>
      </c>
      <c r="I619">
        <v>1395.7844238</v>
      </c>
      <c r="J619">
        <v>1376.2424315999999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327.92183799999998</v>
      </c>
      <c r="B620" s="1">
        <f>DATE(2011,3,24) + TIME(22,7,26)</f>
        <v>40626.9218287037</v>
      </c>
      <c r="C620">
        <v>80</v>
      </c>
      <c r="D620">
        <v>58.992050171000002</v>
      </c>
      <c r="E620">
        <v>50</v>
      </c>
      <c r="F620">
        <v>49.953166961999997</v>
      </c>
      <c r="G620">
        <v>1284.5482178</v>
      </c>
      <c r="H620">
        <v>1266.6293945</v>
      </c>
      <c r="I620">
        <v>1395.7253418</v>
      </c>
      <c r="J620">
        <v>1376.1876221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330.48936900000001</v>
      </c>
      <c r="B621" s="1">
        <f>DATE(2011,3,27) + TIME(11,44,41)</f>
        <v>40629.489363425928</v>
      </c>
      <c r="C621">
        <v>80</v>
      </c>
      <c r="D621">
        <v>58.437187195</v>
      </c>
      <c r="E621">
        <v>50</v>
      </c>
      <c r="F621">
        <v>49.953346252000003</v>
      </c>
      <c r="G621">
        <v>1284.0782471</v>
      </c>
      <c r="H621">
        <v>1265.9238281</v>
      </c>
      <c r="I621">
        <v>1395.6665039</v>
      </c>
      <c r="J621">
        <v>1376.1329346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333.08256999999998</v>
      </c>
      <c r="B622" s="1">
        <f>DATE(2011,3,30) + TIME(1,58,54)</f>
        <v>40632.082569444443</v>
      </c>
      <c r="C622">
        <v>80</v>
      </c>
      <c r="D622">
        <v>57.865203856999997</v>
      </c>
      <c r="E622">
        <v>50</v>
      </c>
      <c r="F622">
        <v>49.953525542999998</v>
      </c>
      <c r="G622">
        <v>1283.6029053</v>
      </c>
      <c r="H622">
        <v>1265.2067870999999</v>
      </c>
      <c r="I622">
        <v>1395.6076660000001</v>
      </c>
      <c r="J622">
        <v>1376.0783690999999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335</v>
      </c>
      <c r="B623" s="1">
        <f>DATE(2011,4,1) + TIME(0,0,0)</f>
        <v>40634</v>
      </c>
      <c r="C623">
        <v>80</v>
      </c>
      <c r="D623">
        <v>57.319419861</v>
      </c>
      <c r="E623">
        <v>50</v>
      </c>
      <c r="F623">
        <v>49.953647613999998</v>
      </c>
      <c r="G623">
        <v>1283.1312256000001</v>
      </c>
      <c r="H623">
        <v>1264.5021973</v>
      </c>
      <c r="I623">
        <v>1395.5524902</v>
      </c>
      <c r="J623">
        <v>1376.0272216999999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337.62085000000002</v>
      </c>
      <c r="B624" s="1">
        <f>DATE(2011,4,3) + TIME(14,54,1)</f>
        <v>40636.620844907404</v>
      </c>
      <c r="C624">
        <v>80</v>
      </c>
      <c r="D624">
        <v>56.808448792</v>
      </c>
      <c r="E624">
        <v>50</v>
      </c>
      <c r="F624">
        <v>49.953834534000002</v>
      </c>
      <c r="G624">
        <v>1282.7530518000001</v>
      </c>
      <c r="H624">
        <v>1263.9085693</v>
      </c>
      <c r="I624">
        <v>1395.5039062000001</v>
      </c>
      <c r="J624">
        <v>1375.9818115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340.29070000000002</v>
      </c>
      <c r="B625" s="1">
        <f>DATE(2011,4,6) + TIME(6,58,36)</f>
        <v>40639.290694444448</v>
      </c>
      <c r="C625">
        <v>80</v>
      </c>
      <c r="D625">
        <v>56.213062286000003</v>
      </c>
      <c r="E625">
        <v>50</v>
      </c>
      <c r="F625">
        <v>49.954013824</v>
      </c>
      <c r="G625">
        <v>1282.277832</v>
      </c>
      <c r="H625">
        <v>1263.1877440999999</v>
      </c>
      <c r="I625">
        <v>1395.4465332</v>
      </c>
      <c r="J625">
        <v>1375.9284668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342.99241699999999</v>
      </c>
      <c r="B626" s="1">
        <f>DATE(2011,4,8) + TIME(23,49,4)</f>
        <v>40641.992407407408</v>
      </c>
      <c r="C626">
        <v>80</v>
      </c>
      <c r="D626">
        <v>55.583911895999996</v>
      </c>
      <c r="E626">
        <v>50</v>
      </c>
      <c r="F626">
        <v>49.954193115000002</v>
      </c>
      <c r="G626">
        <v>1281.7866211</v>
      </c>
      <c r="H626">
        <v>1262.4346923999999</v>
      </c>
      <c r="I626">
        <v>1395.3876952999999</v>
      </c>
      <c r="J626">
        <v>1375.8736572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345.72247700000003</v>
      </c>
      <c r="B627" s="1">
        <f>DATE(2011,4,11) + TIME(17,20,22)</f>
        <v>40644.72247685185</v>
      </c>
      <c r="C627">
        <v>80</v>
      </c>
      <c r="D627">
        <v>54.935653686999999</v>
      </c>
      <c r="E627">
        <v>50</v>
      </c>
      <c r="F627">
        <v>49.954372405999997</v>
      </c>
      <c r="G627">
        <v>1281.2890625</v>
      </c>
      <c r="H627">
        <v>1261.6668701000001</v>
      </c>
      <c r="I627">
        <v>1395.3283690999999</v>
      </c>
      <c r="J627">
        <v>1375.8183594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348.480321</v>
      </c>
      <c r="B628" s="1">
        <f>DATE(2011,4,14) + TIME(11,31,39)</f>
        <v>40647.480312500003</v>
      </c>
      <c r="C628">
        <v>80</v>
      </c>
      <c r="D628">
        <v>54.272766113000003</v>
      </c>
      <c r="E628">
        <v>50</v>
      </c>
      <c r="F628">
        <v>49.954551696999999</v>
      </c>
      <c r="G628">
        <v>1280.7879639</v>
      </c>
      <c r="H628">
        <v>1260.8892822</v>
      </c>
      <c r="I628">
        <v>1395.2686768000001</v>
      </c>
      <c r="J628">
        <v>1375.7626952999999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351.27288700000003</v>
      </c>
      <c r="B629" s="1">
        <f>DATE(2011,4,17) + TIME(6,32,57)</f>
        <v>40650.272881944446</v>
      </c>
      <c r="C629">
        <v>80</v>
      </c>
      <c r="D629">
        <v>53.596961974999999</v>
      </c>
      <c r="E629">
        <v>50</v>
      </c>
      <c r="F629">
        <v>49.954734801999997</v>
      </c>
      <c r="G629">
        <v>1280.2843018000001</v>
      </c>
      <c r="H629">
        <v>1260.1037598</v>
      </c>
      <c r="I629">
        <v>1395.2087402</v>
      </c>
      <c r="J629">
        <v>1375.7066649999999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354.10747400000002</v>
      </c>
      <c r="B630" s="1">
        <f>DATE(2011,4,20) + TIME(2,34,45)</f>
        <v>40653.107465277775</v>
      </c>
      <c r="C630">
        <v>80</v>
      </c>
      <c r="D630">
        <v>52.908332825000002</v>
      </c>
      <c r="E630">
        <v>50</v>
      </c>
      <c r="F630">
        <v>49.954917907999999</v>
      </c>
      <c r="G630">
        <v>1279.7781981999999</v>
      </c>
      <c r="H630">
        <v>1259.3099365</v>
      </c>
      <c r="I630">
        <v>1395.1484375</v>
      </c>
      <c r="J630">
        <v>1375.6502685999999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356.99218000000002</v>
      </c>
      <c r="B631" s="1">
        <f>DATE(2011,4,22) + TIME(23,48,44)</f>
        <v>40655.992175925923</v>
      </c>
      <c r="C631">
        <v>80</v>
      </c>
      <c r="D631">
        <v>52.206687926999997</v>
      </c>
      <c r="E631">
        <v>50</v>
      </c>
      <c r="F631">
        <v>49.955101012999997</v>
      </c>
      <c r="G631">
        <v>1279.2689209</v>
      </c>
      <c r="H631">
        <v>1258.5072021000001</v>
      </c>
      <c r="I631">
        <v>1395.0874022999999</v>
      </c>
      <c r="J631">
        <v>1375.5931396000001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359.91809000000001</v>
      </c>
      <c r="B632" s="1">
        <f>DATE(2011,4,25) + TIME(22,2,2)</f>
        <v>40658.918078703704</v>
      </c>
      <c r="C632">
        <v>80</v>
      </c>
      <c r="D632">
        <v>51.492725372000002</v>
      </c>
      <c r="E632">
        <v>50</v>
      </c>
      <c r="F632">
        <v>49.955284118999998</v>
      </c>
      <c r="G632">
        <v>1278.7563477000001</v>
      </c>
      <c r="H632">
        <v>1257.6951904</v>
      </c>
      <c r="I632">
        <v>1395.0256348</v>
      </c>
      <c r="J632">
        <v>1375.5352783000001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362.88184200000001</v>
      </c>
      <c r="B633" s="1">
        <f>DATE(2011,4,28) + TIME(21,9,51)</f>
        <v>40661.881840277776</v>
      </c>
      <c r="C633">
        <v>80</v>
      </c>
      <c r="D633">
        <v>50.769027710000003</v>
      </c>
      <c r="E633">
        <v>50</v>
      </c>
      <c r="F633">
        <v>49.955471039000003</v>
      </c>
      <c r="G633">
        <v>1278.2427978999999</v>
      </c>
      <c r="H633">
        <v>1256.8770752</v>
      </c>
      <c r="I633">
        <v>1394.9633789</v>
      </c>
      <c r="J633">
        <v>1375.4768065999999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365</v>
      </c>
      <c r="B634" s="1">
        <f>DATE(2011,5,1) + TIME(0,0,0)</f>
        <v>40664</v>
      </c>
      <c r="C634">
        <v>80</v>
      </c>
      <c r="D634">
        <v>50.091785430999998</v>
      </c>
      <c r="E634">
        <v>50</v>
      </c>
      <c r="F634">
        <v>49.955593108999999</v>
      </c>
      <c r="G634">
        <v>1277.7376709</v>
      </c>
      <c r="H634">
        <v>1256.0847168</v>
      </c>
      <c r="I634">
        <v>1394.9055175999999</v>
      </c>
      <c r="J634">
        <v>1375.4227295000001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365.000001</v>
      </c>
      <c r="B635" s="1">
        <f>DATE(2011,5,1) + TIME(0,0,0)</f>
        <v>40664</v>
      </c>
      <c r="C635">
        <v>80</v>
      </c>
      <c r="D635">
        <v>50.091846466</v>
      </c>
      <c r="E635">
        <v>50</v>
      </c>
      <c r="F635">
        <v>49.955577849999997</v>
      </c>
      <c r="G635">
        <v>1300.1427002</v>
      </c>
      <c r="H635">
        <v>1277.7489014</v>
      </c>
      <c r="I635">
        <v>1375.4128418</v>
      </c>
      <c r="J635">
        <v>1356.5527344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365.00000399999999</v>
      </c>
      <c r="B636" s="1">
        <f>DATE(2011,5,1) + TIME(0,0,0)</f>
        <v>40664</v>
      </c>
      <c r="C636">
        <v>80</v>
      </c>
      <c r="D636">
        <v>50.092029572000001</v>
      </c>
      <c r="E636">
        <v>50</v>
      </c>
      <c r="F636">
        <v>49.955532073999997</v>
      </c>
      <c r="G636">
        <v>1300.1726074000001</v>
      </c>
      <c r="H636">
        <v>1277.7827147999999</v>
      </c>
      <c r="I636">
        <v>1375.3834228999999</v>
      </c>
      <c r="J636">
        <v>1356.5231934000001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365.00001300000002</v>
      </c>
      <c r="B637" s="1">
        <f>DATE(2011,5,1) + TIME(0,0,1)</f>
        <v>40664.000011574077</v>
      </c>
      <c r="C637">
        <v>80</v>
      </c>
      <c r="D637">
        <v>50.092582702999998</v>
      </c>
      <c r="E637">
        <v>50</v>
      </c>
      <c r="F637">
        <v>49.955394745</v>
      </c>
      <c r="G637">
        <v>1300.2617187999999</v>
      </c>
      <c r="H637">
        <v>1277.8837891000001</v>
      </c>
      <c r="I637">
        <v>1375.2955322</v>
      </c>
      <c r="J637">
        <v>1356.4351807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365.00004000000001</v>
      </c>
      <c r="B638" s="1">
        <f>DATE(2011,5,1) + TIME(0,0,3)</f>
        <v>40664.000034722223</v>
      </c>
      <c r="C638">
        <v>80</v>
      </c>
      <c r="D638">
        <v>50.094230652</v>
      </c>
      <c r="E638">
        <v>50</v>
      </c>
      <c r="F638">
        <v>49.954978943</v>
      </c>
      <c r="G638">
        <v>1300.5262451000001</v>
      </c>
      <c r="H638">
        <v>1278.1829834</v>
      </c>
      <c r="I638">
        <v>1375.0351562000001</v>
      </c>
      <c r="J638">
        <v>1356.1745605000001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365.00012099999998</v>
      </c>
      <c r="B639" s="1">
        <f>DATE(2011,5,1) + TIME(0,0,10)</f>
        <v>40664.000115740739</v>
      </c>
      <c r="C639">
        <v>80</v>
      </c>
      <c r="D639">
        <v>50.099105835000003</v>
      </c>
      <c r="E639">
        <v>50</v>
      </c>
      <c r="F639">
        <v>49.953784943000002</v>
      </c>
      <c r="G639">
        <v>1301.2939452999999</v>
      </c>
      <c r="H639">
        <v>1279.0466309000001</v>
      </c>
      <c r="I639">
        <v>1374.2822266000001</v>
      </c>
      <c r="J639">
        <v>1355.4208983999999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365.00036399999999</v>
      </c>
      <c r="B640" s="1">
        <f>DATE(2011,5,1) + TIME(0,0,31)</f>
        <v>40664.000358796293</v>
      </c>
      <c r="C640">
        <v>80</v>
      </c>
      <c r="D640">
        <v>50.113239288000003</v>
      </c>
      <c r="E640">
        <v>50</v>
      </c>
      <c r="F640">
        <v>49.950553894000002</v>
      </c>
      <c r="G640">
        <v>1303.3916016000001</v>
      </c>
      <c r="H640">
        <v>1281.3731689000001</v>
      </c>
      <c r="I640">
        <v>1372.2449951000001</v>
      </c>
      <c r="J640">
        <v>1353.3817139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365.00109300000003</v>
      </c>
      <c r="B641" s="1">
        <f>DATE(2011,5,1) + TIME(0,1,34)</f>
        <v>40664.001087962963</v>
      </c>
      <c r="C641">
        <v>80</v>
      </c>
      <c r="D641">
        <v>50.152687073000003</v>
      </c>
      <c r="E641">
        <v>50</v>
      </c>
      <c r="F641">
        <v>49.943065642999997</v>
      </c>
      <c r="G641">
        <v>1308.3546143000001</v>
      </c>
      <c r="H641">
        <v>1286.713501</v>
      </c>
      <c r="I641">
        <v>1367.5345459</v>
      </c>
      <c r="J641">
        <v>1348.6674805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365.00328000000002</v>
      </c>
      <c r="B642" s="1">
        <f>DATE(2011,5,1) + TIME(0,4,43)</f>
        <v>40664.003275462965</v>
      </c>
      <c r="C642">
        <v>80</v>
      </c>
      <c r="D642">
        <v>50.259616852000001</v>
      </c>
      <c r="E642">
        <v>50</v>
      </c>
      <c r="F642">
        <v>49.929859161000003</v>
      </c>
      <c r="G642">
        <v>1317.3538818</v>
      </c>
      <c r="H642">
        <v>1295.9940185999999</v>
      </c>
      <c r="I642">
        <v>1359.300293</v>
      </c>
      <c r="J642">
        <v>1340.4300536999999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365.00984099999999</v>
      </c>
      <c r="B643" s="1">
        <f>DATE(2011,5,1) + TIME(0,14,10)</f>
        <v>40664.009837962964</v>
      </c>
      <c r="C643">
        <v>80</v>
      </c>
      <c r="D643">
        <v>50.552200317</v>
      </c>
      <c r="E643">
        <v>50</v>
      </c>
      <c r="F643">
        <v>49.912441254000001</v>
      </c>
      <c r="G643">
        <v>1329.1282959</v>
      </c>
      <c r="H643">
        <v>1307.8115233999999</v>
      </c>
      <c r="I643">
        <v>1348.8431396000001</v>
      </c>
      <c r="J643">
        <v>1329.9754639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365.02952399999998</v>
      </c>
      <c r="B644" s="1">
        <f>DATE(2011,5,1) + TIME(0,42,30)</f>
        <v>40664.029513888891</v>
      </c>
      <c r="C644">
        <v>80</v>
      </c>
      <c r="D644">
        <v>51.373680114999999</v>
      </c>
      <c r="E644">
        <v>50</v>
      </c>
      <c r="F644">
        <v>49.892208099000001</v>
      </c>
      <c r="G644">
        <v>1341.480957</v>
      </c>
      <c r="H644">
        <v>1320.3074951000001</v>
      </c>
      <c r="I644">
        <v>1337.8905029</v>
      </c>
      <c r="J644">
        <v>1319.0324707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365.05122599999999</v>
      </c>
      <c r="B645" s="1">
        <f>DATE(2011,5,1) + TIME(1,13,45)</f>
        <v>40664.051215277781</v>
      </c>
      <c r="C645">
        <v>80</v>
      </c>
      <c r="D645">
        <v>52.243671417000002</v>
      </c>
      <c r="E645">
        <v>50</v>
      </c>
      <c r="F645">
        <v>49.879104613999999</v>
      </c>
      <c r="G645">
        <v>1348.3201904</v>
      </c>
      <c r="H645">
        <v>1327.3488769999999</v>
      </c>
      <c r="I645">
        <v>1331.7613524999999</v>
      </c>
      <c r="J645">
        <v>1312.9113769999999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365.07362999999998</v>
      </c>
      <c r="B646" s="1">
        <f>DATE(2011,5,1) + TIME(1,46,1)</f>
        <v>40664.073622685188</v>
      </c>
      <c r="C646">
        <v>80</v>
      </c>
      <c r="D646">
        <v>53.111869812000002</v>
      </c>
      <c r="E646">
        <v>50</v>
      </c>
      <c r="F646">
        <v>49.869121552000003</v>
      </c>
      <c r="G646">
        <v>1352.7570800999999</v>
      </c>
      <c r="H646">
        <v>1332.0074463000001</v>
      </c>
      <c r="I646">
        <v>1327.7275391000001</v>
      </c>
      <c r="J646">
        <v>1308.8835449000001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365.09662200000002</v>
      </c>
      <c r="B647" s="1">
        <f>DATE(2011,5,1) + TIME(2,19,8)</f>
        <v>40664.096620370372</v>
      </c>
      <c r="C647">
        <v>80</v>
      </c>
      <c r="D647">
        <v>53.974338531000001</v>
      </c>
      <c r="E647">
        <v>50</v>
      </c>
      <c r="F647">
        <v>49.860660553000002</v>
      </c>
      <c r="G647">
        <v>1355.9976807</v>
      </c>
      <c r="H647">
        <v>1335.4738769999999</v>
      </c>
      <c r="I647">
        <v>1324.7407227000001</v>
      </c>
      <c r="J647">
        <v>1305.9008789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365.12017400000002</v>
      </c>
      <c r="B648" s="1">
        <f>DATE(2011,5,1) + TIME(2,53,3)</f>
        <v>40664.120173611111</v>
      </c>
      <c r="C648">
        <v>80</v>
      </c>
      <c r="D648">
        <v>54.829593658</v>
      </c>
      <c r="E648">
        <v>50</v>
      </c>
      <c r="F648">
        <v>49.853065491000002</v>
      </c>
      <c r="G648">
        <v>1358.5426024999999</v>
      </c>
      <c r="H648">
        <v>1338.2432861</v>
      </c>
      <c r="I648">
        <v>1322.3653564000001</v>
      </c>
      <c r="J648">
        <v>1303.5275879000001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365.14428700000002</v>
      </c>
      <c r="B649" s="1">
        <f>DATE(2011,5,1) + TIME(3,27,46)</f>
        <v>40664.144282407404</v>
      </c>
      <c r="C649">
        <v>80</v>
      </c>
      <c r="D649">
        <v>55.676864623999997</v>
      </c>
      <c r="E649">
        <v>50</v>
      </c>
      <c r="F649">
        <v>49.846004485999998</v>
      </c>
      <c r="G649">
        <v>1360.6392822</v>
      </c>
      <c r="H649">
        <v>1340.5607910000001</v>
      </c>
      <c r="I649">
        <v>1320.3848877</v>
      </c>
      <c r="J649">
        <v>1301.5477295000001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365.16897299999999</v>
      </c>
      <c r="B650" s="1">
        <f>DATE(2011,5,1) + TIME(4,3,19)</f>
        <v>40664.168969907405</v>
      </c>
      <c r="C650">
        <v>80</v>
      </c>
      <c r="D650">
        <v>56.515640259000001</v>
      </c>
      <c r="E650">
        <v>50</v>
      </c>
      <c r="F650">
        <v>49.839286803999997</v>
      </c>
      <c r="G650">
        <v>1362.4255370999999</v>
      </c>
      <c r="H650">
        <v>1342.5632324000001</v>
      </c>
      <c r="I650">
        <v>1318.6782227000001</v>
      </c>
      <c r="J650">
        <v>1299.8399658000001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365.19421899999998</v>
      </c>
      <c r="B651" s="1">
        <f>DATE(2011,5,1) + TIME(4,39,40)</f>
        <v>40664.194212962961</v>
      </c>
      <c r="C651">
        <v>80</v>
      </c>
      <c r="D651">
        <v>57.344493866000001</v>
      </c>
      <c r="E651">
        <v>50</v>
      </c>
      <c r="F651">
        <v>49.832809447999999</v>
      </c>
      <c r="G651">
        <v>1363.9840088000001</v>
      </c>
      <c r="H651">
        <v>1344.3320312000001</v>
      </c>
      <c r="I651">
        <v>1317.1723632999999</v>
      </c>
      <c r="J651">
        <v>1298.3317870999999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365.22003599999999</v>
      </c>
      <c r="B652" s="1">
        <f>DATE(2011,5,1) + TIME(5,16,51)</f>
        <v>40664.220034722224</v>
      </c>
      <c r="C652">
        <v>80</v>
      </c>
      <c r="D652">
        <v>58.162891387999998</v>
      </c>
      <c r="E652">
        <v>50</v>
      </c>
      <c r="F652">
        <v>49.826496124000002</v>
      </c>
      <c r="G652">
        <v>1365.3692627</v>
      </c>
      <c r="H652">
        <v>1345.9216309000001</v>
      </c>
      <c r="I652">
        <v>1315.8188477000001</v>
      </c>
      <c r="J652">
        <v>1296.9748535000001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365.24644799999999</v>
      </c>
      <c r="B653" s="1">
        <f>DATE(2011,5,1) + TIME(5,54,53)</f>
        <v>40664.246446759258</v>
      </c>
      <c r="C653">
        <v>80</v>
      </c>
      <c r="D653">
        <v>58.970546722000002</v>
      </c>
      <c r="E653">
        <v>50</v>
      </c>
      <c r="F653">
        <v>49.820289612000003</v>
      </c>
      <c r="G653">
        <v>1366.6188964999999</v>
      </c>
      <c r="H653">
        <v>1347.3692627</v>
      </c>
      <c r="I653">
        <v>1314.5842285000001</v>
      </c>
      <c r="J653">
        <v>1295.7357178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365.27347900000001</v>
      </c>
      <c r="B654" s="1">
        <f>DATE(2011,5,1) + TIME(6,33,48)</f>
        <v>40664.273472222223</v>
      </c>
      <c r="C654">
        <v>80</v>
      </c>
      <c r="D654">
        <v>59.767208099000001</v>
      </c>
      <c r="E654">
        <v>50</v>
      </c>
      <c r="F654">
        <v>49.814151764000002</v>
      </c>
      <c r="G654">
        <v>1367.7598877</v>
      </c>
      <c r="H654">
        <v>1348.7019043</v>
      </c>
      <c r="I654">
        <v>1313.4445800999999</v>
      </c>
      <c r="J654">
        <v>1294.5909423999999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365.30115699999999</v>
      </c>
      <c r="B655" s="1">
        <f>DATE(2011,5,1) + TIME(7,13,39)</f>
        <v>40664.301145833335</v>
      </c>
      <c r="C655">
        <v>80</v>
      </c>
      <c r="D655">
        <v>60.552284241000002</v>
      </c>
      <c r="E655">
        <v>50</v>
      </c>
      <c r="F655">
        <v>49.808052062999998</v>
      </c>
      <c r="G655">
        <v>1368.8115233999999</v>
      </c>
      <c r="H655">
        <v>1349.9388428</v>
      </c>
      <c r="I655">
        <v>1312.3824463000001</v>
      </c>
      <c r="J655">
        <v>1293.5233154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365.32951200000002</v>
      </c>
      <c r="B656" s="1">
        <f>DATE(2011,5,1) + TIME(7,54,29)</f>
        <v>40664.329502314817</v>
      </c>
      <c r="C656">
        <v>80</v>
      </c>
      <c r="D656">
        <v>61.325683593999997</v>
      </c>
      <c r="E656">
        <v>50</v>
      </c>
      <c r="F656">
        <v>49.801971436000002</v>
      </c>
      <c r="G656">
        <v>1369.7886963000001</v>
      </c>
      <c r="H656">
        <v>1351.0950928</v>
      </c>
      <c r="I656">
        <v>1311.3852539</v>
      </c>
      <c r="J656">
        <v>1292.5201416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365.35857399999998</v>
      </c>
      <c r="B657" s="1">
        <f>DATE(2011,5,1) + TIME(8,36,20)</f>
        <v>40664.358564814815</v>
      </c>
      <c r="C657">
        <v>80</v>
      </c>
      <c r="D657">
        <v>62.087337494000003</v>
      </c>
      <c r="E657">
        <v>50</v>
      </c>
      <c r="F657">
        <v>49.795883179</v>
      </c>
      <c r="G657">
        <v>1370.7025146000001</v>
      </c>
      <c r="H657">
        <v>1352.1818848</v>
      </c>
      <c r="I657">
        <v>1310.4428711</v>
      </c>
      <c r="J657">
        <v>1291.5717772999999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365.38838500000003</v>
      </c>
      <c r="B658" s="1">
        <f>DATE(2011,5,1) + TIME(9,19,16)</f>
        <v>40664.388379629629</v>
      </c>
      <c r="C658">
        <v>80</v>
      </c>
      <c r="D658">
        <v>62.837146758999999</v>
      </c>
      <c r="E658">
        <v>50</v>
      </c>
      <c r="F658">
        <v>49.789779662999997</v>
      </c>
      <c r="G658">
        <v>1371.5622559000001</v>
      </c>
      <c r="H658">
        <v>1353.2084961</v>
      </c>
      <c r="I658">
        <v>1309.5476074000001</v>
      </c>
      <c r="J658">
        <v>1290.6701660000001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365.41898600000002</v>
      </c>
      <c r="B659" s="1">
        <f>DATE(2011,5,1) + TIME(10,3,20)</f>
        <v>40664.418981481482</v>
      </c>
      <c r="C659">
        <v>80</v>
      </c>
      <c r="D659">
        <v>63.574913025000001</v>
      </c>
      <c r="E659">
        <v>50</v>
      </c>
      <c r="F659">
        <v>49.783641815000003</v>
      </c>
      <c r="G659">
        <v>1372.375</v>
      </c>
      <c r="H659">
        <v>1354.1823730000001</v>
      </c>
      <c r="I659">
        <v>1308.6931152</v>
      </c>
      <c r="J659">
        <v>1289.8096923999999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365.45041800000001</v>
      </c>
      <c r="B660" s="1">
        <f>DATE(2011,5,1) + TIME(10,48,36)</f>
        <v>40664.450416666667</v>
      </c>
      <c r="C660">
        <v>80</v>
      </c>
      <c r="D660">
        <v>64.300430297999995</v>
      </c>
      <c r="E660">
        <v>50</v>
      </c>
      <c r="F660">
        <v>49.777454376000001</v>
      </c>
      <c r="G660">
        <v>1373.1463623</v>
      </c>
      <c r="H660">
        <v>1355.1092529</v>
      </c>
      <c r="I660">
        <v>1307.8747559000001</v>
      </c>
      <c r="J660">
        <v>1288.9852295000001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365.48272900000001</v>
      </c>
      <c r="B661" s="1">
        <f>DATE(2011,5,1) + TIME(11,35,7)</f>
        <v>40664.482719907406</v>
      </c>
      <c r="C661">
        <v>80</v>
      </c>
      <c r="D661">
        <v>65.013496399000005</v>
      </c>
      <c r="E661">
        <v>50</v>
      </c>
      <c r="F661">
        <v>49.771209716999998</v>
      </c>
      <c r="G661">
        <v>1373.8813477000001</v>
      </c>
      <c r="H661">
        <v>1355.9941406</v>
      </c>
      <c r="I661">
        <v>1307.0883789</v>
      </c>
      <c r="J661">
        <v>1288.1928711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365.51597099999998</v>
      </c>
      <c r="B662" s="1">
        <f>DATE(2011,5,1) + TIME(12,22,59)</f>
        <v>40664.515960648147</v>
      </c>
      <c r="C662">
        <v>80</v>
      </c>
      <c r="D662">
        <v>65.714042664000004</v>
      </c>
      <c r="E662">
        <v>50</v>
      </c>
      <c r="F662">
        <v>49.764892578000001</v>
      </c>
      <c r="G662">
        <v>1374.5838623</v>
      </c>
      <c r="H662">
        <v>1356.8414307</v>
      </c>
      <c r="I662">
        <v>1306.3306885</v>
      </c>
      <c r="J662">
        <v>1287.4294434000001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365.55019900000002</v>
      </c>
      <c r="B663" s="1">
        <f>DATE(2011,5,1) + TIME(13,12,17)</f>
        <v>40664.550196759257</v>
      </c>
      <c r="C663">
        <v>80</v>
      </c>
      <c r="D663">
        <v>66.401695251000007</v>
      </c>
      <c r="E663">
        <v>50</v>
      </c>
      <c r="F663">
        <v>49.758495330999999</v>
      </c>
      <c r="G663">
        <v>1375.2572021000001</v>
      </c>
      <c r="H663">
        <v>1357.6542969</v>
      </c>
      <c r="I663">
        <v>1305.5987548999999</v>
      </c>
      <c r="J663">
        <v>1286.6920166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365.58547299999998</v>
      </c>
      <c r="B664" s="1">
        <f>DATE(2011,5,1) + TIME(14,3,4)</f>
        <v>40664.585462962961</v>
      </c>
      <c r="C664">
        <v>80</v>
      </c>
      <c r="D664">
        <v>67.076225281000006</v>
      </c>
      <c r="E664">
        <v>50</v>
      </c>
      <c r="F664">
        <v>49.752006530999999</v>
      </c>
      <c r="G664">
        <v>1375.9045410000001</v>
      </c>
      <c r="H664">
        <v>1358.4360352000001</v>
      </c>
      <c r="I664">
        <v>1304.8903809000001</v>
      </c>
      <c r="J664">
        <v>1285.9781493999999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365.62186000000003</v>
      </c>
      <c r="B665" s="1">
        <f>DATE(2011,5,1) + TIME(14,55,28)</f>
        <v>40664.621851851851</v>
      </c>
      <c r="C665">
        <v>80</v>
      </c>
      <c r="D665">
        <v>67.737380981000001</v>
      </c>
      <c r="E665">
        <v>50</v>
      </c>
      <c r="F665">
        <v>49.745414734000001</v>
      </c>
      <c r="G665">
        <v>1376.5280762</v>
      </c>
      <c r="H665">
        <v>1359.1893310999999</v>
      </c>
      <c r="I665">
        <v>1304.2032471</v>
      </c>
      <c r="J665">
        <v>1285.2857666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365.65943499999997</v>
      </c>
      <c r="B666" s="1">
        <f>DATE(2011,5,1) + TIME(15,49,35)</f>
        <v>40664.659432870372</v>
      </c>
      <c r="C666">
        <v>80</v>
      </c>
      <c r="D666">
        <v>68.384971618999998</v>
      </c>
      <c r="E666">
        <v>50</v>
      </c>
      <c r="F666">
        <v>49.738708496000001</v>
      </c>
      <c r="G666">
        <v>1377.130249</v>
      </c>
      <c r="H666">
        <v>1359.9165039</v>
      </c>
      <c r="I666">
        <v>1303.5355225000001</v>
      </c>
      <c r="J666">
        <v>1284.6131591999999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365.69829199999998</v>
      </c>
      <c r="B667" s="1">
        <f>DATE(2011,5,1) + TIME(16,45,32)</f>
        <v>40664.698287037034</v>
      </c>
      <c r="C667">
        <v>80</v>
      </c>
      <c r="D667">
        <v>69.018936156999999</v>
      </c>
      <c r="E667">
        <v>50</v>
      </c>
      <c r="F667">
        <v>49.731868744000003</v>
      </c>
      <c r="G667">
        <v>1377.7131348</v>
      </c>
      <c r="H667">
        <v>1360.619751</v>
      </c>
      <c r="I667">
        <v>1302.8854980000001</v>
      </c>
      <c r="J667">
        <v>1283.9581298999999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365.73850299999998</v>
      </c>
      <c r="B668" s="1">
        <f>DATE(2011,5,1) + TIME(17,43,26)</f>
        <v>40664.738495370373</v>
      </c>
      <c r="C668">
        <v>80</v>
      </c>
      <c r="D668">
        <v>69.638748168999996</v>
      </c>
      <c r="E668">
        <v>50</v>
      </c>
      <c r="F668">
        <v>49.724891663000001</v>
      </c>
      <c r="G668">
        <v>1378.2781981999999</v>
      </c>
      <c r="H668">
        <v>1361.3007812000001</v>
      </c>
      <c r="I668">
        <v>1302.2518310999999</v>
      </c>
      <c r="J668">
        <v>1283.3197021000001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365.78016500000001</v>
      </c>
      <c r="B669" s="1">
        <f>DATE(2011,5,1) + TIME(18,43,26)</f>
        <v>40664.780162037037</v>
      </c>
      <c r="C669">
        <v>80</v>
      </c>
      <c r="D669">
        <v>70.243957519999995</v>
      </c>
      <c r="E669">
        <v>50</v>
      </c>
      <c r="F669">
        <v>49.717761993000003</v>
      </c>
      <c r="G669">
        <v>1378.8269043</v>
      </c>
      <c r="H669">
        <v>1361.9610596</v>
      </c>
      <c r="I669">
        <v>1301.6331786999999</v>
      </c>
      <c r="J669">
        <v>1282.6965332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365.82338499999997</v>
      </c>
      <c r="B670" s="1">
        <f>DATE(2011,5,1) + TIME(19,45,40)</f>
        <v>40664.823379629626</v>
      </c>
      <c r="C670">
        <v>80</v>
      </c>
      <c r="D670">
        <v>70.834190368999998</v>
      </c>
      <c r="E670">
        <v>50</v>
      </c>
      <c r="F670">
        <v>49.710464477999999</v>
      </c>
      <c r="G670">
        <v>1379.3605957</v>
      </c>
      <c r="H670">
        <v>1362.6022949000001</v>
      </c>
      <c r="I670">
        <v>1301.0283202999999</v>
      </c>
      <c r="J670">
        <v>1282.0872803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365.86828300000002</v>
      </c>
      <c r="B671" s="1">
        <f>DATE(2011,5,1) + TIME(20,50,19)</f>
        <v>40664.868275462963</v>
      </c>
      <c r="C671">
        <v>80</v>
      </c>
      <c r="D671">
        <v>71.409378051999994</v>
      </c>
      <c r="E671">
        <v>50</v>
      </c>
      <c r="F671">
        <v>49.702980042</v>
      </c>
      <c r="G671">
        <v>1379.8804932</v>
      </c>
      <c r="H671">
        <v>1363.2255858999999</v>
      </c>
      <c r="I671">
        <v>1300.4362793</v>
      </c>
      <c r="J671">
        <v>1281.4910889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365.91498999999999</v>
      </c>
      <c r="B672" s="1">
        <f>DATE(2011,5,1) + TIME(21,57,35)</f>
        <v>40664.914988425924</v>
      </c>
      <c r="C672">
        <v>80</v>
      </c>
      <c r="D672">
        <v>71.969207764000004</v>
      </c>
      <c r="E672">
        <v>50</v>
      </c>
      <c r="F672">
        <v>49.695297240999999</v>
      </c>
      <c r="G672">
        <v>1380.3876952999999</v>
      </c>
      <c r="H672">
        <v>1363.8322754000001</v>
      </c>
      <c r="I672">
        <v>1299.8562012</v>
      </c>
      <c r="J672">
        <v>1280.9068603999999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365.96365800000001</v>
      </c>
      <c r="B673" s="1">
        <f>DATE(2011,5,1) + TIME(23,7,40)</f>
        <v>40664.96365740741</v>
      </c>
      <c r="C673">
        <v>80</v>
      </c>
      <c r="D673">
        <v>72.513374329000001</v>
      </c>
      <c r="E673">
        <v>50</v>
      </c>
      <c r="F673">
        <v>49.687393188000001</v>
      </c>
      <c r="G673">
        <v>1380.8831786999999</v>
      </c>
      <c r="H673">
        <v>1364.4233397999999</v>
      </c>
      <c r="I673">
        <v>1299.2869873</v>
      </c>
      <c r="J673">
        <v>1280.3337402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366.01445100000001</v>
      </c>
      <c r="B674" s="1">
        <f>DATE(2011,5,2) + TIME(0,20,48)</f>
        <v>40665.014444444445</v>
      </c>
      <c r="C674">
        <v>80</v>
      </c>
      <c r="D674">
        <v>73.041534424000005</v>
      </c>
      <c r="E674">
        <v>50</v>
      </c>
      <c r="F674">
        <v>49.679248809999997</v>
      </c>
      <c r="G674">
        <v>1381.3679199000001</v>
      </c>
      <c r="H674">
        <v>1364.9998779</v>
      </c>
      <c r="I674">
        <v>1298.7277832</v>
      </c>
      <c r="J674">
        <v>1279.770874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366.06756100000001</v>
      </c>
      <c r="B675" s="1">
        <f>DATE(2011,5,2) + TIME(1,37,17)</f>
        <v>40665.067557870374</v>
      </c>
      <c r="C675">
        <v>80</v>
      </c>
      <c r="D675">
        <v>73.553367614999999</v>
      </c>
      <c r="E675">
        <v>50</v>
      </c>
      <c r="F675">
        <v>49.670841217000003</v>
      </c>
      <c r="G675">
        <v>1381.8426514</v>
      </c>
      <c r="H675">
        <v>1365.5628661999999</v>
      </c>
      <c r="I675">
        <v>1298.1778564000001</v>
      </c>
      <c r="J675">
        <v>1279.2172852000001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366.12320199999999</v>
      </c>
      <c r="B676" s="1">
        <f>DATE(2011,5,2) + TIME(2,57,24)</f>
        <v>40665.123194444444</v>
      </c>
      <c r="C676">
        <v>80</v>
      </c>
      <c r="D676">
        <v>74.048515320000007</v>
      </c>
      <c r="E676">
        <v>50</v>
      </c>
      <c r="F676">
        <v>49.662139893000003</v>
      </c>
      <c r="G676">
        <v>1382.3082274999999</v>
      </c>
      <c r="H676">
        <v>1366.1131591999999</v>
      </c>
      <c r="I676">
        <v>1297.6365966999999</v>
      </c>
      <c r="J676">
        <v>1278.6724853999999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366.18165499999998</v>
      </c>
      <c r="B677" s="1">
        <f>DATE(2011,5,2) + TIME(4,21,34)</f>
        <v>40665.181643518517</v>
      </c>
      <c r="C677">
        <v>80</v>
      </c>
      <c r="D677">
        <v>74.526885985999996</v>
      </c>
      <c r="E677">
        <v>50</v>
      </c>
      <c r="F677">
        <v>49.653118134000003</v>
      </c>
      <c r="G677">
        <v>1382.7657471</v>
      </c>
      <c r="H677">
        <v>1366.6518555</v>
      </c>
      <c r="I677">
        <v>1297.1027832</v>
      </c>
      <c r="J677">
        <v>1278.1352539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366.24318499999998</v>
      </c>
      <c r="B678" s="1">
        <f>DATE(2011,5,2) + TIME(5,50,11)</f>
        <v>40665.24318287037</v>
      </c>
      <c r="C678">
        <v>80</v>
      </c>
      <c r="D678">
        <v>74.987930297999995</v>
      </c>
      <c r="E678">
        <v>50</v>
      </c>
      <c r="F678">
        <v>49.643737793</v>
      </c>
      <c r="G678">
        <v>1383.2155762</v>
      </c>
      <c r="H678">
        <v>1367.1795654</v>
      </c>
      <c r="I678">
        <v>1296.5759277</v>
      </c>
      <c r="J678">
        <v>1277.6051024999999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366.308109</v>
      </c>
      <c r="B679" s="1">
        <f>DATE(2011,5,2) + TIME(7,23,40)</f>
        <v>40665.30810185185</v>
      </c>
      <c r="C679">
        <v>80</v>
      </c>
      <c r="D679">
        <v>75.430877686000002</v>
      </c>
      <c r="E679">
        <v>50</v>
      </c>
      <c r="F679">
        <v>49.633968353</v>
      </c>
      <c r="G679">
        <v>1383.6583252</v>
      </c>
      <c r="H679">
        <v>1367.6967772999999</v>
      </c>
      <c r="I679">
        <v>1296.0555420000001</v>
      </c>
      <c r="J679">
        <v>1277.081543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366.37681099999998</v>
      </c>
      <c r="B680" s="1">
        <f>DATE(2011,5,2) + TIME(9,2,36)</f>
        <v>40665.376805555556</v>
      </c>
      <c r="C680">
        <v>80</v>
      </c>
      <c r="D680">
        <v>75.855621338000006</v>
      </c>
      <c r="E680">
        <v>50</v>
      </c>
      <c r="F680">
        <v>49.623756409000002</v>
      </c>
      <c r="G680">
        <v>1384.0947266000001</v>
      </c>
      <c r="H680">
        <v>1368.2044678</v>
      </c>
      <c r="I680">
        <v>1295.5410156</v>
      </c>
      <c r="J680">
        <v>1276.5638428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366.44974000000002</v>
      </c>
      <c r="B681" s="1">
        <f>DATE(2011,5,2) + TIME(10,47,37)</f>
        <v>40665.449733796297</v>
      </c>
      <c r="C681">
        <v>80</v>
      </c>
      <c r="D681">
        <v>76.261787415000001</v>
      </c>
      <c r="E681">
        <v>50</v>
      </c>
      <c r="F681">
        <v>49.613059997999997</v>
      </c>
      <c r="G681">
        <v>1384.5253906</v>
      </c>
      <c r="H681">
        <v>1368.7032471</v>
      </c>
      <c r="I681">
        <v>1295.0316161999999</v>
      </c>
      <c r="J681">
        <v>1276.0512695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366.52741800000001</v>
      </c>
      <c r="B682" s="1">
        <f>DATE(2011,5,2) + TIME(12,39,28)</f>
        <v>40665.527407407404</v>
      </c>
      <c r="C682">
        <v>80</v>
      </c>
      <c r="D682">
        <v>76.648918151999993</v>
      </c>
      <c r="E682">
        <v>50</v>
      </c>
      <c r="F682">
        <v>49.601814269999998</v>
      </c>
      <c r="G682">
        <v>1384.9508057</v>
      </c>
      <c r="H682">
        <v>1369.1936035000001</v>
      </c>
      <c r="I682">
        <v>1294.5267334</v>
      </c>
      <c r="J682">
        <v>1275.543457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366.61048</v>
      </c>
      <c r="B683" s="1">
        <f>DATE(2011,5,2) + TIME(14,39,5)</f>
        <v>40665.610474537039</v>
      </c>
      <c r="C683">
        <v>80</v>
      </c>
      <c r="D683">
        <v>77.016609192000004</v>
      </c>
      <c r="E683">
        <v>50</v>
      </c>
      <c r="F683">
        <v>49.589946746999999</v>
      </c>
      <c r="G683">
        <v>1385.3717041</v>
      </c>
      <c r="H683">
        <v>1369.6763916</v>
      </c>
      <c r="I683">
        <v>1294.0257568</v>
      </c>
      <c r="J683">
        <v>1275.0395507999999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366.69970499999999</v>
      </c>
      <c r="B684" s="1">
        <f>DATE(2011,5,2) + TIME(16,47,34)</f>
        <v>40665.699699074074</v>
      </c>
      <c r="C684">
        <v>80</v>
      </c>
      <c r="D684">
        <v>77.364494324000006</v>
      </c>
      <c r="E684">
        <v>50</v>
      </c>
      <c r="F684">
        <v>49.577373504999997</v>
      </c>
      <c r="G684">
        <v>1385.7885742000001</v>
      </c>
      <c r="H684">
        <v>1370.1523437999999</v>
      </c>
      <c r="I684">
        <v>1293.5281981999999</v>
      </c>
      <c r="J684">
        <v>1274.5389404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366.79603700000001</v>
      </c>
      <c r="B685" s="1">
        <f>DATE(2011,5,2) + TIME(19,6,17)</f>
        <v>40665.796030092592</v>
      </c>
      <c r="C685">
        <v>80</v>
      </c>
      <c r="D685">
        <v>77.692138671999999</v>
      </c>
      <c r="E685">
        <v>50</v>
      </c>
      <c r="F685">
        <v>49.563991547000001</v>
      </c>
      <c r="G685">
        <v>1386.2021483999999</v>
      </c>
      <c r="H685">
        <v>1370.6220702999999</v>
      </c>
      <c r="I685">
        <v>1293.0333252</v>
      </c>
      <c r="J685">
        <v>1274.0410156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366.897874</v>
      </c>
      <c r="B686" s="1">
        <f>DATE(2011,5,2) + TIME(21,32,56)</f>
        <v>40665.897870370369</v>
      </c>
      <c r="C686">
        <v>80</v>
      </c>
      <c r="D686">
        <v>77.992057799999998</v>
      </c>
      <c r="E686">
        <v>50</v>
      </c>
      <c r="F686">
        <v>49.550010681000003</v>
      </c>
      <c r="G686">
        <v>1386.6027832</v>
      </c>
      <c r="H686">
        <v>1371.0742187999999</v>
      </c>
      <c r="I686">
        <v>1292.5523682</v>
      </c>
      <c r="J686">
        <v>1273.557251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367.00018</v>
      </c>
      <c r="B687" s="1">
        <f>DATE(2011,5,3) + TIME(0,0,15)</f>
        <v>40666.000173611108</v>
      </c>
      <c r="C687">
        <v>80</v>
      </c>
      <c r="D687">
        <v>78.252784728999998</v>
      </c>
      <c r="E687">
        <v>50</v>
      </c>
      <c r="F687">
        <v>49.536037444999998</v>
      </c>
      <c r="G687">
        <v>1386.9708252</v>
      </c>
      <c r="H687">
        <v>1371.4871826000001</v>
      </c>
      <c r="I687">
        <v>1292.1076660000001</v>
      </c>
      <c r="J687">
        <v>1273.1098632999999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367.103408</v>
      </c>
      <c r="B688" s="1">
        <f>DATE(2011,5,3) + TIME(2,28,54)</f>
        <v>40666.103402777779</v>
      </c>
      <c r="C688">
        <v>80</v>
      </c>
      <c r="D688">
        <v>78.480125427000004</v>
      </c>
      <c r="E688">
        <v>50</v>
      </c>
      <c r="F688">
        <v>49.522014618</v>
      </c>
      <c r="G688">
        <v>1387.3112793</v>
      </c>
      <c r="H688">
        <v>1371.8676757999999</v>
      </c>
      <c r="I688">
        <v>1291.6944579999999</v>
      </c>
      <c r="J688">
        <v>1272.6940918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367.207785</v>
      </c>
      <c r="B689" s="1">
        <f>DATE(2011,5,3) + TIME(4,59,12)</f>
        <v>40666.207777777781</v>
      </c>
      <c r="C689">
        <v>80</v>
      </c>
      <c r="D689">
        <v>78.678466796999999</v>
      </c>
      <c r="E689">
        <v>50</v>
      </c>
      <c r="F689">
        <v>49.507923126000001</v>
      </c>
      <c r="G689">
        <v>1387.6271973</v>
      </c>
      <c r="H689">
        <v>1372.2197266000001</v>
      </c>
      <c r="I689">
        <v>1291.3093262</v>
      </c>
      <c r="J689">
        <v>1272.3066406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367.31354399999998</v>
      </c>
      <c r="B690" s="1">
        <f>DATE(2011,5,3) + TIME(7,31,30)</f>
        <v>40666.31354166667</v>
      </c>
      <c r="C690">
        <v>80</v>
      </c>
      <c r="D690">
        <v>78.851547241000006</v>
      </c>
      <c r="E690">
        <v>50</v>
      </c>
      <c r="F690">
        <v>49.493728638</v>
      </c>
      <c r="G690">
        <v>1387.9211425999999</v>
      </c>
      <c r="H690">
        <v>1372.5461425999999</v>
      </c>
      <c r="I690">
        <v>1290.949707</v>
      </c>
      <c r="J690">
        <v>1271.9448242000001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367.42091599999998</v>
      </c>
      <c r="B691" s="1">
        <f>DATE(2011,5,3) + TIME(10,6,7)</f>
        <v>40666.420914351853</v>
      </c>
      <c r="C691">
        <v>80</v>
      </c>
      <c r="D691">
        <v>79.002578735</v>
      </c>
      <c r="E691">
        <v>50</v>
      </c>
      <c r="F691">
        <v>49.479404449</v>
      </c>
      <c r="G691">
        <v>1388.1951904</v>
      </c>
      <c r="H691">
        <v>1372.8497314000001</v>
      </c>
      <c r="I691">
        <v>1290.6134033000001</v>
      </c>
      <c r="J691">
        <v>1271.6062012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367.52968700000002</v>
      </c>
      <c r="B692" s="1">
        <f>DATE(2011,5,3) + TIME(12,42,44)</f>
        <v>40666.529675925929</v>
      </c>
      <c r="C692">
        <v>80</v>
      </c>
      <c r="D692">
        <v>79.133827209000003</v>
      </c>
      <c r="E692">
        <v>50</v>
      </c>
      <c r="F692">
        <v>49.464973450000002</v>
      </c>
      <c r="G692">
        <v>1388.4500731999999</v>
      </c>
      <c r="H692">
        <v>1373.1312256000001</v>
      </c>
      <c r="I692">
        <v>1290.2994385</v>
      </c>
      <c r="J692">
        <v>1271.2901611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367.64007500000002</v>
      </c>
      <c r="B693" s="1">
        <f>DATE(2011,5,3) + TIME(15,21,42)</f>
        <v>40666.640069444446</v>
      </c>
      <c r="C693">
        <v>80</v>
      </c>
      <c r="D693">
        <v>79.247879028</v>
      </c>
      <c r="E693">
        <v>50</v>
      </c>
      <c r="F693">
        <v>49.450416564999998</v>
      </c>
      <c r="G693">
        <v>1388.6876221</v>
      </c>
      <c r="H693">
        <v>1373.3929443</v>
      </c>
      <c r="I693">
        <v>1290.0059814000001</v>
      </c>
      <c r="J693">
        <v>1270.994751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367.75229400000001</v>
      </c>
      <c r="B694" s="1">
        <f>DATE(2011,5,3) + TIME(18,3,18)</f>
        <v>40666.752291666664</v>
      </c>
      <c r="C694">
        <v>80</v>
      </c>
      <c r="D694">
        <v>79.346916199000006</v>
      </c>
      <c r="E694">
        <v>50</v>
      </c>
      <c r="F694">
        <v>49.435699462999999</v>
      </c>
      <c r="G694">
        <v>1388.9090576000001</v>
      </c>
      <c r="H694">
        <v>1373.6365966999999</v>
      </c>
      <c r="I694">
        <v>1289.7314452999999</v>
      </c>
      <c r="J694">
        <v>1270.7182617000001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367.86656599999998</v>
      </c>
      <c r="B695" s="1">
        <f>DATE(2011,5,3) + TIME(20,47,51)</f>
        <v>40666.866562499999</v>
      </c>
      <c r="C695">
        <v>80</v>
      </c>
      <c r="D695">
        <v>79.432853699000006</v>
      </c>
      <c r="E695">
        <v>50</v>
      </c>
      <c r="F695">
        <v>49.420803069999998</v>
      </c>
      <c r="G695">
        <v>1389.1158447</v>
      </c>
      <c r="H695">
        <v>1373.8635254000001</v>
      </c>
      <c r="I695">
        <v>1289.4744873</v>
      </c>
      <c r="J695">
        <v>1270.4593506000001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367.98312700000002</v>
      </c>
      <c r="B696" s="1">
        <f>DATE(2011,5,3) + TIME(23,35,42)</f>
        <v>40666.983124999999</v>
      </c>
      <c r="C696">
        <v>80</v>
      </c>
      <c r="D696">
        <v>79.507331848000007</v>
      </c>
      <c r="E696">
        <v>50</v>
      </c>
      <c r="F696">
        <v>49.405700684000003</v>
      </c>
      <c r="G696">
        <v>1389.3088379000001</v>
      </c>
      <c r="H696">
        <v>1374.0753173999999</v>
      </c>
      <c r="I696">
        <v>1289.2337646000001</v>
      </c>
      <c r="J696">
        <v>1270.2167969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368.10226399999999</v>
      </c>
      <c r="B697" s="1">
        <f>DATE(2011,5,4) + TIME(2,27,15)</f>
        <v>40667.102256944447</v>
      </c>
      <c r="C697">
        <v>80</v>
      </c>
      <c r="D697">
        <v>79.571815490999995</v>
      </c>
      <c r="E697">
        <v>50</v>
      </c>
      <c r="F697">
        <v>49.390357971</v>
      </c>
      <c r="G697">
        <v>1389.4891356999999</v>
      </c>
      <c r="H697">
        <v>1374.2729492000001</v>
      </c>
      <c r="I697">
        <v>1289.0081786999999</v>
      </c>
      <c r="J697">
        <v>1269.9893798999999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368.22418800000003</v>
      </c>
      <c r="B698" s="1">
        <f>DATE(2011,5,4) + TIME(5,22,49)</f>
        <v>40667.224178240744</v>
      </c>
      <c r="C698">
        <v>80</v>
      </c>
      <c r="D698">
        <v>79.627532959000007</v>
      </c>
      <c r="E698">
        <v>50</v>
      </c>
      <c r="F698">
        <v>49.374755858999997</v>
      </c>
      <c r="G698">
        <v>1389.6573486</v>
      </c>
      <c r="H698">
        <v>1374.4573975000001</v>
      </c>
      <c r="I698">
        <v>1288.796875</v>
      </c>
      <c r="J698">
        <v>1269.7762451000001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368.349177</v>
      </c>
      <c r="B699" s="1">
        <f>DATE(2011,5,4) + TIME(8,22,48)</f>
        <v>40667.349166666667</v>
      </c>
      <c r="C699">
        <v>80</v>
      </c>
      <c r="D699">
        <v>79.675582886000001</v>
      </c>
      <c r="E699">
        <v>50</v>
      </c>
      <c r="F699">
        <v>49.358856201000002</v>
      </c>
      <c r="G699">
        <v>1389.8142089999999</v>
      </c>
      <c r="H699">
        <v>1374.6293945</v>
      </c>
      <c r="I699">
        <v>1288.598999</v>
      </c>
      <c r="J699">
        <v>1269.5766602000001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368.477532</v>
      </c>
      <c r="B700" s="1">
        <f>DATE(2011,5,4) + TIME(11,27,38)</f>
        <v>40667.477523148147</v>
      </c>
      <c r="C700">
        <v>80</v>
      </c>
      <c r="D700">
        <v>79.716934203999998</v>
      </c>
      <c r="E700">
        <v>50</v>
      </c>
      <c r="F700">
        <v>49.342628478999998</v>
      </c>
      <c r="G700">
        <v>1389.9602050999999</v>
      </c>
      <c r="H700">
        <v>1374.7897949000001</v>
      </c>
      <c r="I700">
        <v>1288.4138184000001</v>
      </c>
      <c r="J700">
        <v>1269.3897704999999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368.609578</v>
      </c>
      <c r="B701" s="1">
        <f>DATE(2011,5,4) + TIME(14,37,47)</f>
        <v>40667.609571759262</v>
      </c>
      <c r="C701">
        <v>80</v>
      </c>
      <c r="D701">
        <v>79.752426146999994</v>
      </c>
      <c r="E701">
        <v>50</v>
      </c>
      <c r="F701">
        <v>49.326045989999997</v>
      </c>
      <c r="G701">
        <v>1390.0960693</v>
      </c>
      <c r="H701">
        <v>1374.9390868999999</v>
      </c>
      <c r="I701">
        <v>1288.2407227000001</v>
      </c>
      <c r="J701">
        <v>1269.2148437999999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368.74567400000001</v>
      </c>
      <c r="B702" s="1">
        <f>DATE(2011,5,4) + TIME(17,53,46)</f>
        <v>40667.745671296296</v>
      </c>
      <c r="C702">
        <v>80</v>
      </c>
      <c r="D702">
        <v>79.782806395999998</v>
      </c>
      <c r="E702">
        <v>50</v>
      </c>
      <c r="F702">
        <v>49.309059142999999</v>
      </c>
      <c r="G702">
        <v>1390.2219238</v>
      </c>
      <c r="H702">
        <v>1375.0780029</v>
      </c>
      <c r="I702">
        <v>1288.0791016000001</v>
      </c>
      <c r="J702">
        <v>1269.0513916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368.88621499999999</v>
      </c>
      <c r="B703" s="1">
        <f>DATE(2011,5,4) + TIME(21,16,9)</f>
        <v>40667.88621527778</v>
      </c>
      <c r="C703">
        <v>80</v>
      </c>
      <c r="D703">
        <v>79.808738708000007</v>
      </c>
      <c r="E703">
        <v>50</v>
      </c>
      <c r="F703">
        <v>49.291633605999998</v>
      </c>
      <c r="G703">
        <v>1390.338501</v>
      </c>
      <c r="H703">
        <v>1375.2069091999999</v>
      </c>
      <c r="I703">
        <v>1287.9283447</v>
      </c>
      <c r="J703">
        <v>1268.8989257999999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369.03164099999998</v>
      </c>
      <c r="B704" s="1">
        <f>DATE(2011,5,5) + TIME(0,45,33)</f>
        <v>40668.031631944446</v>
      </c>
      <c r="C704">
        <v>80</v>
      </c>
      <c r="D704">
        <v>79.830795288000004</v>
      </c>
      <c r="E704">
        <v>50</v>
      </c>
      <c r="F704">
        <v>49.273719788000001</v>
      </c>
      <c r="G704">
        <v>1390.4458007999999</v>
      </c>
      <c r="H704">
        <v>1375.3261719</v>
      </c>
      <c r="I704">
        <v>1287.7879639</v>
      </c>
      <c r="J704">
        <v>1268.7568358999999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369.18244199999998</v>
      </c>
      <c r="B705" s="1">
        <f>DATE(2011,5,5) + TIME(4,22,42)</f>
        <v>40668.182430555556</v>
      </c>
      <c r="C705">
        <v>80</v>
      </c>
      <c r="D705">
        <v>79.849487304999997</v>
      </c>
      <c r="E705">
        <v>50</v>
      </c>
      <c r="F705">
        <v>49.255268096999998</v>
      </c>
      <c r="G705">
        <v>1390.5441894999999</v>
      </c>
      <c r="H705">
        <v>1375.4362793</v>
      </c>
      <c r="I705">
        <v>1287.6575928</v>
      </c>
      <c r="J705">
        <v>1268.6247559000001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369.33917300000002</v>
      </c>
      <c r="B706" s="1">
        <f>DATE(2011,5,5) + TIME(8,8,24)</f>
        <v>40668.339166666665</v>
      </c>
      <c r="C706">
        <v>80</v>
      </c>
      <c r="D706">
        <v>79.865264893000003</v>
      </c>
      <c r="E706">
        <v>50</v>
      </c>
      <c r="F706">
        <v>49.236225128000001</v>
      </c>
      <c r="G706">
        <v>1390.6339111</v>
      </c>
      <c r="H706">
        <v>1375.5373535000001</v>
      </c>
      <c r="I706">
        <v>1287.5368652</v>
      </c>
      <c r="J706">
        <v>1268.5021973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369.50256200000001</v>
      </c>
      <c r="B707" s="1">
        <f>DATE(2011,5,5) + TIME(12,3,41)</f>
        <v>40668.502557870372</v>
      </c>
      <c r="C707">
        <v>80</v>
      </c>
      <c r="D707">
        <v>79.878532410000005</v>
      </c>
      <c r="E707">
        <v>50</v>
      </c>
      <c r="F707">
        <v>49.216510773000003</v>
      </c>
      <c r="G707">
        <v>1390.7150879000001</v>
      </c>
      <c r="H707">
        <v>1375.6298827999999</v>
      </c>
      <c r="I707">
        <v>1287.425293</v>
      </c>
      <c r="J707">
        <v>1268.3889160000001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369.67225999999999</v>
      </c>
      <c r="B708" s="1">
        <f>DATE(2011,5,5) + TIME(16,8,3)</f>
        <v>40668.672256944446</v>
      </c>
      <c r="C708">
        <v>80</v>
      </c>
      <c r="D708">
        <v>79.889587402000004</v>
      </c>
      <c r="E708">
        <v>50</v>
      </c>
      <c r="F708">
        <v>49.196163177000003</v>
      </c>
      <c r="G708">
        <v>1390.7872314000001</v>
      </c>
      <c r="H708">
        <v>1375.7131348</v>
      </c>
      <c r="I708">
        <v>1287.3231201000001</v>
      </c>
      <c r="J708">
        <v>1268.2849120999999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369.84892600000001</v>
      </c>
      <c r="B709" s="1">
        <f>DATE(2011,5,5) + TIME(20,22,27)</f>
        <v>40668.848923611113</v>
      </c>
      <c r="C709">
        <v>80</v>
      </c>
      <c r="D709">
        <v>79.898742675999998</v>
      </c>
      <c r="E709">
        <v>50</v>
      </c>
      <c r="F709">
        <v>49.175117493000002</v>
      </c>
      <c r="G709">
        <v>1390.8507079999999</v>
      </c>
      <c r="H709">
        <v>1375.7875977000001</v>
      </c>
      <c r="I709">
        <v>1287.2299805</v>
      </c>
      <c r="J709">
        <v>1268.1899414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370.03323799999998</v>
      </c>
      <c r="B710" s="1">
        <f>DATE(2011,5,6) + TIME(0,47,51)</f>
        <v>40669.033229166664</v>
      </c>
      <c r="C710">
        <v>80</v>
      </c>
      <c r="D710">
        <v>79.906303406000006</v>
      </c>
      <c r="E710">
        <v>50</v>
      </c>
      <c r="F710">
        <v>49.153305054</v>
      </c>
      <c r="G710">
        <v>1390.9055175999999</v>
      </c>
      <c r="H710">
        <v>1375.8535156</v>
      </c>
      <c r="I710">
        <v>1287.1453856999999</v>
      </c>
      <c r="J710">
        <v>1268.1036377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370.22606300000001</v>
      </c>
      <c r="B711" s="1">
        <f>DATE(2011,5,6) + TIME(5,25,31)</f>
        <v>40669.226053240738</v>
      </c>
      <c r="C711">
        <v>80</v>
      </c>
      <c r="D711">
        <v>79.912513732999997</v>
      </c>
      <c r="E711">
        <v>50</v>
      </c>
      <c r="F711">
        <v>49.130641937</v>
      </c>
      <c r="G711">
        <v>1390.9521483999999</v>
      </c>
      <c r="H711">
        <v>1375.9111327999999</v>
      </c>
      <c r="I711">
        <v>1287.0690918</v>
      </c>
      <c r="J711">
        <v>1268.0255127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370.42841900000002</v>
      </c>
      <c r="B712" s="1">
        <f>DATE(2011,5,6) + TIME(10,16,55)</f>
        <v>40669.428414351853</v>
      </c>
      <c r="C712">
        <v>80</v>
      </c>
      <c r="D712">
        <v>79.917594910000005</v>
      </c>
      <c r="E712">
        <v>50</v>
      </c>
      <c r="F712">
        <v>49.107032775999997</v>
      </c>
      <c r="G712">
        <v>1390.9903564000001</v>
      </c>
      <c r="H712">
        <v>1375.9605713000001</v>
      </c>
      <c r="I712">
        <v>1287.0007324000001</v>
      </c>
      <c r="J712">
        <v>1267.9552002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370.63810599999999</v>
      </c>
      <c r="B713" s="1">
        <f>DATE(2011,5,6) + TIME(15,18,52)</f>
        <v>40669.638101851851</v>
      </c>
      <c r="C713">
        <v>80</v>
      </c>
      <c r="D713">
        <v>79.921669006000002</v>
      </c>
      <c r="E713">
        <v>50</v>
      </c>
      <c r="F713">
        <v>49.082672119000001</v>
      </c>
      <c r="G713">
        <v>1391.0187988</v>
      </c>
      <c r="H713">
        <v>1376.0004882999999</v>
      </c>
      <c r="I713">
        <v>1286.9406738</v>
      </c>
      <c r="J713">
        <v>1267.8931885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370.84837599999997</v>
      </c>
      <c r="B714" s="1">
        <f>DATE(2011,5,6) + TIME(20,21,39)</f>
        <v>40669.848368055558</v>
      </c>
      <c r="C714">
        <v>80</v>
      </c>
      <c r="D714">
        <v>79.924842834000003</v>
      </c>
      <c r="E714">
        <v>50</v>
      </c>
      <c r="F714">
        <v>49.058185577000003</v>
      </c>
      <c r="G714">
        <v>1391.0357666</v>
      </c>
      <c r="H714">
        <v>1376.0288086</v>
      </c>
      <c r="I714">
        <v>1286.8895264</v>
      </c>
      <c r="J714">
        <v>1267.8402100000001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371.059799</v>
      </c>
      <c r="B715" s="1">
        <f>DATE(2011,5,7) + TIME(1,26,6)</f>
        <v>40670.059791666667</v>
      </c>
      <c r="C715">
        <v>80</v>
      </c>
      <c r="D715">
        <v>79.927330017000003</v>
      </c>
      <c r="E715">
        <v>50</v>
      </c>
      <c r="F715">
        <v>49.033554076999998</v>
      </c>
      <c r="G715">
        <v>1391.0449219</v>
      </c>
      <c r="H715">
        <v>1376.0490723</v>
      </c>
      <c r="I715">
        <v>1286.8463135</v>
      </c>
      <c r="J715">
        <v>1267.7951660000001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371.27290499999998</v>
      </c>
      <c r="B716" s="1">
        <f>DATE(2011,5,7) + TIME(6,32,59)</f>
        <v>40670.272905092592</v>
      </c>
      <c r="C716">
        <v>80</v>
      </c>
      <c r="D716">
        <v>79.929290770999998</v>
      </c>
      <c r="E716">
        <v>50</v>
      </c>
      <c r="F716">
        <v>49.008750915999997</v>
      </c>
      <c r="G716">
        <v>1391.0472411999999</v>
      </c>
      <c r="H716">
        <v>1376.0623779</v>
      </c>
      <c r="I716">
        <v>1286.8099365</v>
      </c>
      <c r="J716">
        <v>1267.7569579999999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371.48830099999998</v>
      </c>
      <c r="B717" s="1">
        <f>DATE(2011,5,7) + TIME(11,43,9)</f>
        <v>40670.488298611112</v>
      </c>
      <c r="C717">
        <v>80</v>
      </c>
      <c r="D717">
        <v>79.930847168</v>
      </c>
      <c r="E717">
        <v>50</v>
      </c>
      <c r="F717">
        <v>48.983737945999998</v>
      </c>
      <c r="G717">
        <v>1391.043457</v>
      </c>
      <c r="H717">
        <v>1376.0693358999999</v>
      </c>
      <c r="I717">
        <v>1286.7794189000001</v>
      </c>
      <c r="J717">
        <v>1267.7246094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371.70642099999998</v>
      </c>
      <c r="B718" s="1">
        <f>DATE(2011,5,7) + TIME(16,57,14)</f>
        <v>40670.706412037034</v>
      </c>
      <c r="C718">
        <v>80</v>
      </c>
      <c r="D718">
        <v>79.932083129999995</v>
      </c>
      <c r="E718">
        <v>50</v>
      </c>
      <c r="F718">
        <v>48.958488463999998</v>
      </c>
      <c r="G718">
        <v>1391.0341797000001</v>
      </c>
      <c r="H718">
        <v>1376.0708007999999</v>
      </c>
      <c r="I718">
        <v>1286.7540283000001</v>
      </c>
      <c r="J718">
        <v>1267.6972656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371.92776800000001</v>
      </c>
      <c r="B719" s="1">
        <f>DATE(2011,5,7) + TIME(22,15,59)</f>
        <v>40670.927766203706</v>
      </c>
      <c r="C719">
        <v>80</v>
      </c>
      <c r="D719">
        <v>79.933067321999999</v>
      </c>
      <c r="E719">
        <v>50</v>
      </c>
      <c r="F719">
        <v>48.932960510000001</v>
      </c>
      <c r="G719">
        <v>1391.0197754000001</v>
      </c>
      <c r="H719">
        <v>1376.0671387</v>
      </c>
      <c r="I719">
        <v>1286.7331543</v>
      </c>
      <c r="J719">
        <v>1267.6744385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372.15179899999998</v>
      </c>
      <c r="B720" s="1">
        <f>DATE(2011,5,8) + TIME(3,38,35)</f>
        <v>40671.15179398148</v>
      </c>
      <c r="C720">
        <v>80</v>
      </c>
      <c r="D720">
        <v>79.933860779</v>
      </c>
      <c r="E720">
        <v>50</v>
      </c>
      <c r="F720">
        <v>48.907211304</v>
      </c>
      <c r="G720">
        <v>1391.0006103999999</v>
      </c>
      <c r="H720">
        <v>1376.0584716999999</v>
      </c>
      <c r="I720">
        <v>1286.7160644999999</v>
      </c>
      <c r="J720">
        <v>1267.6555175999999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372.37874900000003</v>
      </c>
      <c r="B721" s="1">
        <f>DATE(2011,5,8) + TIME(9,5,23)</f>
        <v>40671.378738425927</v>
      </c>
      <c r="C721">
        <v>80</v>
      </c>
      <c r="D721">
        <v>79.934494018999999</v>
      </c>
      <c r="E721">
        <v>50</v>
      </c>
      <c r="F721">
        <v>48.881221771</v>
      </c>
      <c r="G721">
        <v>1390.9771728999999</v>
      </c>
      <c r="H721">
        <v>1376.0455322</v>
      </c>
      <c r="I721">
        <v>1286.7022704999999</v>
      </c>
      <c r="J721">
        <v>1267.6398925999999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372.60911499999997</v>
      </c>
      <c r="B722" s="1">
        <f>DATE(2011,5,8) + TIME(14,37,7)</f>
        <v>40671.6091087963</v>
      </c>
      <c r="C722">
        <v>80</v>
      </c>
      <c r="D722">
        <v>79.935012817</v>
      </c>
      <c r="E722">
        <v>50</v>
      </c>
      <c r="F722">
        <v>48.854949951000002</v>
      </c>
      <c r="G722">
        <v>1390.9499512</v>
      </c>
      <c r="H722">
        <v>1376.0288086</v>
      </c>
      <c r="I722">
        <v>1286.6914062000001</v>
      </c>
      <c r="J722">
        <v>1267.6270752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372.84333700000002</v>
      </c>
      <c r="B723" s="1">
        <f>DATE(2011,5,8) + TIME(20,14,24)</f>
        <v>40671.843333333331</v>
      </c>
      <c r="C723">
        <v>80</v>
      </c>
      <c r="D723">
        <v>79.935432434000006</v>
      </c>
      <c r="E723">
        <v>50</v>
      </c>
      <c r="F723">
        <v>48.828361510999997</v>
      </c>
      <c r="G723">
        <v>1390.9191894999999</v>
      </c>
      <c r="H723">
        <v>1376.0085449000001</v>
      </c>
      <c r="I723">
        <v>1286.6829834</v>
      </c>
      <c r="J723">
        <v>1267.6166992000001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373.08193799999998</v>
      </c>
      <c r="B724" s="1">
        <f>DATE(2011,5,9) + TIME(1,57,59)</f>
        <v>40672.081932870373</v>
      </c>
      <c r="C724">
        <v>80</v>
      </c>
      <c r="D724">
        <v>79.935768127000003</v>
      </c>
      <c r="E724">
        <v>50</v>
      </c>
      <c r="F724">
        <v>48.801410675</v>
      </c>
      <c r="G724">
        <v>1390.8851318</v>
      </c>
      <c r="H724">
        <v>1375.9848632999999</v>
      </c>
      <c r="I724">
        <v>1286.6766356999999</v>
      </c>
      <c r="J724">
        <v>1267.6083983999999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373.325468</v>
      </c>
      <c r="B725" s="1">
        <f>DATE(2011,5,9) + TIME(7,48,40)</f>
        <v>40672.325462962966</v>
      </c>
      <c r="C725">
        <v>80</v>
      </c>
      <c r="D725">
        <v>79.936050414999997</v>
      </c>
      <c r="E725">
        <v>50</v>
      </c>
      <c r="F725">
        <v>48.774044037000003</v>
      </c>
      <c r="G725">
        <v>1390.8479004000001</v>
      </c>
      <c r="H725">
        <v>1375.9582519999999</v>
      </c>
      <c r="I725">
        <v>1286.6721190999999</v>
      </c>
      <c r="J725">
        <v>1267.6016846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373.57451900000001</v>
      </c>
      <c r="B726" s="1">
        <f>DATE(2011,5,9) + TIME(13,47,18)</f>
        <v>40672.574513888889</v>
      </c>
      <c r="C726">
        <v>80</v>
      </c>
      <c r="D726">
        <v>79.936286925999994</v>
      </c>
      <c r="E726">
        <v>50</v>
      </c>
      <c r="F726">
        <v>48.746212006</v>
      </c>
      <c r="G726">
        <v>1390.8078613</v>
      </c>
      <c r="H726">
        <v>1375.9287108999999</v>
      </c>
      <c r="I726">
        <v>1286.6689452999999</v>
      </c>
      <c r="J726">
        <v>1267.5965576000001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373.82972699999999</v>
      </c>
      <c r="B727" s="1">
        <f>DATE(2011,5,9) + TIME(19,54,48)</f>
        <v>40672.829722222225</v>
      </c>
      <c r="C727">
        <v>80</v>
      </c>
      <c r="D727">
        <v>79.936485290999997</v>
      </c>
      <c r="E727">
        <v>50</v>
      </c>
      <c r="F727">
        <v>48.717853546000001</v>
      </c>
      <c r="G727">
        <v>1390.7648925999999</v>
      </c>
      <c r="H727">
        <v>1375.8963623</v>
      </c>
      <c r="I727">
        <v>1286.6669922000001</v>
      </c>
      <c r="J727">
        <v>1267.5925293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374.091793</v>
      </c>
      <c r="B728" s="1">
        <f>DATE(2011,5,10) + TIME(2,12,10)</f>
        <v>40673.091782407406</v>
      </c>
      <c r="C728">
        <v>80</v>
      </c>
      <c r="D728">
        <v>79.936645507999998</v>
      </c>
      <c r="E728">
        <v>50</v>
      </c>
      <c r="F728">
        <v>48.688903809000003</v>
      </c>
      <c r="G728">
        <v>1390.7192382999999</v>
      </c>
      <c r="H728">
        <v>1375.8613281</v>
      </c>
      <c r="I728">
        <v>1286.6660156</v>
      </c>
      <c r="J728">
        <v>1267.5893555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374.36148300000002</v>
      </c>
      <c r="B729" s="1">
        <f>DATE(2011,5,10) + TIME(8,40,32)</f>
        <v>40673.361481481479</v>
      </c>
      <c r="C729">
        <v>80</v>
      </c>
      <c r="D729">
        <v>79.936782836999996</v>
      </c>
      <c r="E729">
        <v>50</v>
      </c>
      <c r="F729">
        <v>48.659294127999999</v>
      </c>
      <c r="G729">
        <v>1390.6708983999999</v>
      </c>
      <c r="H729">
        <v>1375.8238524999999</v>
      </c>
      <c r="I729">
        <v>1286.6657714999999</v>
      </c>
      <c r="J729">
        <v>1267.5870361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374.63965400000001</v>
      </c>
      <c r="B730" s="1">
        <f>DATE(2011,5,10) + TIME(15,21,6)</f>
        <v>40673.639652777776</v>
      </c>
      <c r="C730">
        <v>80</v>
      </c>
      <c r="D730">
        <v>79.936889648000005</v>
      </c>
      <c r="E730">
        <v>50</v>
      </c>
      <c r="F730">
        <v>48.628948211999997</v>
      </c>
      <c r="G730">
        <v>1390.6198730000001</v>
      </c>
      <c r="H730">
        <v>1375.7836914</v>
      </c>
      <c r="I730">
        <v>1286.6661377</v>
      </c>
      <c r="J730">
        <v>1267.5850829999999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374.92731500000002</v>
      </c>
      <c r="B731" s="1">
        <f>DATE(2011,5,10) + TIME(22,15,20)</f>
        <v>40673.927314814813</v>
      </c>
      <c r="C731">
        <v>80</v>
      </c>
      <c r="D731">
        <v>79.936988830999994</v>
      </c>
      <c r="E731">
        <v>50</v>
      </c>
      <c r="F731">
        <v>48.597770691000001</v>
      </c>
      <c r="G731">
        <v>1390.5661620999999</v>
      </c>
      <c r="H731">
        <v>1375.7410889</v>
      </c>
      <c r="I731">
        <v>1286.6668701000001</v>
      </c>
      <c r="J731">
        <v>1267.5834961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375.22567800000002</v>
      </c>
      <c r="B732" s="1">
        <f>DATE(2011,5,11) + TIME(5,24,58)</f>
        <v>40674.225671296299</v>
      </c>
      <c r="C732">
        <v>80</v>
      </c>
      <c r="D732">
        <v>79.937065125000004</v>
      </c>
      <c r="E732">
        <v>50</v>
      </c>
      <c r="F732">
        <v>48.565654754999997</v>
      </c>
      <c r="G732">
        <v>1390.5097656</v>
      </c>
      <c r="H732">
        <v>1375.6959228999999</v>
      </c>
      <c r="I732">
        <v>1286.6678466999999</v>
      </c>
      <c r="J732">
        <v>1267.5821533000001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375.53583500000002</v>
      </c>
      <c r="B733" s="1">
        <f>DATE(2011,5,11) + TIME(12,51,36)</f>
        <v>40674.535833333335</v>
      </c>
      <c r="C733">
        <v>80</v>
      </c>
      <c r="D733">
        <v>79.937133789000001</v>
      </c>
      <c r="E733">
        <v>50</v>
      </c>
      <c r="F733">
        <v>48.532505035</v>
      </c>
      <c r="G733">
        <v>1390.4504394999999</v>
      </c>
      <c r="H733">
        <v>1375.6480713000001</v>
      </c>
      <c r="I733">
        <v>1286.6689452999999</v>
      </c>
      <c r="J733">
        <v>1267.5808105000001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375.85922399999998</v>
      </c>
      <c r="B734" s="1">
        <f>DATE(2011,5,11) + TIME(20,37,16)</f>
        <v>40674.859212962961</v>
      </c>
      <c r="C734">
        <v>80</v>
      </c>
      <c r="D734">
        <v>79.937187195000007</v>
      </c>
      <c r="E734">
        <v>50</v>
      </c>
      <c r="F734">
        <v>48.498195647999999</v>
      </c>
      <c r="G734">
        <v>1390.3883057</v>
      </c>
      <c r="H734">
        <v>1375.5977783000001</v>
      </c>
      <c r="I734">
        <v>1286.6699219</v>
      </c>
      <c r="J734">
        <v>1267.5792236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376.18571900000001</v>
      </c>
      <c r="B735" s="1">
        <f>DATE(2011,5,12) + TIME(4,27,26)</f>
        <v>40675.185717592591</v>
      </c>
      <c r="C735">
        <v>80</v>
      </c>
      <c r="D735">
        <v>79.937232971</v>
      </c>
      <c r="E735">
        <v>50</v>
      </c>
      <c r="F735">
        <v>48.463466644</v>
      </c>
      <c r="G735">
        <v>1390.3231201000001</v>
      </c>
      <c r="H735">
        <v>1375.5444336</v>
      </c>
      <c r="I735">
        <v>1286.6704102000001</v>
      </c>
      <c r="J735">
        <v>1267.5771483999999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376.514003</v>
      </c>
      <c r="B736" s="1">
        <f>DATE(2011,5,12) + TIME(12,20,9)</f>
        <v>40675.513993055552</v>
      </c>
      <c r="C736">
        <v>80</v>
      </c>
      <c r="D736">
        <v>79.937255859000004</v>
      </c>
      <c r="E736">
        <v>50</v>
      </c>
      <c r="F736">
        <v>48.428489685000002</v>
      </c>
      <c r="G736">
        <v>1390.2568358999999</v>
      </c>
      <c r="H736">
        <v>1375.4901123</v>
      </c>
      <c r="I736">
        <v>1286.6705322</v>
      </c>
      <c r="J736">
        <v>1267.574707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376.84493300000003</v>
      </c>
      <c r="B737" s="1">
        <f>DATE(2011,5,12) + TIME(20,16,42)</f>
        <v>40675.844930555555</v>
      </c>
      <c r="C737">
        <v>80</v>
      </c>
      <c r="D737">
        <v>79.937278747999997</v>
      </c>
      <c r="E737">
        <v>50</v>
      </c>
      <c r="F737">
        <v>48.393260955999999</v>
      </c>
      <c r="G737">
        <v>1390.1901855000001</v>
      </c>
      <c r="H737">
        <v>1375.4351807</v>
      </c>
      <c r="I737">
        <v>1286.6701660000001</v>
      </c>
      <c r="J737">
        <v>1267.5716553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377.17923000000002</v>
      </c>
      <c r="B738" s="1">
        <f>DATE(2011,5,13) + TIME(4,18,5)</f>
        <v>40676.179224537038</v>
      </c>
      <c r="C738">
        <v>80</v>
      </c>
      <c r="D738">
        <v>79.937301636000001</v>
      </c>
      <c r="E738">
        <v>50</v>
      </c>
      <c r="F738">
        <v>48.357769011999999</v>
      </c>
      <c r="G738">
        <v>1390.1232910000001</v>
      </c>
      <c r="H738">
        <v>1375.3798827999999</v>
      </c>
      <c r="I738">
        <v>1286.6693115</v>
      </c>
      <c r="J738">
        <v>1267.5682373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377.51770499999998</v>
      </c>
      <c r="B739" s="1">
        <f>DATE(2011,5,13) + TIME(12,25,29)</f>
        <v>40676.517696759256</v>
      </c>
      <c r="C739">
        <v>80</v>
      </c>
      <c r="D739">
        <v>79.937316894999995</v>
      </c>
      <c r="E739">
        <v>50</v>
      </c>
      <c r="F739">
        <v>48.321968079000001</v>
      </c>
      <c r="G739">
        <v>1390.0559082</v>
      </c>
      <c r="H739">
        <v>1375.3240966999999</v>
      </c>
      <c r="I739">
        <v>1286.6680908000001</v>
      </c>
      <c r="J739">
        <v>1267.5642089999999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377.861178</v>
      </c>
      <c r="B740" s="1">
        <f>DATE(2011,5,13) + TIME(20,40,5)</f>
        <v>40676.861168981479</v>
      </c>
      <c r="C740">
        <v>80</v>
      </c>
      <c r="D740">
        <v>79.937324524000005</v>
      </c>
      <c r="E740">
        <v>50</v>
      </c>
      <c r="F740">
        <v>48.285816193000002</v>
      </c>
      <c r="G740">
        <v>1389.9881591999999</v>
      </c>
      <c r="H740">
        <v>1375.2678223</v>
      </c>
      <c r="I740">
        <v>1286.6662598</v>
      </c>
      <c r="J740">
        <v>1267.5596923999999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378.21050600000001</v>
      </c>
      <c r="B741" s="1">
        <f>DATE(2011,5,14) + TIME(5,3,7)</f>
        <v>40677.210497685184</v>
      </c>
      <c r="C741">
        <v>80</v>
      </c>
      <c r="D741">
        <v>79.937324524000005</v>
      </c>
      <c r="E741">
        <v>50</v>
      </c>
      <c r="F741">
        <v>48.249244689999998</v>
      </c>
      <c r="G741">
        <v>1389.9197998</v>
      </c>
      <c r="H741">
        <v>1375.2109375</v>
      </c>
      <c r="I741">
        <v>1286.6639404</v>
      </c>
      <c r="J741">
        <v>1267.5545654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378.56435699999997</v>
      </c>
      <c r="B742" s="1">
        <f>DATE(2011,5,14) + TIME(13,32,40)</f>
        <v>40677.564351851855</v>
      </c>
      <c r="C742">
        <v>80</v>
      </c>
      <c r="D742">
        <v>79.937332153</v>
      </c>
      <c r="E742">
        <v>50</v>
      </c>
      <c r="F742">
        <v>48.212345122999999</v>
      </c>
      <c r="G742">
        <v>1389.8510742000001</v>
      </c>
      <c r="H742">
        <v>1375.1535644999999</v>
      </c>
      <c r="I742">
        <v>1286.6610106999999</v>
      </c>
      <c r="J742">
        <v>1267.5487060999999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378.92300899999998</v>
      </c>
      <c r="B743" s="1">
        <f>DATE(2011,5,14) + TIME(22,9,8)</f>
        <v>40677.923009259262</v>
      </c>
      <c r="C743">
        <v>80</v>
      </c>
      <c r="D743">
        <v>79.937332153</v>
      </c>
      <c r="E743">
        <v>50</v>
      </c>
      <c r="F743">
        <v>48.175113678000002</v>
      </c>
      <c r="G743">
        <v>1389.7818603999999</v>
      </c>
      <c r="H743">
        <v>1375.0958252</v>
      </c>
      <c r="I743">
        <v>1286.6573486</v>
      </c>
      <c r="J743">
        <v>1267.5422363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379.287282</v>
      </c>
      <c r="B744" s="1">
        <f>DATE(2011,5,15) + TIME(6,53,41)</f>
        <v>40678.287280092591</v>
      </c>
      <c r="C744">
        <v>80</v>
      </c>
      <c r="D744">
        <v>79.937332153</v>
      </c>
      <c r="E744">
        <v>50</v>
      </c>
      <c r="F744">
        <v>48.137493134000003</v>
      </c>
      <c r="G744">
        <v>1389.7125243999999</v>
      </c>
      <c r="H744">
        <v>1375.0378418</v>
      </c>
      <c r="I744">
        <v>1286.6531981999999</v>
      </c>
      <c r="J744">
        <v>1267.5351562000001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379.65802600000001</v>
      </c>
      <c r="B745" s="1">
        <f>DATE(2011,5,15) + TIME(15,47,33)</f>
        <v>40678.658020833333</v>
      </c>
      <c r="C745">
        <v>80</v>
      </c>
      <c r="D745">
        <v>79.937324524000005</v>
      </c>
      <c r="E745">
        <v>50</v>
      </c>
      <c r="F745">
        <v>48.099422455000003</v>
      </c>
      <c r="G745">
        <v>1389.6427002</v>
      </c>
      <c r="H745">
        <v>1374.9793701000001</v>
      </c>
      <c r="I745">
        <v>1286.6484375</v>
      </c>
      <c r="J745">
        <v>1267.5273437999999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380.03615300000001</v>
      </c>
      <c r="B746" s="1">
        <f>DATE(2011,5,16) + TIME(0,52,3)</f>
        <v>40679.036145833335</v>
      </c>
      <c r="C746">
        <v>80</v>
      </c>
      <c r="D746">
        <v>79.937316894999995</v>
      </c>
      <c r="E746">
        <v>50</v>
      </c>
      <c r="F746">
        <v>48.060832976999997</v>
      </c>
      <c r="G746">
        <v>1389.5725098</v>
      </c>
      <c r="H746">
        <v>1374.9205322</v>
      </c>
      <c r="I746">
        <v>1286.6430664</v>
      </c>
      <c r="J746">
        <v>1267.5189209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380.42263700000001</v>
      </c>
      <c r="B747" s="1">
        <f>DATE(2011,5,16) + TIME(10,8,35)</f>
        <v>40679.422627314816</v>
      </c>
      <c r="C747">
        <v>80</v>
      </c>
      <c r="D747">
        <v>79.937316894999995</v>
      </c>
      <c r="E747">
        <v>50</v>
      </c>
      <c r="F747">
        <v>48.021640777999998</v>
      </c>
      <c r="G747">
        <v>1389.5018310999999</v>
      </c>
      <c r="H747">
        <v>1374.8612060999999</v>
      </c>
      <c r="I747">
        <v>1286.6370850000001</v>
      </c>
      <c r="J747">
        <v>1267.5097656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380.81853899999999</v>
      </c>
      <c r="B748" s="1">
        <f>DATE(2011,5,16) + TIME(19,38,41)</f>
        <v>40679.818530092591</v>
      </c>
      <c r="C748">
        <v>80</v>
      </c>
      <c r="D748">
        <v>79.937309264999996</v>
      </c>
      <c r="E748">
        <v>50</v>
      </c>
      <c r="F748">
        <v>47.981765746999997</v>
      </c>
      <c r="G748">
        <v>1389.4304199000001</v>
      </c>
      <c r="H748">
        <v>1374.8011475000001</v>
      </c>
      <c r="I748">
        <v>1286.6303711</v>
      </c>
      <c r="J748">
        <v>1267.4998779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381.22502600000001</v>
      </c>
      <c r="B749" s="1">
        <f>DATE(2011,5,17) + TIME(5,24,2)</f>
        <v>40680.225023148145</v>
      </c>
      <c r="C749">
        <v>80</v>
      </c>
      <c r="D749">
        <v>79.937301636000001</v>
      </c>
      <c r="E749">
        <v>50</v>
      </c>
      <c r="F749">
        <v>47.941108704000001</v>
      </c>
      <c r="G749">
        <v>1389.3581543</v>
      </c>
      <c r="H749">
        <v>1374.7404785000001</v>
      </c>
      <c r="I749">
        <v>1286.6230469</v>
      </c>
      <c r="J749">
        <v>1267.4893798999999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381.64338900000001</v>
      </c>
      <c r="B750" s="1">
        <f>DATE(2011,5,17) + TIME(15,26,28)</f>
        <v>40680.643379629626</v>
      </c>
      <c r="C750">
        <v>80</v>
      </c>
      <c r="D750">
        <v>79.937294006000002</v>
      </c>
      <c r="E750">
        <v>50</v>
      </c>
      <c r="F750">
        <v>47.899566649999997</v>
      </c>
      <c r="G750">
        <v>1389.2850341999999</v>
      </c>
      <c r="H750">
        <v>1374.6788329999999</v>
      </c>
      <c r="I750">
        <v>1286.6149902</v>
      </c>
      <c r="J750">
        <v>1267.4779053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382.07511699999998</v>
      </c>
      <c r="B751" s="1">
        <f>DATE(2011,5,18) + TIME(1,48,10)</f>
        <v>40681.075115740743</v>
      </c>
      <c r="C751">
        <v>80</v>
      </c>
      <c r="D751">
        <v>79.937286377000007</v>
      </c>
      <c r="E751">
        <v>50</v>
      </c>
      <c r="F751">
        <v>47.857013702000003</v>
      </c>
      <c r="G751">
        <v>1389.2108154</v>
      </c>
      <c r="H751">
        <v>1374.6163329999999</v>
      </c>
      <c r="I751">
        <v>1286.6063231999999</v>
      </c>
      <c r="J751">
        <v>1267.4656981999999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382.51959299999999</v>
      </c>
      <c r="B752" s="1">
        <f>DATE(2011,5,18) + TIME(12,28,12)</f>
        <v>40681.519583333335</v>
      </c>
      <c r="C752">
        <v>80</v>
      </c>
      <c r="D752">
        <v>79.937278747999997</v>
      </c>
      <c r="E752">
        <v>50</v>
      </c>
      <c r="F752">
        <v>47.813472748000002</v>
      </c>
      <c r="G752">
        <v>1389.135376</v>
      </c>
      <c r="H752">
        <v>1374.5527344</v>
      </c>
      <c r="I752">
        <v>1286.5968018000001</v>
      </c>
      <c r="J752">
        <v>1267.4526367000001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382.965328</v>
      </c>
      <c r="B753" s="1">
        <f>DATE(2011,5,18) + TIME(23,10,4)</f>
        <v>40681.965324074074</v>
      </c>
      <c r="C753">
        <v>80</v>
      </c>
      <c r="D753">
        <v>79.937263489000003</v>
      </c>
      <c r="E753">
        <v>50</v>
      </c>
      <c r="F753">
        <v>47.769653320000003</v>
      </c>
      <c r="G753">
        <v>1389.0592041</v>
      </c>
      <c r="H753">
        <v>1374.4886475000001</v>
      </c>
      <c r="I753">
        <v>1286.5865478999999</v>
      </c>
      <c r="J753">
        <v>1267.4387207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383.41354899999999</v>
      </c>
      <c r="B754" s="1">
        <f>DATE(2011,5,19) + TIME(9,55,30)</f>
        <v>40682.413541666669</v>
      </c>
      <c r="C754">
        <v>80</v>
      </c>
      <c r="D754">
        <v>79.937255859000004</v>
      </c>
      <c r="E754">
        <v>50</v>
      </c>
      <c r="F754">
        <v>47.725616455000001</v>
      </c>
      <c r="G754">
        <v>1388.9837646000001</v>
      </c>
      <c r="H754">
        <v>1374.4249268000001</v>
      </c>
      <c r="I754">
        <v>1286.5756836</v>
      </c>
      <c r="J754">
        <v>1267.4243164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383.86526199999997</v>
      </c>
      <c r="B755" s="1">
        <f>DATE(2011,5,19) + TIME(20,45,58)</f>
        <v>40682.865254629629</v>
      </c>
      <c r="C755">
        <v>80</v>
      </c>
      <c r="D755">
        <v>79.937248229999994</v>
      </c>
      <c r="E755">
        <v>50</v>
      </c>
      <c r="F755">
        <v>47.681365966999998</v>
      </c>
      <c r="G755">
        <v>1388.9090576000001</v>
      </c>
      <c r="H755">
        <v>1374.3618164</v>
      </c>
      <c r="I755">
        <v>1286.5644531</v>
      </c>
      <c r="J755">
        <v>1267.4093018000001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384.32145000000003</v>
      </c>
      <c r="B756" s="1">
        <f>DATE(2011,5,20) + TIME(7,42,53)</f>
        <v>40683.321446759262</v>
      </c>
      <c r="C756">
        <v>80</v>
      </c>
      <c r="D756">
        <v>79.937240600999999</v>
      </c>
      <c r="E756">
        <v>50</v>
      </c>
      <c r="F756">
        <v>47.636878967000001</v>
      </c>
      <c r="G756">
        <v>1388.8348389</v>
      </c>
      <c r="H756">
        <v>1374.2991943</v>
      </c>
      <c r="I756">
        <v>1286.5528564000001</v>
      </c>
      <c r="J756">
        <v>1267.3939209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384.78317800000002</v>
      </c>
      <c r="B757" s="1">
        <f>DATE(2011,5,20) + TIME(18,47,46)</f>
        <v>40683.783171296294</v>
      </c>
      <c r="C757">
        <v>80</v>
      </c>
      <c r="D757">
        <v>79.937225342000005</v>
      </c>
      <c r="E757">
        <v>50</v>
      </c>
      <c r="F757">
        <v>47.592105865000001</v>
      </c>
      <c r="G757">
        <v>1388.7611084</v>
      </c>
      <c r="H757">
        <v>1374.2369385</v>
      </c>
      <c r="I757">
        <v>1286.5407714999999</v>
      </c>
      <c r="J757">
        <v>1267.3779297000001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385.25154500000002</v>
      </c>
      <c r="B758" s="1">
        <f>DATE(2011,5,21) + TIME(6,2,13)</f>
        <v>40684.251539351855</v>
      </c>
      <c r="C758">
        <v>80</v>
      </c>
      <c r="D758">
        <v>79.937217712000006</v>
      </c>
      <c r="E758">
        <v>50</v>
      </c>
      <c r="F758">
        <v>47.546970367</v>
      </c>
      <c r="G758">
        <v>1388.6876221</v>
      </c>
      <c r="H758">
        <v>1374.1749268000001</v>
      </c>
      <c r="I758">
        <v>1286.5281981999999</v>
      </c>
      <c r="J758">
        <v>1267.3614502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385.72769299999999</v>
      </c>
      <c r="B759" s="1">
        <f>DATE(2011,5,21) + TIME(17,27,52)</f>
        <v>40684.727685185186</v>
      </c>
      <c r="C759">
        <v>80</v>
      </c>
      <c r="D759">
        <v>79.937217712000006</v>
      </c>
      <c r="E759">
        <v>50</v>
      </c>
      <c r="F759">
        <v>47.501388550000001</v>
      </c>
      <c r="G759">
        <v>1388.6142577999999</v>
      </c>
      <c r="H759">
        <v>1374.1129149999999</v>
      </c>
      <c r="I759">
        <v>1286.5152588000001</v>
      </c>
      <c r="J759">
        <v>1267.3444824000001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386.21283099999999</v>
      </c>
      <c r="B760" s="1">
        <f>DATE(2011,5,22) + TIME(5,6,28)</f>
        <v>40685.212824074071</v>
      </c>
      <c r="C760">
        <v>80</v>
      </c>
      <c r="D760">
        <v>79.937210082999997</v>
      </c>
      <c r="E760">
        <v>50</v>
      </c>
      <c r="F760">
        <v>47.455276488999999</v>
      </c>
      <c r="G760">
        <v>1388.5408935999999</v>
      </c>
      <c r="H760">
        <v>1374.0509033000001</v>
      </c>
      <c r="I760">
        <v>1286.5017089999999</v>
      </c>
      <c r="J760">
        <v>1267.3267822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386.70825500000001</v>
      </c>
      <c r="B761" s="1">
        <f>DATE(2011,5,22) + TIME(16,59,53)</f>
        <v>40685.708252314813</v>
      </c>
      <c r="C761">
        <v>80</v>
      </c>
      <c r="D761">
        <v>79.937202454000001</v>
      </c>
      <c r="E761">
        <v>50</v>
      </c>
      <c r="F761">
        <v>47.408527374000002</v>
      </c>
      <c r="G761">
        <v>1388.4674072</v>
      </c>
      <c r="H761">
        <v>1373.9887695</v>
      </c>
      <c r="I761">
        <v>1286.4876709</v>
      </c>
      <c r="J761">
        <v>1267.3085937999999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387.21126400000003</v>
      </c>
      <c r="B762" s="1">
        <f>DATE(2011,5,23) + TIME(5,4,13)</f>
        <v>40686.211261574077</v>
      </c>
      <c r="C762">
        <v>80</v>
      </c>
      <c r="D762">
        <v>79.937194824000002</v>
      </c>
      <c r="E762">
        <v>50</v>
      </c>
      <c r="F762">
        <v>47.361270904999998</v>
      </c>
      <c r="G762">
        <v>1388.3935547000001</v>
      </c>
      <c r="H762">
        <v>1373.9263916</v>
      </c>
      <c r="I762">
        <v>1286.4731445</v>
      </c>
      <c r="J762">
        <v>1267.2896728999999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387.72212300000001</v>
      </c>
      <c r="B763" s="1">
        <f>DATE(2011,5,23) + TIME(17,19,51)</f>
        <v>40686.722118055557</v>
      </c>
      <c r="C763">
        <v>80</v>
      </c>
      <c r="D763">
        <v>79.937187195000007</v>
      </c>
      <c r="E763">
        <v>50</v>
      </c>
      <c r="F763">
        <v>47.313514709000003</v>
      </c>
      <c r="G763">
        <v>1388.3198242000001</v>
      </c>
      <c r="H763">
        <v>1373.8640137</v>
      </c>
      <c r="I763">
        <v>1286.4580077999999</v>
      </c>
      <c r="J763">
        <v>1267.2702637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388.24206299999997</v>
      </c>
      <c r="B764" s="1">
        <f>DATE(2011,5,24) + TIME(5,48,34)</f>
        <v>40687.242060185185</v>
      </c>
      <c r="C764">
        <v>80</v>
      </c>
      <c r="D764">
        <v>79.937187195000007</v>
      </c>
      <c r="E764">
        <v>50</v>
      </c>
      <c r="F764">
        <v>47.265193939</v>
      </c>
      <c r="G764">
        <v>1388.2462158000001</v>
      </c>
      <c r="H764">
        <v>1373.8016356999999</v>
      </c>
      <c r="I764">
        <v>1286.4425048999999</v>
      </c>
      <c r="J764">
        <v>1267.2502440999999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388.77238</v>
      </c>
      <c r="B765" s="1">
        <f>DATE(2011,5,24) + TIME(18,32,13)</f>
        <v>40687.772372685184</v>
      </c>
      <c r="C765">
        <v>80</v>
      </c>
      <c r="D765">
        <v>79.937179564999994</v>
      </c>
      <c r="E765">
        <v>50</v>
      </c>
      <c r="F765">
        <v>47.216232300000001</v>
      </c>
      <c r="G765">
        <v>1388.1724853999999</v>
      </c>
      <c r="H765">
        <v>1373.7392577999999</v>
      </c>
      <c r="I765">
        <v>1286.4263916</v>
      </c>
      <c r="J765">
        <v>1267.2296143000001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389.314483</v>
      </c>
      <c r="B766" s="1">
        <f>DATE(2011,5,25) + TIME(7,32,51)</f>
        <v>40688.314479166664</v>
      </c>
      <c r="C766">
        <v>80</v>
      </c>
      <c r="D766">
        <v>79.937179564999994</v>
      </c>
      <c r="E766">
        <v>50</v>
      </c>
      <c r="F766">
        <v>47.166534423999998</v>
      </c>
      <c r="G766">
        <v>1388.0985106999999</v>
      </c>
      <c r="H766">
        <v>1373.6766356999999</v>
      </c>
      <c r="I766">
        <v>1286.4099120999999</v>
      </c>
      <c r="J766">
        <v>1267.2082519999999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389.86991</v>
      </c>
      <c r="B767" s="1">
        <f>DATE(2011,5,25) + TIME(20,52,40)</f>
        <v>40688.86990740741</v>
      </c>
      <c r="C767">
        <v>80</v>
      </c>
      <c r="D767">
        <v>79.937179564999994</v>
      </c>
      <c r="E767">
        <v>50</v>
      </c>
      <c r="F767">
        <v>47.115989685000002</v>
      </c>
      <c r="G767">
        <v>1388.0241699000001</v>
      </c>
      <c r="H767">
        <v>1373.6137695</v>
      </c>
      <c r="I767">
        <v>1286.3927002</v>
      </c>
      <c r="J767">
        <v>1267.1861572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390.43869599999999</v>
      </c>
      <c r="B768" s="1">
        <f>DATE(2011,5,26) + TIME(10,31,43)</f>
        <v>40689.438692129632</v>
      </c>
      <c r="C768">
        <v>80</v>
      </c>
      <c r="D768">
        <v>79.937171935999999</v>
      </c>
      <c r="E768">
        <v>50</v>
      </c>
      <c r="F768">
        <v>47.064563751000001</v>
      </c>
      <c r="G768">
        <v>1387.9492187999999</v>
      </c>
      <c r="H768">
        <v>1373.5504149999999</v>
      </c>
      <c r="I768">
        <v>1286.3748779</v>
      </c>
      <c r="J768">
        <v>1267.1633300999999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391.00949500000002</v>
      </c>
      <c r="B769" s="1">
        <f>DATE(2011,5,27) + TIME(0,13,40)</f>
        <v>40690.00949074074</v>
      </c>
      <c r="C769">
        <v>80</v>
      </c>
      <c r="D769">
        <v>79.937171935999999</v>
      </c>
      <c r="E769">
        <v>50</v>
      </c>
      <c r="F769">
        <v>47.012844086000001</v>
      </c>
      <c r="G769">
        <v>1387.8742675999999</v>
      </c>
      <c r="H769">
        <v>1373.4868164</v>
      </c>
      <c r="I769">
        <v>1286.3564452999999</v>
      </c>
      <c r="J769">
        <v>1267.1397704999999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391.58377999999999</v>
      </c>
      <c r="B770" s="1">
        <f>DATE(2011,5,27) + TIME(14,0,38)</f>
        <v>40690.583773148152</v>
      </c>
      <c r="C770">
        <v>80</v>
      </c>
      <c r="D770">
        <v>79.937171935999999</v>
      </c>
      <c r="E770">
        <v>50</v>
      </c>
      <c r="F770">
        <v>46.960910796999997</v>
      </c>
      <c r="G770">
        <v>1387.8000488</v>
      </c>
      <c r="H770">
        <v>1373.4240723</v>
      </c>
      <c r="I770">
        <v>1286.3376464999999</v>
      </c>
      <c r="J770">
        <v>1267.1158447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392.16274299999998</v>
      </c>
      <c r="B771" s="1">
        <f>DATE(2011,5,28) + TIME(3,54,21)</f>
        <v>40691.162743055553</v>
      </c>
      <c r="C771">
        <v>80</v>
      </c>
      <c r="D771">
        <v>79.937164307000003</v>
      </c>
      <c r="E771">
        <v>50</v>
      </c>
      <c r="F771">
        <v>46.908779144</v>
      </c>
      <c r="G771">
        <v>1387.7265625</v>
      </c>
      <c r="H771">
        <v>1373.3618164</v>
      </c>
      <c r="I771">
        <v>1286.3186035000001</v>
      </c>
      <c r="J771">
        <v>1267.0914307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392.747748</v>
      </c>
      <c r="B772" s="1">
        <f>DATE(2011,5,28) + TIME(17,56,45)</f>
        <v>40691.747743055559</v>
      </c>
      <c r="C772">
        <v>80</v>
      </c>
      <c r="D772">
        <v>79.937164307000003</v>
      </c>
      <c r="E772">
        <v>50</v>
      </c>
      <c r="F772">
        <v>46.856391907000003</v>
      </c>
      <c r="G772">
        <v>1387.6536865</v>
      </c>
      <c r="H772">
        <v>1373.3000488</v>
      </c>
      <c r="I772">
        <v>1286.2991943</v>
      </c>
      <c r="J772">
        <v>1267.0666504000001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393.34018200000003</v>
      </c>
      <c r="B773" s="1">
        <f>DATE(2011,5,29) + TIME(8,9,51)</f>
        <v>40692.340173611112</v>
      </c>
      <c r="C773">
        <v>80</v>
      </c>
      <c r="D773">
        <v>79.937164307000003</v>
      </c>
      <c r="E773">
        <v>50</v>
      </c>
      <c r="F773">
        <v>46.803684234999999</v>
      </c>
      <c r="G773">
        <v>1387.5811768000001</v>
      </c>
      <c r="H773">
        <v>1373.2386475000001</v>
      </c>
      <c r="I773">
        <v>1286.2794189000001</v>
      </c>
      <c r="J773">
        <v>1267.0412598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393.94148799999999</v>
      </c>
      <c r="B774" s="1">
        <f>DATE(2011,5,29) + TIME(22,35,44)</f>
        <v>40692.941481481481</v>
      </c>
      <c r="C774">
        <v>80</v>
      </c>
      <c r="D774">
        <v>79.937171935999999</v>
      </c>
      <c r="E774">
        <v>50</v>
      </c>
      <c r="F774">
        <v>46.750549315999997</v>
      </c>
      <c r="G774">
        <v>1387.5090332</v>
      </c>
      <c r="H774">
        <v>1373.1774902</v>
      </c>
      <c r="I774">
        <v>1286.2591553</v>
      </c>
      <c r="J774">
        <v>1267.0152588000001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394.55318599999998</v>
      </c>
      <c r="B775" s="1">
        <f>DATE(2011,5,30) + TIME(13,16,35)</f>
        <v>40693.553182870368</v>
      </c>
      <c r="C775">
        <v>80</v>
      </c>
      <c r="D775">
        <v>79.937171935999999</v>
      </c>
      <c r="E775">
        <v>50</v>
      </c>
      <c r="F775">
        <v>46.696887969999999</v>
      </c>
      <c r="G775">
        <v>1387.4368896000001</v>
      </c>
      <c r="H775">
        <v>1373.1164550999999</v>
      </c>
      <c r="I775">
        <v>1286.2384033000001</v>
      </c>
      <c r="J775">
        <v>1266.9885254000001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395.176894</v>
      </c>
      <c r="B776" s="1">
        <f>DATE(2011,5,31) + TIME(4,14,43)</f>
        <v>40694.176886574074</v>
      </c>
      <c r="C776">
        <v>80</v>
      </c>
      <c r="D776">
        <v>79.937179564999994</v>
      </c>
      <c r="E776">
        <v>50</v>
      </c>
      <c r="F776">
        <v>46.642574310000001</v>
      </c>
      <c r="G776">
        <v>1387.3648682</v>
      </c>
      <c r="H776">
        <v>1373.0552978999999</v>
      </c>
      <c r="I776">
        <v>1286.2170410000001</v>
      </c>
      <c r="J776">
        <v>1266.9611815999999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395.814345</v>
      </c>
      <c r="B777" s="1">
        <f>DATE(2011,5,31) + TIME(19,32,39)</f>
        <v>40694.814340277779</v>
      </c>
      <c r="C777">
        <v>80</v>
      </c>
      <c r="D777">
        <v>79.937179564999994</v>
      </c>
      <c r="E777">
        <v>50</v>
      </c>
      <c r="F777">
        <v>46.587478638</v>
      </c>
      <c r="G777">
        <v>1387.2924805</v>
      </c>
      <c r="H777">
        <v>1372.9940185999999</v>
      </c>
      <c r="I777">
        <v>1286.1951904</v>
      </c>
      <c r="J777">
        <v>1266.9329834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396</v>
      </c>
      <c r="B778" s="1">
        <f>DATE(2011,6,1) + TIME(0,0,0)</f>
        <v>40695</v>
      </c>
      <c r="C778">
        <v>80</v>
      </c>
      <c r="D778">
        <v>79.937118530000006</v>
      </c>
      <c r="E778">
        <v>50</v>
      </c>
      <c r="F778">
        <v>46.564266205000003</v>
      </c>
      <c r="G778">
        <v>1387.2423096</v>
      </c>
      <c r="H778">
        <v>1372.9525146000001</v>
      </c>
      <c r="I778">
        <v>1286.1750488</v>
      </c>
      <c r="J778">
        <v>1266.9127197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396.65308800000003</v>
      </c>
      <c r="B779" s="1">
        <f>DATE(2011,6,1) + TIME(15,40,26)</f>
        <v>40695.653078703705</v>
      </c>
      <c r="C779">
        <v>80</v>
      </c>
      <c r="D779">
        <v>79.937187195000007</v>
      </c>
      <c r="E779">
        <v>50</v>
      </c>
      <c r="F779">
        <v>46.511367798000002</v>
      </c>
      <c r="G779">
        <v>1387.1947021000001</v>
      </c>
      <c r="H779">
        <v>1372.9110106999999</v>
      </c>
      <c r="I779">
        <v>1286.1647949000001</v>
      </c>
      <c r="J779">
        <v>1266.8934326000001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397.31897199999997</v>
      </c>
      <c r="B780" s="1">
        <f>DATE(2011,6,2) + TIME(7,39,19)</f>
        <v>40696.318969907406</v>
      </c>
      <c r="C780">
        <v>80</v>
      </c>
      <c r="D780">
        <v>79.937194824000002</v>
      </c>
      <c r="E780">
        <v>50</v>
      </c>
      <c r="F780">
        <v>46.456310272000003</v>
      </c>
      <c r="G780">
        <v>1387.125</v>
      </c>
      <c r="H780">
        <v>1372.8519286999999</v>
      </c>
      <c r="I780">
        <v>1286.1422118999999</v>
      </c>
      <c r="J780">
        <v>1266.8643798999999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397.99620399999998</v>
      </c>
      <c r="B781" s="1">
        <f>DATE(2011,6,2) + TIME(23,54,32)</f>
        <v>40696.996203703704</v>
      </c>
      <c r="C781">
        <v>80</v>
      </c>
      <c r="D781">
        <v>79.937202454000001</v>
      </c>
      <c r="E781">
        <v>50</v>
      </c>
      <c r="F781">
        <v>46.399738311999997</v>
      </c>
      <c r="G781">
        <v>1387.0526123</v>
      </c>
      <c r="H781">
        <v>1372.7904053</v>
      </c>
      <c r="I781">
        <v>1286.1180420000001</v>
      </c>
      <c r="J781">
        <v>1266.8334961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398.68665900000002</v>
      </c>
      <c r="B782" s="1">
        <f>DATE(2011,6,3) + TIME(16,28,47)</f>
        <v>40697.686655092592</v>
      </c>
      <c r="C782">
        <v>80</v>
      </c>
      <c r="D782">
        <v>79.937210082999997</v>
      </c>
      <c r="E782">
        <v>50</v>
      </c>
      <c r="F782">
        <v>46.341934203999998</v>
      </c>
      <c r="G782">
        <v>1386.9796143000001</v>
      </c>
      <c r="H782">
        <v>1372.7286377</v>
      </c>
      <c r="I782">
        <v>1286.0931396000001</v>
      </c>
      <c r="J782">
        <v>1266.8013916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399.39224300000001</v>
      </c>
      <c r="B783" s="1">
        <f>DATE(2011,6,4) + TIME(9,24,49)</f>
        <v>40698.392233796294</v>
      </c>
      <c r="C783">
        <v>80</v>
      </c>
      <c r="D783">
        <v>79.937217712000006</v>
      </c>
      <c r="E783">
        <v>50</v>
      </c>
      <c r="F783">
        <v>46.282985687</v>
      </c>
      <c r="G783">
        <v>1386.9063721</v>
      </c>
      <c r="H783">
        <v>1372.6663818</v>
      </c>
      <c r="I783">
        <v>1286.0673827999999</v>
      </c>
      <c r="J783">
        <v>1266.7681885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400.100233</v>
      </c>
      <c r="B784" s="1">
        <f>DATE(2011,6,5) + TIME(2,24,20)</f>
        <v>40699.100231481483</v>
      </c>
      <c r="C784">
        <v>80</v>
      </c>
      <c r="D784">
        <v>79.937225342000005</v>
      </c>
      <c r="E784">
        <v>50</v>
      </c>
      <c r="F784">
        <v>46.223541259999998</v>
      </c>
      <c r="G784">
        <v>1386.8330077999999</v>
      </c>
      <c r="H784">
        <v>1372.604126</v>
      </c>
      <c r="I784">
        <v>1286.0407714999999</v>
      </c>
      <c r="J784">
        <v>1266.7340088000001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400.812185</v>
      </c>
      <c r="B785" s="1">
        <f>DATE(2011,6,5) + TIME(19,29,32)</f>
        <v>40699.812175925923</v>
      </c>
      <c r="C785">
        <v>80</v>
      </c>
      <c r="D785">
        <v>79.937232971</v>
      </c>
      <c r="E785">
        <v>50</v>
      </c>
      <c r="F785">
        <v>46.163795471</v>
      </c>
      <c r="G785">
        <v>1386.760376</v>
      </c>
      <c r="H785">
        <v>1372.5424805</v>
      </c>
      <c r="I785">
        <v>1286.0139160000001</v>
      </c>
      <c r="J785">
        <v>1266.6990966999999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401.52951999999999</v>
      </c>
      <c r="B786" s="1">
        <f>DATE(2011,6,6) + TIME(12,42,30)</f>
        <v>40700.529513888891</v>
      </c>
      <c r="C786">
        <v>80</v>
      </c>
      <c r="D786">
        <v>79.937240600999999</v>
      </c>
      <c r="E786">
        <v>50</v>
      </c>
      <c r="F786">
        <v>46.103794098000002</v>
      </c>
      <c r="G786">
        <v>1386.6884766000001</v>
      </c>
      <c r="H786">
        <v>1372.4813231999999</v>
      </c>
      <c r="I786">
        <v>1285.9864502</v>
      </c>
      <c r="J786">
        <v>1266.6635742000001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402.25394599999998</v>
      </c>
      <c r="B787" s="1">
        <f>DATE(2011,6,7) + TIME(6,5,40)</f>
        <v>40701.253935185188</v>
      </c>
      <c r="C787">
        <v>80</v>
      </c>
      <c r="D787">
        <v>79.937248229999994</v>
      </c>
      <c r="E787">
        <v>50</v>
      </c>
      <c r="F787">
        <v>46.043498993</v>
      </c>
      <c r="G787">
        <v>1386.6170654</v>
      </c>
      <c r="H787">
        <v>1372.4207764</v>
      </c>
      <c r="I787">
        <v>1285.9584961</v>
      </c>
      <c r="J787">
        <v>1266.6271973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402.98710899999998</v>
      </c>
      <c r="B788" s="1">
        <f>DATE(2011,6,7) + TIME(23,41,26)</f>
        <v>40701.98710648148</v>
      </c>
      <c r="C788">
        <v>80</v>
      </c>
      <c r="D788">
        <v>79.937263489000003</v>
      </c>
      <c r="E788">
        <v>50</v>
      </c>
      <c r="F788">
        <v>45.982818604000002</v>
      </c>
      <c r="G788">
        <v>1386.5461425999999</v>
      </c>
      <c r="H788">
        <v>1372.3603516000001</v>
      </c>
      <c r="I788">
        <v>1285.9299315999999</v>
      </c>
      <c r="J788">
        <v>1266.5899658000001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403.72890799999999</v>
      </c>
      <c r="B789" s="1">
        <f>DATE(2011,6,8) + TIME(17,29,37)</f>
        <v>40702.728900462964</v>
      </c>
      <c r="C789">
        <v>80</v>
      </c>
      <c r="D789">
        <v>79.937271117999998</v>
      </c>
      <c r="E789">
        <v>50</v>
      </c>
      <c r="F789">
        <v>45.921726227000001</v>
      </c>
      <c r="G789">
        <v>1386.4754639</v>
      </c>
      <c r="H789">
        <v>1372.300293</v>
      </c>
      <c r="I789">
        <v>1285.9007568</v>
      </c>
      <c r="J789">
        <v>1266.5517577999999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404.48111799999998</v>
      </c>
      <c r="B790" s="1">
        <f>DATE(2011,6,9) + TIME(11,32,48)</f>
        <v>40703.481111111112</v>
      </c>
      <c r="C790">
        <v>80</v>
      </c>
      <c r="D790">
        <v>79.937286377000007</v>
      </c>
      <c r="E790">
        <v>50</v>
      </c>
      <c r="F790">
        <v>45.860122681</v>
      </c>
      <c r="G790">
        <v>1386.4050293</v>
      </c>
      <c r="H790">
        <v>1372.2403564000001</v>
      </c>
      <c r="I790">
        <v>1285.8707274999999</v>
      </c>
      <c r="J790">
        <v>1266.5125731999999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405.24557800000002</v>
      </c>
      <c r="B791" s="1">
        <f>DATE(2011,6,10) + TIME(5,53,37)</f>
        <v>40704.245567129627</v>
      </c>
      <c r="C791">
        <v>80</v>
      </c>
      <c r="D791">
        <v>79.937301636000001</v>
      </c>
      <c r="E791">
        <v>50</v>
      </c>
      <c r="F791">
        <v>45.797885895</v>
      </c>
      <c r="G791">
        <v>1386.3345947</v>
      </c>
      <c r="H791">
        <v>1372.1805420000001</v>
      </c>
      <c r="I791">
        <v>1285.8400879000001</v>
      </c>
      <c r="J791">
        <v>1266.4722899999999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406.02424400000001</v>
      </c>
      <c r="B792" s="1">
        <f>DATE(2011,6,11) + TIME(0,34,54)</f>
        <v>40705.024236111109</v>
      </c>
      <c r="C792">
        <v>80</v>
      </c>
      <c r="D792">
        <v>79.937316894999995</v>
      </c>
      <c r="E792">
        <v>50</v>
      </c>
      <c r="F792">
        <v>45.734870911000002</v>
      </c>
      <c r="G792">
        <v>1386.2641602000001</v>
      </c>
      <c r="H792">
        <v>1372.1204834</v>
      </c>
      <c r="I792">
        <v>1285.8083495999999</v>
      </c>
      <c r="J792">
        <v>1266.4306641000001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406.81921799999998</v>
      </c>
      <c r="B793" s="1">
        <f>DATE(2011,6,11) + TIME(19,39,40)</f>
        <v>40705.819212962961</v>
      </c>
      <c r="C793">
        <v>80</v>
      </c>
      <c r="D793">
        <v>79.937332153</v>
      </c>
      <c r="E793">
        <v>50</v>
      </c>
      <c r="F793">
        <v>45.670928955000001</v>
      </c>
      <c r="G793">
        <v>1386.1936035000001</v>
      </c>
      <c r="H793">
        <v>1372.0603027</v>
      </c>
      <c r="I793">
        <v>1285.7757568</v>
      </c>
      <c r="J793">
        <v>1266.3875731999999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407.632791</v>
      </c>
      <c r="B794" s="1">
        <f>DATE(2011,6,12) + TIME(15,11,13)</f>
        <v>40706.632789351854</v>
      </c>
      <c r="C794">
        <v>80</v>
      </c>
      <c r="D794">
        <v>79.937355041999993</v>
      </c>
      <c r="E794">
        <v>50</v>
      </c>
      <c r="F794">
        <v>45.605884551999999</v>
      </c>
      <c r="G794">
        <v>1386.1225586</v>
      </c>
      <c r="H794">
        <v>1371.9998779</v>
      </c>
      <c r="I794">
        <v>1285.7419434000001</v>
      </c>
      <c r="J794">
        <v>1266.3428954999999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408.46174200000002</v>
      </c>
      <c r="B795" s="1">
        <f>DATE(2011,6,13) + TIME(11,4,54)</f>
        <v>40707.461736111109</v>
      </c>
      <c r="C795">
        <v>80</v>
      </c>
      <c r="D795">
        <v>79.937370299999998</v>
      </c>
      <c r="E795">
        <v>50</v>
      </c>
      <c r="F795">
        <v>45.539787292</v>
      </c>
      <c r="G795">
        <v>1386.0510254000001</v>
      </c>
      <c r="H795">
        <v>1371.9389647999999</v>
      </c>
      <c r="I795">
        <v>1285.7069091999999</v>
      </c>
      <c r="J795">
        <v>1266.2966309000001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409.29672900000003</v>
      </c>
      <c r="B796" s="1">
        <f>DATE(2011,6,14) + TIME(7,7,17)</f>
        <v>40708.296724537038</v>
      </c>
      <c r="C796">
        <v>80</v>
      </c>
      <c r="D796">
        <v>79.937385559000006</v>
      </c>
      <c r="E796">
        <v>50</v>
      </c>
      <c r="F796">
        <v>45.473022460999999</v>
      </c>
      <c r="G796">
        <v>1385.9794922000001</v>
      </c>
      <c r="H796">
        <v>1371.8779297000001</v>
      </c>
      <c r="I796">
        <v>1285.6706543</v>
      </c>
      <c r="J796">
        <v>1266.2486572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410.13985100000002</v>
      </c>
      <c r="B797" s="1">
        <f>DATE(2011,6,15) + TIME(3,21,23)</f>
        <v>40709.139849537038</v>
      </c>
      <c r="C797">
        <v>80</v>
      </c>
      <c r="D797">
        <v>79.937408446999996</v>
      </c>
      <c r="E797">
        <v>50</v>
      </c>
      <c r="F797">
        <v>45.405700684000003</v>
      </c>
      <c r="G797">
        <v>1385.9084473</v>
      </c>
      <c r="H797">
        <v>1371.8172606999999</v>
      </c>
      <c r="I797">
        <v>1285.6336670000001</v>
      </c>
      <c r="J797">
        <v>1266.1993408000001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410.98966300000001</v>
      </c>
      <c r="B798" s="1">
        <f>DATE(2011,6,15) + TIME(23,45,6)</f>
        <v>40709.989652777775</v>
      </c>
      <c r="C798">
        <v>80</v>
      </c>
      <c r="D798">
        <v>79.937423706000004</v>
      </c>
      <c r="E798">
        <v>50</v>
      </c>
      <c r="F798">
        <v>45.337917328000003</v>
      </c>
      <c r="G798">
        <v>1385.8376464999999</v>
      </c>
      <c r="H798">
        <v>1371.7569579999999</v>
      </c>
      <c r="I798">
        <v>1285.5957031</v>
      </c>
      <c r="J798">
        <v>1266.1488036999999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411.84352699999999</v>
      </c>
      <c r="B799" s="1">
        <f>DATE(2011,6,16) + TIME(20,14,40)</f>
        <v>40710.843518518515</v>
      </c>
      <c r="C799">
        <v>80</v>
      </c>
      <c r="D799">
        <v>79.937446593999994</v>
      </c>
      <c r="E799">
        <v>50</v>
      </c>
      <c r="F799">
        <v>45.269832610999998</v>
      </c>
      <c r="G799">
        <v>1385.7674560999999</v>
      </c>
      <c r="H799">
        <v>1371.6970214999999</v>
      </c>
      <c r="I799">
        <v>1285.5570068</v>
      </c>
      <c r="J799">
        <v>1266.0969238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412.70348999999999</v>
      </c>
      <c r="B800" s="1">
        <f>DATE(2011,6,17) + TIME(16,53,1)</f>
        <v>40711.703483796293</v>
      </c>
      <c r="C800">
        <v>80</v>
      </c>
      <c r="D800">
        <v>79.937469481999997</v>
      </c>
      <c r="E800">
        <v>50</v>
      </c>
      <c r="F800">
        <v>45.201427459999998</v>
      </c>
      <c r="G800">
        <v>1385.697876</v>
      </c>
      <c r="H800">
        <v>1371.6375731999999</v>
      </c>
      <c r="I800">
        <v>1285.5174560999999</v>
      </c>
      <c r="J800">
        <v>1266.0438231999999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413.57128399999999</v>
      </c>
      <c r="B801" s="1">
        <f>DATE(2011,6,18) + TIME(13,42,38)</f>
        <v>40712.571273148147</v>
      </c>
      <c r="C801">
        <v>80</v>
      </c>
      <c r="D801">
        <v>79.937492371000005</v>
      </c>
      <c r="E801">
        <v>50</v>
      </c>
      <c r="F801">
        <v>45.132621765000003</v>
      </c>
      <c r="G801">
        <v>1385.6289062000001</v>
      </c>
      <c r="H801">
        <v>1371.5784911999999</v>
      </c>
      <c r="I801">
        <v>1285.4769286999999</v>
      </c>
      <c r="J801">
        <v>1265.9893798999999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414.44892299999998</v>
      </c>
      <c r="B802" s="1">
        <f>DATE(2011,6,19) + TIME(10,46,26)</f>
        <v>40713.448912037034</v>
      </c>
      <c r="C802">
        <v>80</v>
      </c>
      <c r="D802">
        <v>79.937515258999994</v>
      </c>
      <c r="E802">
        <v>50</v>
      </c>
      <c r="F802">
        <v>45.063285827999998</v>
      </c>
      <c r="G802">
        <v>1385.5601807</v>
      </c>
      <c r="H802">
        <v>1371.5197754000001</v>
      </c>
      <c r="I802">
        <v>1285.4355469</v>
      </c>
      <c r="J802">
        <v>1265.9333495999999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415.33848899999998</v>
      </c>
      <c r="B803" s="1">
        <f>DATE(2011,6,20) + TIME(8,7,25)</f>
        <v>40714.338483796295</v>
      </c>
      <c r="C803">
        <v>80</v>
      </c>
      <c r="D803">
        <v>79.937538146999998</v>
      </c>
      <c r="E803">
        <v>50</v>
      </c>
      <c r="F803">
        <v>44.993267058999997</v>
      </c>
      <c r="G803">
        <v>1385.4915771000001</v>
      </c>
      <c r="H803">
        <v>1371.4610596</v>
      </c>
      <c r="I803">
        <v>1285.3929443</v>
      </c>
      <c r="J803">
        <v>1265.8757324000001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416.24215700000002</v>
      </c>
      <c r="B804" s="1">
        <f>DATE(2011,6,21) + TIME(5,48,42)</f>
        <v>40715.242152777777</v>
      </c>
      <c r="C804">
        <v>80</v>
      </c>
      <c r="D804">
        <v>79.937568665000001</v>
      </c>
      <c r="E804">
        <v>50</v>
      </c>
      <c r="F804">
        <v>44.922397613999998</v>
      </c>
      <c r="G804">
        <v>1385.4230957</v>
      </c>
      <c r="H804">
        <v>1371.4024658000001</v>
      </c>
      <c r="I804">
        <v>1285.3491211</v>
      </c>
      <c r="J804">
        <v>1265.8161620999999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417.16224099999999</v>
      </c>
      <c r="B805" s="1">
        <f>DATE(2011,6,22) + TIME(3,53,37)</f>
        <v>40716.162233796298</v>
      </c>
      <c r="C805">
        <v>80</v>
      </c>
      <c r="D805">
        <v>79.937591553000004</v>
      </c>
      <c r="E805">
        <v>50</v>
      </c>
      <c r="F805">
        <v>44.850486754999999</v>
      </c>
      <c r="G805">
        <v>1385.3544922000001</v>
      </c>
      <c r="H805">
        <v>1371.3436279</v>
      </c>
      <c r="I805">
        <v>1285.3038329999999</v>
      </c>
      <c r="J805">
        <v>1265.7543945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418.10123199999998</v>
      </c>
      <c r="B806" s="1">
        <f>DATE(2011,6,23) + TIME(2,25,46)</f>
        <v>40717.101226851853</v>
      </c>
      <c r="C806">
        <v>80</v>
      </c>
      <c r="D806">
        <v>79.937622070000003</v>
      </c>
      <c r="E806">
        <v>50</v>
      </c>
      <c r="F806">
        <v>44.777339935000001</v>
      </c>
      <c r="G806">
        <v>1385.2856445</v>
      </c>
      <c r="H806">
        <v>1371.284668</v>
      </c>
      <c r="I806">
        <v>1285.2570800999999</v>
      </c>
      <c r="J806">
        <v>1265.6904297000001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419.06184400000001</v>
      </c>
      <c r="B807" s="1">
        <f>DATE(2011,6,24) + TIME(1,29,3)</f>
        <v>40718.061840277776</v>
      </c>
      <c r="C807">
        <v>80</v>
      </c>
      <c r="D807">
        <v>79.937652588000006</v>
      </c>
      <c r="E807">
        <v>50</v>
      </c>
      <c r="F807">
        <v>44.702735900999997</v>
      </c>
      <c r="G807">
        <v>1385.2164307</v>
      </c>
      <c r="H807">
        <v>1371.2252197</v>
      </c>
      <c r="I807">
        <v>1285.2086182</v>
      </c>
      <c r="J807">
        <v>1265.6239014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420.02950600000003</v>
      </c>
      <c r="B808" s="1">
        <f>DATE(2011,6,25) + TIME(0,42,29)</f>
        <v>40719.029502314814</v>
      </c>
      <c r="C808">
        <v>80</v>
      </c>
      <c r="D808">
        <v>79.937675475999995</v>
      </c>
      <c r="E808">
        <v>50</v>
      </c>
      <c r="F808">
        <v>44.627082825000002</v>
      </c>
      <c r="G808">
        <v>1385.1468506000001</v>
      </c>
      <c r="H808">
        <v>1371.1655272999999</v>
      </c>
      <c r="I808">
        <v>1285.1582031</v>
      </c>
      <c r="J808">
        <v>1265.5546875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421.00590999999997</v>
      </c>
      <c r="B809" s="1">
        <f>DATE(2011,6,26) + TIME(0,8,30)</f>
        <v>40720.005902777775</v>
      </c>
      <c r="C809">
        <v>80</v>
      </c>
      <c r="D809">
        <v>79.937705993999998</v>
      </c>
      <c r="E809">
        <v>50</v>
      </c>
      <c r="F809">
        <v>44.550567627</v>
      </c>
      <c r="G809">
        <v>1385.0775146000001</v>
      </c>
      <c r="H809">
        <v>1371.1060791</v>
      </c>
      <c r="I809">
        <v>1285.1064452999999</v>
      </c>
      <c r="J809">
        <v>1265.4832764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421.993447</v>
      </c>
      <c r="B810" s="1">
        <f>DATE(2011,6,26) + TIME(23,50,33)</f>
        <v>40720.993437500001</v>
      </c>
      <c r="C810">
        <v>80</v>
      </c>
      <c r="D810">
        <v>79.937736510999997</v>
      </c>
      <c r="E810">
        <v>50</v>
      </c>
      <c r="F810">
        <v>44.473167418999999</v>
      </c>
      <c r="G810">
        <v>1385.0085449000001</v>
      </c>
      <c r="H810">
        <v>1371.0467529</v>
      </c>
      <c r="I810">
        <v>1285.0534668</v>
      </c>
      <c r="J810">
        <v>1265.4097899999999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422.99250699999999</v>
      </c>
      <c r="B811" s="1">
        <f>DATE(2011,6,27) + TIME(23,49,12)</f>
        <v>40721.9925</v>
      </c>
      <c r="C811">
        <v>80</v>
      </c>
      <c r="D811">
        <v>79.937774657999995</v>
      </c>
      <c r="E811">
        <v>50</v>
      </c>
      <c r="F811">
        <v>44.394832610999998</v>
      </c>
      <c r="G811">
        <v>1384.9398193</v>
      </c>
      <c r="H811">
        <v>1370.9876709</v>
      </c>
      <c r="I811">
        <v>1284.9989014</v>
      </c>
      <c r="J811">
        <v>1265.3339844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423.99713300000002</v>
      </c>
      <c r="B812" s="1">
        <f>DATE(2011,6,28) + TIME(23,55,52)</f>
        <v>40722.997129629628</v>
      </c>
      <c r="C812">
        <v>80</v>
      </c>
      <c r="D812">
        <v>79.937805175999998</v>
      </c>
      <c r="E812">
        <v>50</v>
      </c>
      <c r="F812">
        <v>44.315734863000003</v>
      </c>
      <c r="G812">
        <v>1384.8712158000001</v>
      </c>
      <c r="H812">
        <v>1370.9287108999999</v>
      </c>
      <c r="I812">
        <v>1284.942749</v>
      </c>
      <c r="J812">
        <v>1265.2557373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425.00968399999999</v>
      </c>
      <c r="B813" s="1">
        <f>DATE(2011,6,30) + TIME(0,13,56)</f>
        <v>40724.009675925925</v>
      </c>
      <c r="C813">
        <v>80</v>
      </c>
      <c r="D813">
        <v>79.937835692999997</v>
      </c>
      <c r="E813">
        <v>50</v>
      </c>
      <c r="F813">
        <v>44.235893249999997</v>
      </c>
      <c r="G813">
        <v>1384.8031006000001</v>
      </c>
      <c r="H813">
        <v>1370.8701172000001</v>
      </c>
      <c r="I813">
        <v>1284.8852539</v>
      </c>
      <c r="J813">
        <v>1265.175293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426</v>
      </c>
      <c r="B814" s="1">
        <f>DATE(2011,7,1) + TIME(0,0,0)</f>
        <v>40725</v>
      </c>
      <c r="C814">
        <v>80</v>
      </c>
      <c r="D814">
        <v>79.937866210999999</v>
      </c>
      <c r="E814">
        <v>50</v>
      </c>
      <c r="F814">
        <v>44.156391143999997</v>
      </c>
      <c r="G814">
        <v>1384.7359618999999</v>
      </c>
      <c r="H814">
        <v>1370.8122559000001</v>
      </c>
      <c r="I814">
        <v>1284.8265381000001</v>
      </c>
      <c r="J814">
        <v>1265.0930175999999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427.02257500000002</v>
      </c>
      <c r="B815" s="1">
        <f>DATE(2011,7,2) + TIME(0,32,30)</f>
        <v>40726.022569444445</v>
      </c>
      <c r="C815">
        <v>80</v>
      </c>
      <c r="D815">
        <v>79.937904357999997</v>
      </c>
      <c r="E815">
        <v>50</v>
      </c>
      <c r="F815">
        <v>44.075904846</v>
      </c>
      <c r="G815">
        <v>1384.6699219</v>
      </c>
      <c r="H815">
        <v>1370.755249</v>
      </c>
      <c r="I815">
        <v>1284.7677002</v>
      </c>
      <c r="J815">
        <v>1265.0097656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428.07201400000002</v>
      </c>
      <c r="B816" s="1">
        <f>DATE(2011,7,3) + TIME(1,43,42)</f>
        <v>40727.072013888886</v>
      </c>
      <c r="C816">
        <v>80</v>
      </c>
      <c r="D816">
        <v>79.937942504999995</v>
      </c>
      <c r="E816">
        <v>50</v>
      </c>
      <c r="F816">
        <v>43.993679047000001</v>
      </c>
      <c r="G816">
        <v>1384.6031493999999</v>
      </c>
      <c r="H816">
        <v>1370.6976318</v>
      </c>
      <c r="I816">
        <v>1284.7062988</v>
      </c>
      <c r="J816">
        <v>1264.9227295000001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429.13872700000002</v>
      </c>
      <c r="B817" s="1">
        <f>DATE(2011,7,4) + TIME(3,19,46)</f>
        <v>40728.138726851852</v>
      </c>
      <c r="C817">
        <v>80</v>
      </c>
      <c r="D817">
        <v>79.937980651999993</v>
      </c>
      <c r="E817">
        <v>50</v>
      </c>
      <c r="F817">
        <v>43.909694672000001</v>
      </c>
      <c r="G817">
        <v>1384.5357666</v>
      </c>
      <c r="H817">
        <v>1370.6395264</v>
      </c>
      <c r="I817">
        <v>1284.6422118999999</v>
      </c>
      <c r="J817">
        <v>1264.8317870999999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430.22568699999999</v>
      </c>
      <c r="B818" s="1">
        <f>DATE(2011,7,5) + TIME(5,24,59)</f>
        <v>40729.225682870368</v>
      </c>
      <c r="C818">
        <v>80</v>
      </c>
      <c r="D818">
        <v>79.938018799000005</v>
      </c>
      <c r="E818">
        <v>50</v>
      </c>
      <c r="F818">
        <v>43.823894500999998</v>
      </c>
      <c r="G818">
        <v>1384.4681396000001</v>
      </c>
      <c r="H818">
        <v>1370.5810547000001</v>
      </c>
      <c r="I818">
        <v>1284.5758057</v>
      </c>
      <c r="J818">
        <v>1264.7373047000001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431.33005000000003</v>
      </c>
      <c r="B819" s="1">
        <f>DATE(2011,7,6) + TIME(7,55,16)</f>
        <v>40730.330046296294</v>
      </c>
      <c r="C819">
        <v>80</v>
      </c>
      <c r="D819">
        <v>79.938056946000003</v>
      </c>
      <c r="E819">
        <v>50</v>
      </c>
      <c r="F819">
        <v>43.736293793000002</v>
      </c>
      <c r="G819">
        <v>1384.4001464999999</v>
      </c>
      <c r="H819">
        <v>1370.5223389</v>
      </c>
      <c r="I819">
        <v>1284.5070800999999</v>
      </c>
      <c r="J819">
        <v>1264.6390381000001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432.44239399999998</v>
      </c>
      <c r="B820" s="1">
        <f>DATE(2011,7,7) + TIME(10,37,2)</f>
        <v>40731.442384259259</v>
      </c>
      <c r="C820">
        <v>80</v>
      </c>
      <c r="D820">
        <v>79.938102721999996</v>
      </c>
      <c r="E820">
        <v>50</v>
      </c>
      <c r="F820">
        <v>43.647232056</v>
      </c>
      <c r="G820">
        <v>1384.3320312000001</v>
      </c>
      <c r="H820">
        <v>1370.463501</v>
      </c>
      <c r="I820">
        <v>1284.4361572</v>
      </c>
      <c r="J820">
        <v>1264.5372314000001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433.565448</v>
      </c>
      <c r="B821" s="1">
        <f>DATE(2011,7,8) + TIME(13,34,14)</f>
        <v>40732.565439814818</v>
      </c>
      <c r="C821">
        <v>80</v>
      </c>
      <c r="D821">
        <v>79.938140868999994</v>
      </c>
      <c r="E821">
        <v>50</v>
      </c>
      <c r="F821">
        <v>43.556846618999998</v>
      </c>
      <c r="G821">
        <v>1384.2642822</v>
      </c>
      <c r="H821">
        <v>1370.4047852000001</v>
      </c>
      <c r="I821">
        <v>1284.3632812000001</v>
      </c>
      <c r="J821">
        <v>1264.4324951000001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434.70194600000002</v>
      </c>
      <c r="B822" s="1">
        <f>DATE(2011,7,9) + TIME(16,50,48)</f>
        <v>40733.701944444445</v>
      </c>
      <c r="C822">
        <v>80</v>
      </c>
      <c r="D822">
        <v>79.938179016000007</v>
      </c>
      <c r="E822">
        <v>50</v>
      </c>
      <c r="F822">
        <v>43.465042113999999</v>
      </c>
      <c r="G822">
        <v>1384.1967772999999</v>
      </c>
      <c r="H822">
        <v>1370.3463135</v>
      </c>
      <c r="I822">
        <v>1284.2885742000001</v>
      </c>
      <c r="J822">
        <v>1264.3243408000001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435.85127699999998</v>
      </c>
      <c r="B823" s="1">
        <f>DATE(2011,7,10) + TIME(20,25,50)</f>
        <v>40734.851273148146</v>
      </c>
      <c r="C823">
        <v>80</v>
      </c>
      <c r="D823">
        <v>79.938224792</v>
      </c>
      <c r="E823">
        <v>50</v>
      </c>
      <c r="F823">
        <v>43.371746063000003</v>
      </c>
      <c r="G823">
        <v>1384.1292725000001</v>
      </c>
      <c r="H823">
        <v>1370.2877197</v>
      </c>
      <c r="I823">
        <v>1284.2115478999999</v>
      </c>
      <c r="J823">
        <v>1264.2126464999999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437.01533699999999</v>
      </c>
      <c r="B824" s="1">
        <f>DATE(2011,7,12) + TIME(0,22,5)</f>
        <v>40736.015335648146</v>
      </c>
      <c r="C824">
        <v>80</v>
      </c>
      <c r="D824">
        <v>79.938270568999997</v>
      </c>
      <c r="E824">
        <v>50</v>
      </c>
      <c r="F824">
        <v>43.276840210000003</v>
      </c>
      <c r="G824">
        <v>1384.0618896000001</v>
      </c>
      <c r="H824">
        <v>1370.2292480000001</v>
      </c>
      <c r="I824">
        <v>1284.1324463000001</v>
      </c>
      <c r="J824">
        <v>1264.0974120999999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438.19051100000001</v>
      </c>
      <c r="B825" s="1">
        <f>DATE(2011,7,13) + TIME(4,34,20)</f>
        <v>40737.190509259257</v>
      </c>
      <c r="C825">
        <v>80</v>
      </c>
      <c r="D825">
        <v>79.938316345000004</v>
      </c>
      <c r="E825">
        <v>50</v>
      </c>
      <c r="F825">
        <v>43.180347443000002</v>
      </c>
      <c r="G825">
        <v>1383.9945068</v>
      </c>
      <c r="H825">
        <v>1370.1708983999999</v>
      </c>
      <c r="I825">
        <v>1284.0510254000001</v>
      </c>
      <c r="J825">
        <v>1263.9783935999999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439.37701399999997</v>
      </c>
      <c r="B826" s="1">
        <f>DATE(2011,7,14) + TIME(9,2,53)</f>
        <v>40738.377002314817</v>
      </c>
      <c r="C826">
        <v>80</v>
      </c>
      <c r="D826">
        <v>79.938362122000001</v>
      </c>
      <c r="E826">
        <v>50</v>
      </c>
      <c r="F826">
        <v>43.082290649000001</v>
      </c>
      <c r="G826">
        <v>1383.9273682</v>
      </c>
      <c r="H826">
        <v>1370.1125488</v>
      </c>
      <c r="I826">
        <v>1283.9674072</v>
      </c>
      <c r="J826">
        <v>1263.8555908000001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440.57761299999999</v>
      </c>
      <c r="B827" s="1">
        <f>DATE(2011,7,15) + TIME(13,51,45)</f>
        <v>40739.577604166669</v>
      </c>
      <c r="C827">
        <v>80</v>
      </c>
      <c r="D827">
        <v>79.938407897999994</v>
      </c>
      <c r="E827">
        <v>50</v>
      </c>
      <c r="F827">
        <v>42.982551575000002</v>
      </c>
      <c r="G827">
        <v>1383.8604736</v>
      </c>
      <c r="H827">
        <v>1370.0543213000001</v>
      </c>
      <c r="I827">
        <v>1283.8814697</v>
      </c>
      <c r="J827">
        <v>1263.729126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441.795209</v>
      </c>
      <c r="B828" s="1">
        <f>DATE(2011,7,16) + TIME(19,5,6)</f>
        <v>40740.795208333337</v>
      </c>
      <c r="C828">
        <v>80</v>
      </c>
      <c r="D828">
        <v>79.938453674000002</v>
      </c>
      <c r="E828">
        <v>50</v>
      </c>
      <c r="F828">
        <v>42.880916595000002</v>
      </c>
      <c r="G828">
        <v>1383.793457</v>
      </c>
      <c r="H828">
        <v>1369.9960937999999</v>
      </c>
      <c r="I828">
        <v>1283.7932129000001</v>
      </c>
      <c r="J828">
        <v>1263.5986327999999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443.02902599999999</v>
      </c>
      <c r="B829" s="1">
        <f>DATE(2011,7,18) + TIME(0,41,47)</f>
        <v>40742.029016203705</v>
      </c>
      <c r="C829">
        <v>80</v>
      </c>
      <c r="D829">
        <v>79.938507079999994</v>
      </c>
      <c r="E829">
        <v>50</v>
      </c>
      <c r="F829">
        <v>42.777244568</v>
      </c>
      <c r="G829">
        <v>1383.7264404</v>
      </c>
      <c r="H829">
        <v>1369.9376221</v>
      </c>
      <c r="I829">
        <v>1283.7022704999999</v>
      </c>
      <c r="J829">
        <v>1263.4636230000001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444.28022399999998</v>
      </c>
      <c r="B830" s="1">
        <f>DATE(2011,7,19) + TIME(6,43,31)</f>
        <v>40743.280219907407</v>
      </c>
      <c r="C830">
        <v>80</v>
      </c>
      <c r="D830">
        <v>79.938552856000001</v>
      </c>
      <c r="E830">
        <v>50</v>
      </c>
      <c r="F830">
        <v>42.671417236000003</v>
      </c>
      <c r="G830">
        <v>1383.6594238</v>
      </c>
      <c r="H830">
        <v>1369.8792725000001</v>
      </c>
      <c r="I830">
        <v>1283.6087646000001</v>
      </c>
      <c r="J830">
        <v>1263.3242187999999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445.53974899999997</v>
      </c>
      <c r="B831" s="1">
        <f>DATE(2011,7,20) + TIME(12,57,14)</f>
        <v>40744.53974537037</v>
      </c>
      <c r="C831">
        <v>80</v>
      </c>
      <c r="D831">
        <v>79.938606261999993</v>
      </c>
      <c r="E831">
        <v>50</v>
      </c>
      <c r="F831">
        <v>42.563644408999998</v>
      </c>
      <c r="G831">
        <v>1383.5924072</v>
      </c>
      <c r="H831">
        <v>1369.8208007999999</v>
      </c>
      <c r="I831">
        <v>1283.5124512</v>
      </c>
      <c r="J831">
        <v>1263.1801757999999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446.80696399999999</v>
      </c>
      <c r="B832" s="1">
        <f>DATE(2011,7,21) + TIME(19,22,1)</f>
        <v>40745.806956018518</v>
      </c>
      <c r="C832">
        <v>80</v>
      </c>
      <c r="D832">
        <v>79.938659668</v>
      </c>
      <c r="E832">
        <v>50</v>
      </c>
      <c r="F832">
        <v>42.454162598000003</v>
      </c>
      <c r="G832">
        <v>1383.5256348</v>
      </c>
      <c r="H832">
        <v>1369.7624512</v>
      </c>
      <c r="I832">
        <v>1283.4139404</v>
      </c>
      <c r="J832">
        <v>1263.0323486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448.08461599999998</v>
      </c>
      <c r="B833" s="1">
        <f>DATE(2011,7,23) + TIME(2,1,50)</f>
        <v>40747.084606481483</v>
      </c>
      <c r="C833">
        <v>80</v>
      </c>
      <c r="D833">
        <v>79.938713074000006</v>
      </c>
      <c r="E833">
        <v>50</v>
      </c>
      <c r="F833">
        <v>42.342956543</v>
      </c>
      <c r="G833">
        <v>1383.4592285000001</v>
      </c>
      <c r="H833">
        <v>1369.7044678</v>
      </c>
      <c r="I833">
        <v>1283.3132324000001</v>
      </c>
      <c r="J833">
        <v>1262.8806152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449.37565499999999</v>
      </c>
      <c r="B834" s="1">
        <f>DATE(2011,7,24) + TIME(9,0,56)</f>
        <v>40748.375648148147</v>
      </c>
      <c r="C834">
        <v>80</v>
      </c>
      <c r="D834">
        <v>79.938766478999995</v>
      </c>
      <c r="E834">
        <v>50</v>
      </c>
      <c r="F834">
        <v>42.229854584000002</v>
      </c>
      <c r="G834">
        <v>1383.3930664</v>
      </c>
      <c r="H834">
        <v>1369.6466064000001</v>
      </c>
      <c r="I834">
        <v>1283.2103271000001</v>
      </c>
      <c r="J834">
        <v>1262.7248535000001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450.68313699999999</v>
      </c>
      <c r="B835" s="1">
        <f>DATE(2011,7,25) + TIME(16,23,43)</f>
        <v>40749.683136574073</v>
      </c>
      <c r="C835">
        <v>80</v>
      </c>
      <c r="D835">
        <v>79.938819885000001</v>
      </c>
      <c r="E835">
        <v>50</v>
      </c>
      <c r="F835">
        <v>42.114597320999998</v>
      </c>
      <c r="G835">
        <v>1383.3270264</v>
      </c>
      <c r="H835">
        <v>1369.5887451000001</v>
      </c>
      <c r="I835">
        <v>1283.1048584</v>
      </c>
      <c r="J835">
        <v>1262.5644531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452.010291</v>
      </c>
      <c r="B836" s="1">
        <f>DATE(2011,7,27) + TIME(0,14,49)</f>
        <v>40751.010289351849</v>
      </c>
      <c r="C836">
        <v>80</v>
      </c>
      <c r="D836">
        <v>79.938873290999993</v>
      </c>
      <c r="E836">
        <v>50</v>
      </c>
      <c r="F836">
        <v>41.996891022</v>
      </c>
      <c r="G836">
        <v>1383.2608643000001</v>
      </c>
      <c r="H836">
        <v>1369.5307617000001</v>
      </c>
      <c r="I836">
        <v>1282.9964600000001</v>
      </c>
      <c r="J836">
        <v>1262.3992920000001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453.36055800000003</v>
      </c>
      <c r="B837" s="1">
        <f>DATE(2011,7,28) + TIME(8,39,12)</f>
        <v>40752.360555555555</v>
      </c>
      <c r="C837">
        <v>80</v>
      </c>
      <c r="D837">
        <v>79.938934325999995</v>
      </c>
      <c r="E837">
        <v>50</v>
      </c>
      <c r="F837">
        <v>41.876403809000003</v>
      </c>
      <c r="G837">
        <v>1383.1944579999999</v>
      </c>
      <c r="H837">
        <v>1369.4726562000001</v>
      </c>
      <c r="I837">
        <v>1282.8851318</v>
      </c>
      <c r="J837">
        <v>1262.2286377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454.72270700000001</v>
      </c>
      <c r="B838" s="1">
        <f>DATE(2011,7,29) + TIME(17,20,41)</f>
        <v>40753.722696759258</v>
      </c>
      <c r="C838">
        <v>80</v>
      </c>
      <c r="D838">
        <v>79.938987732000001</v>
      </c>
      <c r="E838">
        <v>50</v>
      </c>
      <c r="F838">
        <v>41.753295897999998</v>
      </c>
      <c r="G838">
        <v>1383.1279297000001</v>
      </c>
      <c r="H838">
        <v>1369.4141846</v>
      </c>
      <c r="I838">
        <v>1282.7703856999999</v>
      </c>
      <c r="J838">
        <v>1262.0522461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456.09590100000003</v>
      </c>
      <c r="B839" s="1">
        <f>DATE(2011,7,31) + TIME(2,18,5)</f>
        <v>40755.095891203702</v>
      </c>
      <c r="C839">
        <v>80</v>
      </c>
      <c r="D839">
        <v>79.939048767000003</v>
      </c>
      <c r="E839">
        <v>50</v>
      </c>
      <c r="F839">
        <v>41.627872467000003</v>
      </c>
      <c r="G839">
        <v>1383.0615233999999</v>
      </c>
      <c r="H839">
        <v>1369.3558350000001</v>
      </c>
      <c r="I839">
        <v>1282.6530762</v>
      </c>
      <c r="J839">
        <v>1261.8712158000001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457</v>
      </c>
      <c r="B840" s="1">
        <f>DATE(2011,8,1) + TIME(0,0,0)</f>
        <v>40756</v>
      </c>
      <c r="C840">
        <v>80</v>
      </c>
      <c r="D840">
        <v>79.939064025999997</v>
      </c>
      <c r="E840">
        <v>50</v>
      </c>
      <c r="F840">
        <v>41.521713257000002</v>
      </c>
      <c r="G840">
        <v>1383.0032959</v>
      </c>
      <c r="H840">
        <v>1369.3051757999999</v>
      </c>
      <c r="I840">
        <v>1282.5367432</v>
      </c>
      <c r="J840">
        <v>1261.6976318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458.387539</v>
      </c>
      <c r="B841" s="1">
        <f>DATE(2011,8,2) + TIME(9,18,3)</f>
        <v>40757.38753472222</v>
      </c>
      <c r="C841">
        <v>80</v>
      </c>
      <c r="D841">
        <v>79.939147949000002</v>
      </c>
      <c r="E841">
        <v>50</v>
      </c>
      <c r="F841">
        <v>41.406959534000002</v>
      </c>
      <c r="G841">
        <v>1382.9489745999999</v>
      </c>
      <c r="H841">
        <v>1369.2568358999999</v>
      </c>
      <c r="I841">
        <v>1282.4505615</v>
      </c>
      <c r="J841">
        <v>1261.5538329999999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459.79491899999999</v>
      </c>
      <c r="B842" s="1">
        <f>DATE(2011,8,3) + TIME(19,4,40)</f>
        <v>40758.794907407406</v>
      </c>
      <c r="C842">
        <v>80</v>
      </c>
      <c r="D842">
        <v>79.939208984000004</v>
      </c>
      <c r="E842">
        <v>50</v>
      </c>
      <c r="F842">
        <v>41.281204224</v>
      </c>
      <c r="G842">
        <v>1382.8851318</v>
      </c>
      <c r="H842">
        <v>1369.2006836</v>
      </c>
      <c r="I842">
        <v>1282.3294678</v>
      </c>
      <c r="J842">
        <v>1261.3662108999999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461.21079900000001</v>
      </c>
      <c r="B843" s="1">
        <f>DATE(2011,8,5) + TIME(5,3,32)</f>
        <v>40760.210787037038</v>
      </c>
      <c r="C843">
        <v>80</v>
      </c>
      <c r="D843">
        <v>79.939270019999995</v>
      </c>
      <c r="E843">
        <v>50</v>
      </c>
      <c r="F843">
        <v>41.149818420000003</v>
      </c>
      <c r="G843">
        <v>1382.8198242000001</v>
      </c>
      <c r="H843">
        <v>1369.1431885</v>
      </c>
      <c r="I843">
        <v>1282.2036132999999</v>
      </c>
      <c r="J843">
        <v>1261.1697998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462.63813499999998</v>
      </c>
      <c r="B844" s="1">
        <f>DATE(2011,8,6) + TIME(15,18,54)</f>
        <v>40761.638124999998</v>
      </c>
      <c r="C844">
        <v>80</v>
      </c>
      <c r="D844">
        <v>79.939331054999997</v>
      </c>
      <c r="E844">
        <v>50</v>
      </c>
      <c r="F844">
        <v>41.015068053999997</v>
      </c>
      <c r="G844">
        <v>1382.7545166</v>
      </c>
      <c r="H844">
        <v>1369.0855713000001</v>
      </c>
      <c r="I844">
        <v>1282.0753173999999</v>
      </c>
      <c r="J844">
        <v>1260.9680175999999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464.08026599999999</v>
      </c>
      <c r="B845" s="1">
        <f>DATE(2011,8,8) + TIME(1,55,34)</f>
        <v>40763.080254629633</v>
      </c>
      <c r="C845">
        <v>80</v>
      </c>
      <c r="D845">
        <v>79.939392089999998</v>
      </c>
      <c r="E845">
        <v>50</v>
      </c>
      <c r="F845">
        <v>40.877689361999998</v>
      </c>
      <c r="G845">
        <v>1382.6890868999999</v>
      </c>
      <c r="H845">
        <v>1369.027832</v>
      </c>
      <c r="I845">
        <v>1281.9444579999999</v>
      </c>
      <c r="J845">
        <v>1260.7612305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465.54059000000001</v>
      </c>
      <c r="B846" s="1">
        <f>DATE(2011,8,9) + TIME(12,58,26)</f>
        <v>40764.540578703702</v>
      </c>
      <c r="C846">
        <v>80</v>
      </c>
      <c r="D846">
        <v>79.939453125</v>
      </c>
      <c r="E846">
        <v>50</v>
      </c>
      <c r="F846">
        <v>40.737728119000003</v>
      </c>
      <c r="G846">
        <v>1382.6236572</v>
      </c>
      <c r="H846">
        <v>1368.9700928</v>
      </c>
      <c r="I846">
        <v>1281.8111572</v>
      </c>
      <c r="J846">
        <v>1260.5494385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467.022673</v>
      </c>
      <c r="B847" s="1">
        <f>DATE(2011,8,11) + TIME(0,32,38)</f>
        <v>40766.022662037038</v>
      </c>
      <c r="C847">
        <v>80</v>
      </c>
      <c r="D847">
        <v>79.939521790000001</v>
      </c>
      <c r="E847">
        <v>50</v>
      </c>
      <c r="F847">
        <v>40.594982147000003</v>
      </c>
      <c r="G847">
        <v>1382.5581055</v>
      </c>
      <c r="H847">
        <v>1368.9121094</v>
      </c>
      <c r="I847">
        <v>1281.6750488</v>
      </c>
      <c r="J847">
        <v>1260.3320312000001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468.51944800000001</v>
      </c>
      <c r="B848" s="1">
        <f>DATE(2011,8,12) + TIME(12,28,0)</f>
        <v>40767.519444444442</v>
      </c>
      <c r="C848">
        <v>80</v>
      </c>
      <c r="D848">
        <v>79.939590453999998</v>
      </c>
      <c r="E848">
        <v>50</v>
      </c>
      <c r="F848">
        <v>40.449539184999999</v>
      </c>
      <c r="G848">
        <v>1382.4923096</v>
      </c>
      <c r="H848">
        <v>1368.8538818</v>
      </c>
      <c r="I848">
        <v>1281.5357666</v>
      </c>
      <c r="J848">
        <v>1260.1090088000001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470.02682199999998</v>
      </c>
      <c r="B849" s="1">
        <f>DATE(2011,8,14) + TIME(0,38,37)</f>
        <v>40769.026817129627</v>
      </c>
      <c r="C849">
        <v>80</v>
      </c>
      <c r="D849">
        <v>79.939651488999999</v>
      </c>
      <c r="E849">
        <v>50</v>
      </c>
      <c r="F849">
        <v>40.301784515000001</v>
      </c>
      <c r="G849">
        <v>1382.4266356999999</v>
      </c>
      <c r="H849">
        <v>1368.7956543</v>
      </c>
      <c r="I849">
        <v>1281.3941649999999</v>
      </c>
      <c r="J849">
        <v>1259.8809814000001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471.54837800000001</v>
      </c>
      <c r="B850" s="1">
        <f>DATE(2011,8,15) + TIME(13,9,39)</f>
        <v>40770.548368055555</v>
      </c>
      <c r="C850">
        <v>80</v>
      </c>
      <c r="D850">
        <v>79.939720154</v>
      </c>
      <c r="E850">
        <v>50</v>
      </c>
      <c r="F850">
        <v>40.151893616000002</v>
      </c>
      <c r="G850">
        <v>1382.3609618999999</v>
      </c>
      <c r="H850">
        <v>1368.7374268000001</v>
      </c>
      <c r="I850">
        <v>1281.2506103999999</v>
      </c>
      <c r="J850">
        <v>1259.6486815999999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473.087739</v>
      </c>
      <c r="B851" s="1">
        <f>DATE(2011,8,17) + TIME(2,6,20)</f>
        <v>40772.087731481479</v>
      </c>
      <c r="C851">
        <v>80</v>
      </c>
      <c r="D851">
        <v>79.939788817999997</v>
      </c>
      <c r="E851">
        <v>50</v>
      </c>
      <c r="F851">
        <v>39.999752045000001</v>
      </c>
      <c r="G851">
        <v>1382.2954102000001</v>
      </c>
      <c r="H851">
        <v>1368.6791992000001</v>
      </c>
      <c r="I851">
        <v>1281.1048584</v>
      </c>
      <c r="J851">
        <v>1259.4116211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474.648709</v>
      </c>
      <c r="B852" s="1">
        <f>DATE(2011,8,18) + TIME(15,34,8)</f>
        <v>40773.6487037037</v>
      </c>
      <c r="C852">
        <v>80</v>
      </c>
      <c r="D852">
        <v>79.939857482999997</v>
      </c>
      <c r="E852">
        <v>50</v>
      </c>
      <c r="F852">
        <v>39.845188141000001</v>
      </c>
      <c r="G852">
        <v>1382.2296143000001</v>
      </c>
      <c r="H852">
        <v>1368.6207274999999</v>
      </c>
      <c r="I852">
        <v>1280.9566649999999</v>
      </c>
      <c r="J852">
        <v>1259.1695557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476.21784000000002</v>
      </c>
      <c r="B853" s="1">
        <f>DATE(2011,8,20) + TIME(5,13,41)</f>
        <v>40775.217835648145</v>
      </c>
      <c r="C853">
        <v>80</v>
      </c>
      <c r="D853">
        <v>79.939926146999994</v>
      </c>
      <c r="E853">
        <v>50</v>
      </c>
      <c r="F853">
        <v>39.688461304</v>
      </c>
      <c r="G853">
        <v>1382.1636963000001</v>
      </c>
      <c r="H853">
        <v>1368.5621338000001</v>
      </c>
      <c r="I853">
        <v>1280.8060303</v>
      </c>
      <c r="J853">
        <v>1258.9222411999999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477.798744</v>
      </c>
      <c r="B854" s="1">
        <f>DATE(2011,8,21) + TIME(19,10,11)</f>
        <v>40776.798738425925</v>
      </c>
      <c r="C854">
        <v>80</v>
      </c>
      <c r="D854">
        <v>79.940002441000004</v>
      </c>
      <c r="E854">
        <v>50</v>
      </c>
      <c r="F854">
        <v>39.530048370000003</v>
      </c>
      <c r="G854">
        <v>1382.0980225000001</v>
      </c>
      <c r="H854">
        <v>1368.5035399999999</v>
      </c>
      <c r="I854">
        <v>1280.6539307</v>
      </c>
      <c r="J854">
        <v>1258.6713867000001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479.39462500000002</v>
      </c>
      <c r="B855" s="1">
        <f>DATE(2011,8,23) + TIME(9,28,15)</f>
        <v>40778.394618055558</v>
      </c>
      <c r="C855">
        <v>80</v>
      </c>
      <c r="D855">
        <v>79.940071106000005</v>
      </c>
      <c r="E855">
        <v>50</v>
      </c>
      <c r="F855">
        <v>39.369991302000003</v>
      </c>
      <c r="G855">
        <v>1382.0323486</v>
      </c>
      <c r="H855">
        <v>1368.4450684000001</v>
      </c>
      <c r="I855">
        <v>1280.5004882999999</v>
      </c>
      <c r="J855">
        <v>1258.4168701000001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481.00924300000003</v>
      </c>
      <c r="B856" s="1">
        <f>DATE(2011,8,25) + TIME(0,13,18)</f>
        <v>40780.009236111109</v>
      </c>
      <c r="C856">
        <v>80</v>
      </c>
      <c r="D856">
        <v>79.940147400000001</v>
      </c>
      <c r="E856">
        <v>50</v>
      </c>
      <c r="F856">
        <v>39.208187103</v>
      </c>
      <c r="G856">
        <v>1381.9666748</v>
      </c>
      <c r="H856">
        <v>1368.3864745999999</v>
      </c>
      <c r="I856">
        <v>1280.3454589999999</v>
      </c>
      <c r="J856">
        <v>1258.1582031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482.642561</v>
      </c>
      <c r="B857" s="1">
        <f>DATE(2011,8,26) + TIME(15,25,17)</f>
        <v>40781.642557870371</v>
      </c>
      <c r="C857">
        <v>80</v>
      </c>
      <c r="D857">
        <v>79.940216063999998</v>
      </c>
      <c r="E857">
        <v>50</v>
      </c>
      <c r="F857">
        <v>39.044620514000002</v>
      </c>
      <c r="G857">
        <v>1381.9007568</v>
      </c>
      <c r="H857">
        <v>1368.3275146000001</v>
      </c>
      <c r="I857">
        <v>1280.1885986</v>
      </c>
      <c r="J857">
        <v>1257.8953856999999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484.28481599999998</v>
      </c>
      <c r="B858" s="1">
        <f>DATE(2011,8,28) + TIME(6,50,8)</f>
        <v>40783.284814814811</v>
      </c>
      <c r="C858">
        <v>80</v>
      </c>
      <c r="D858">
        <v>79.940292357999994</v>
      </c>
      <c r="E858">
        <v>50</v>
      </c>
      <c r="F858">
        <v>38.879787444999998</v>
      </c>
      <c r="G858">
        <v>1381.8348389</v>
      </c>
      <c r="H858">
        <v>1368.2685547000001</v>
      </c>
      <c r="I858">
        <v>1280.0302733999999</v>
      </c>
      <c r="J858">
        <v>1257.6286620999999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485.93962900000002</v>
      </c>
      <c r="B859" s="1">
        <f>DATE(2011,8,29) + TIME(22,33,3)</f>
        <v>40784.939618055556</v>
      </c>
      <c r="C859">
        <v>80</v>
      </c>
      <c r="D859">
        <v>79.940368652000004</v>
      </c>
      <c r="E859">
        <v>50</v>
      </c>
      <c r="F859">
        <v>38.714244843000003</v>
      </c>
      <c r="G859">
        <v>1381.7689209</v>
      </c>
      <c r="H859">
        <v>1368.2095947</v>
      </c>
      <c r="I859">
        <v>1279.8714600000001</v>
      </c>
      <c r="J859">
        <v>1257.3594971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487.61086799999998</v>
      </c>
      <c r="B860" s="1">
        <f>DATE(2011,8,31) + TIME(14,39,39)</f>
        <v>40786.610868055555</v>
      </c>
      <c r="C860">
        <v>80</v>
      </c>
      <c r="D860">
        <v>79.940444946</v>
      </c>
      <c r="E860">
        <v>50</v>
      </c>
      <c r="F860">
        <v>38.548168181999998</v>
      </c>
      <c r="G860">
        <v>1381.703125</v>
      </c>
      <c r="H860">
        <v>1368.1506348</v>
      </c>
      <c r="I860">
        <v>1279.7121582</v>
      </c>
      <c r="J860">
        <v>1257.0877685999999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488</v>
      </c>
      <c r="B861" s="1">
        <f>DATE(2011,9,1) + TIME(0,0,0)</f>
        <v>40787</v>
      </c>
      <c r="C861">
        <v>80</v>
      </c>
      <c r="D861">
        <v>79.940414429</v>
      </c>
      <c r="E861">
        <v>50</v>
      </c>
      <c r="F861">
        <v>38.468753814999999</v>
      </c>
      <c r="G861">
        <v>1381.6668701000001</v>
      </c>
      <c r="H861">
        <v>1368.1193848</v>
      </c>
      <c r="I861">
        <v>1279.5681152</v>
      </c>
      <c r="J861">
        <v>1256.8742675999999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489.69143500000001</v>
      </c>
      <c r="B862" s="1">
        <f>DATE(2011,9,2) + TIME(16,35,39)</f>
        <v>40788.691423611112</v>
      </c>
      <c r="C862">
        <v>80</v>
      </c>
      <c r="D862">
        <v>79.940536499000004</v>
      </c>
      <c r="E862">
        <v>50</v>
      </c>
      <c r="F862">
        <v>38.329833983999997</v>
      </c>
      <c r="G862">
        <v>1381.6175536999999</v>
      </c>
      <c r="H862">
        <v>1368.0736084</v>
      </c>
      <c r="I862">
        <v>1279.5093993999999</v>
      </c>
      <c r="J862">
        <v>1256.7347411999999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491.39591999999999</v>
      </c>
      <c r="B863" s="1">
        <f>DATE(2011,9,4) + TIME(9,30,7)</f>
        <v>40790.395914351851</v>
      </c>
      <c r="C863">
        <v>80</v>
      </c>
      <c r="D863">
        <v>79.940612793</v>
      </c>
      <c r="E863">
        <v>50</v>
      </c>
      <c r="F863">
        <v>38.172672272</v>
      </c>
      <c r="G863">
        <v>1381.5544434000001</v>
      </c>
      <c r="H863">
        <v>1368.0169678</v>
      </c>
      <c r="I863">
        <v>1279.3532714999999</v>
      </c>
      <c r="J863">
        <v>1256.4682617000001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493.11301700000001</v>
      </c>
      <c r="B864" s="1">
        <f>DATE(2011,9,6) + TIME(2,42,44)</f>
        <v>40792.113009259258</v>
      </c>
      <c r="C864">
        <v>80</v>
      </c>
      <c r="D864">
        <v>79.940689086999996</v>
      </c>
      <c r="E864">
        <v>50</v>
      </c>
      <c r="F864">
        <v>38.010292053000001</v>
      </c>
      <c r="G864">
        <v>1381.4890137</v>
      </c>
      <c r="H864">
        <v>1367.9581298999999</v>
      </c>
      <c r="I864">
        <v>1279.1939697</v>
      </c>
      <c r="J864">
        <v>1256.1928711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494.83770299999998</v>
      </c>
      <c r="B865" s="1">
        <f>DATE(2011,9,7) + TIME(20,6,17)</f>
        <v>40793.837696759256</v>
      </c>
      <c r="C865">
        <v>80</v>
      </c>
      <c r="D865">
        <v>79.940765381000006</v>
      </c>
      <c r="E865">
        <v>50</v>
      </c>
      <c r="F865">
        <v>37.847553253000001</v>
      </c>
      <c r="G865">
        <v>1381.4232178</v>
      </c>
      <c r="H865">
        <v>1367.8989257999999</v>
      </c>
      <c r="I865">
        <v>1279.034668</v>
      </c>
      <c r="J865">
        <v>1255.9147949000001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496.576999</v>
      </c>
      <c r="B866" s="1">
        <f>DATE(2011,9,9) + TIME(13,50,52)</f>
        <v>40795.576990740738</v>
      </c>
      <c r="C866">
        <v>80</v>
      </c>
      <c r="D866">
        <v>79.940849303999997</v>
      </c>
      <c r="E866">
        <v>50</v>
      </c>
      <c r="F866">
        <v>37.686431884999998</v>
      </c>
      <c r="G866">
        <v>1381.3572998</v>
      </c>
      <c r="H866">
        <v>1367.8394774999999</v>
      </c>
      <c r="I866">
        <v>1278.8763428</v>
      </c>
      <c r="J866">
        <v>1255.6365966999999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498.33609200000001</v>
      </c>
      <c r="B867" s="1">
        <f>DATE(2011,9,11) + TIME(8,3,58)</f>
        <v>40797.336087962962</v>
      </c>
      <c r="C867">
        <v>80</v>
      </c>
      <c r="D867">
        <v>79.940925598000007</v>
      </c>
      <c r="E867">
        <v>50</v>
      </c>
      <c r="F867">
        <v>37.52766037</v>
      </c>
      <c r="G867">
        <v>1381.2911377</v>
      </c>
      <c r="H867">
        <v>1367.7796631000001</v>
      </c>
      <c r="I867">
        <v>1278.7191161999999</v>
      </c>
      <c r="J867">
        <v>1255.3581543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500.10245700000002</v>
      </c>
      <c r="B868" s="1">
        <f>DATE(2011,9,13) + TIME(2,27,32)</f>
        <v>40799.102453703701</v>
      </c>
      <c r="C868">
        <v>80</v>
      </c>
      <c r="D868">
        <v>79.941009520999998</v>
      </c>
      <c r="E868">
        <v>50</v>
      </c>
      <c r="F868">
        <v>37.372222899999997</v>
      </c>
      <c r="G868">
        <v>1381.2248535000001</v>
      </c>
      <c r="H868">
        <v>1367.7197266000001</v>
      </c>
      <c r="I868">
        <v>1278.5627440999999</v>
      </c>
      <c r="J868">
        <v>1255.0800781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501.87587300000001</v>
      </c>
      <c r="B869" s="1">
        <f>DATE(2011,9,14) + TIME(21,1,15)</f>
        <v>40800.875868055555</v>
      </c>
      <c r="C869">
        <v>80</v>
      </c>
      <c r="D869">
        <v>79.941085814999994</v>
      </c>
      <c r="E869">
        <v>50</v>
      </c>
      <c r="F869">
        <v>37.221397400000001</v>
      </c>
      <c r="G869">
        <v>1381.1585693</v>
      </c>
      <c r="H869">
        <v>1367.6597899999999</v>
      </c>
      <c r="I869">
        <v>1278.4086914</v>
      </c>
      <c r="J869">
        <v>1254.8043213000001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503.66121800000002</v>
      </c>
      <c r="B870" s="1">
        <f>DATE(2011,9,16) + TIME(15,52,9)</f>
        <v>40802.661215277774</v>
      </c>
      <c r="C870">
        <v>80</v>
      </c>
      <c r="D870">
        <v>79.941169739000003</v>
      </c>
      <c r="E870">
        <v>50</v>
      </c>
      <c r="F870">
        <v>37.076065063000001</v>
      </c>
      <c r="G870">
        <v>1381.0922852000001</v>
      </c>
      <c r="H870">
        <v>1367.5997314000001</v>
      </c>
      <c r="I870">
        <v>1278.2572021000001</v>
      </c>
      <c r="J870">
        <v>1254.5314940999999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505.45397600000001</v>
      </c>
      <c r="B871" s="1">
        <f>DATE(2011,9,18) + TIME(10,53,43)</f>
        <v>40804.453969907408</v>
      </c>
      <c r="C871">
        <v>80</v>
      </c>
      <c r="D871">
        <v>79.941246032999999</v>
      </c>
      <c r="E871">
        <v>50</v>
      </c>
      <c r="F871">
        <v>36.937114716000004</v>
      </c>
      <c r="G871">
        <v>1381.0261230000001</v>
      </c>
      <c r="H871">
        <v>1367.5396728999999</v>
      </c>
      <c r="I871">
        <v>1278.1082764</v>
      </c>
      <c r="J871">
        <v>1254.262207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507.25188900000001</v>
      </c>
      <c r="B872" s="1">
        <f>DATE(2011,9,20) + TIME(6,2,43)</f>
        <v>40806.251886574071</v>
      </c>
      <c r="C872">
        <v>80</v>
      </c>
      <c r="D872">
        <v>79.941329956000004</v>
      </c>
      <c r="E872">
        <v>50</v>
      </c>
      <c r="F872">
        <v>36.805679321</v>
      </c>
      <c r="G872">
        <v>1380.9599608999999</v>
      </c>
      <c r="H872">
        <v>1367.4796143000001</v>
      </c>
      <c r="I872">
        <v>1277.9626464999999</v>
      </c>
      <c r="J872">
        <v>1253.9973144999999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509.06875700000001</v>
      </c>
      <c r="B873" s="1">
        <f>DATE(2011,9,22) + TIME(1,39,0)</f>
        <v>40808.068749999999</v>
      </c>
      <c r="C873">
        <v>80</v>
      </c>
      <c r="D873">
        <v>79.941413878999995</v>
      </c>
      <c r="E873">
        <v>50</v>
      </c>
      <c r="F873">
        <v>36.682544708000002</v>
      </c>
      <c r="G873">
        <v>1380.8937988</v>
      </c>
      <c r="H873">
        <v>1367.4193115</v>
      </c>
      <c r="I873">
        <v>1277.8206786999999</v>
      </c>
      <c r="J873">
        <v>1253.7379149999999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510.90881000000002</v>
      </c>
      <c r="B874" s="1">
        <f>DATE(2011,9,23) + TIME(21,48,41)</f>
        <v>40809.908807870372</v>
      </c>
      <c r="C874">
        <v>80</v>
      </c>
      <c r="D874">
        <v>79.941497803000004</v>
      </c>
      <c r="E874">
        <v>50</v>
      </c>
      <c r="F874">
        <v>36.568325043000002</v>
      </c>
      <c r="G874">
        <v>1380.8273925999999</v>
      </c>
      <c r="H874">
        <v>1367.3587646000001</v>
      </c>
      <c r="I874">
        <v>1277.6817627</v>
      </c>
      <c r="J874">
        <v>1253.4831543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512.76000099999999</v>
      </c>
      <c r="B875" s="1">
        <f>DATE(2011,9,25) + TIME(18,14,24)</f>
        <v>40811.760000000002</v>
      </c>
      <c r="C875">
        <v>80</v>
      </c>
      <c r="D875">
        <v>79.941581725999995</v>
      </c>
      <c r="E875">
        <v>50</v>
      </c>
      <c r="F875">
        <v>36.46421814</v>
      </c>
      <c r="G875">
        <v>1380.7606201000001</v>
      </c>
      <c r="H875">
        <v>1367.2978516000001</v>
      </c>
      <c r="I875">
        <v>1277.5460204999999</v>
      </c>
      <c r="J875">
        <v>1253.2336425999999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514.61575900000003</v>
      </c>
      <c r="B876" s="1">
        <f>DATE(2011,9,27) + TIME(14,46,41)</f>
        <v>40813.615752314814</v>
      </c>
      <c r="C876">
        <v>80</v>
      </c>
      <c r="D876">
        <v>79.941665649000001</v>
      </c>
      <c r="E876">
        <v>50</v>
      </c>
      <c r="F876">
        <v>36.371780395999998</v>
      </c>
      <c r="G876">
        <v>1380.6937256000001</v>
      </c>
      <c r="H876">
        <v>1367.2368164</v>
      </c>
      <c r="I876">
        <v>1277.4144286999999</v>
      </c>
      <c r="J876">
        <v>1252.9913329999999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516.48372400000005</v>
      </c>
      <c r="B877" s="1">
        <f>DATE(2011,9,29) + TIME(11,36,33)</f>
        <v>40815.483715277776</v>
      </c>
      <c r="C877">
        <v>80</v>
      </c>
      <c r="D877">
        <v>79.941749572999996</v>
      </c>
      <c r="E877">
        <v>50</v>
      </c>
      <c r="F877">
        <v>36.292213439999998</v>
      </c>
      <c r="G877">
        <v>1380.6268310999999</v>
      </c>
      <c r="H877">
        <v>1367.1756591999999</v>
      </c>
      <c r="I877">
        <v>1277.2878418</v>
      </c>
      <c r="J877">
        <v>1252.7576904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518</v>
      </c>
      <c r="B878" s="1">
        <f>DATE(2011,10,1) + TIME(0,0,0)</f>
        <v>40817</v>
      </c>
      <c r="C878">
        <v>80</v>
      </c>
      <c r="D878">
        <v>79.941802979000002</v>
      </c>
      <c r="E878">
        <v>50</v>
      </c>
      <c r="F878">
        <v>36.230899811</v>
      </c>
      <c r="G878">
        <v>1380.5646973</v>
      </c>
      <c r="H878">
        <v>1367.1190185999999</v>
      </c>
      <c r="I878">
        <v>1277.1685791</v>
      </c>
      <c r="J878">
        <v>1252.5395507999999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519.88898500000005</v>
      </c>
      <c r="B879" s="1">
        <f>DATE(2011,10,2) + TIME(21,20,8)</f>
        <v>40818.888981481483</v>
      </c>
      <c r="C879">
        <v>80</v>
      </c>
      <c r="D879">
        <v>79.941902161000002</v>
      </c>
      <c r="E879">
        <v>50</v>
      </c>
      <c r="F879">
        <v>36.182910919000001</v>
      </c>
      <c r="G879">
        <v>1380.5036620999999</v>
      </c>
      <c r="H879">
        <v>1367.0626221</v>
      </c>
      <c r="I879">
        <v>1277.0693358999999</v>
      </c>
      <c r="J879">
        <v>1252.3542480000001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521.82820300000003</v>
      </c>
      <c r="B880" s="1">
        <f>DATE(2011,10,4) + TIME(19,52,36)</f>
        <v>40820.828194444446</v>
      </c>
      <c r="C880">
        <v>80</v>
      </c>
      <c r="D880">
        <v>79.941993713000002</v>
      </c>
      <c r="E880">
        <v>50</v>
      </c>
      <c r="F880">
        <v>36.146259307999998</v>
      </c>
      <c r="G880">
        <v>1380.4373779</v>
      </c>
      <c r="H880">
        <v>1367.0019531</v>
      </c>
      <c r="I880">
        <v>1276.9577637</v>
      </c>
      <c r="J880">
        <v>1252.1503906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522.80393300000003</v>
      </c>
      <c r="B881" s="1">
        <f>DATE(2011,10,5) + TIME(19,17,39)</f>
        <v>40821.803923611114</v>
      </c>
      <c r="C881">
        <v>80</v>
      </c>
      <c r="D881">
        <v>79.942008971999996</v>
      </c>
      <c r="E881">
        <v>50</v>
      </c>
      <c r="F881">
        <v>36.129871368000003</v>
      </c>
      <c r="G881">
        <v>1380.3854980000001</v>
      </c>
      <c r="H881">
        <v>1366.9550781</v>
      </c>
      <c r="I881">
        <v>1276.8582764</v>
      </c>
      <c r="J881">
        <v>1251.9713135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523.77966300000003</v>
      </c>
      <c r="B882" s="1">
        <f>DATE(2011,10,6) + TIME(18,42,42)</f>
        <v>40822.779652777775</v>
      </c>
      <c r="C882">
        <v>80</v>
      </c>
      <c r="D882">
        <v>79.942047118999994</v>
      </c>
      <c r="E882">
        <v>50</v>
      </c>
      <c r="F882">
        <v>36.123401641999997</v>
      </c>
      <c r="G882">
        <v>1380.3444824000001</v>
      </c>
      <c r="H882">
        <v>1366.9171143000001</v>
      </c>
      <c r="I882">
        <v>1276.8004149999999</v>
      </c>
      <c r="J882">
        <v>1251.8643798999999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524.75539300000003</v>
      </c>
      <c r="B883" s="1">
        <f>DATE(2011,10,7) + TIME(18,7,45)</f>
        <v>40823.755381944444</v>
      </c>
      <c r="C883">
        <v>80</v>
      </c>
      <c r="D883">
        <v>79.942100525000001</v>
      </c>
      <c r="E883">
        <v>50</v>
      </c>
      <c r="F883">
        <v>36.123912810999997</v>
      </c>
      <c r="G883">
        <v>1380.3071289</v>
      </c>
      <c r="H883">
        <v>1366.8825684000001</v>
      </c>
      <c r="I883">
        <v>1276.7475586</v>
      </c>
      <c r="J883">
        <v>1251.7681885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525.73112400000002</v>
      </c>
      <c r="B884" s="1">
        <f>DATE(2011,10,8) + TIME(17,32,49)</f>
        <v>40824.731122685182</v>
      </c>
      <c r="C884">
        <v>80</v>
      </c>
      <c r="D884">
        <v>79.942146300999994</v>
      </c>
      <c r="E884">
        <v>50</v>
      </c>
      <c r="F884">
        <v>36.130100249999998</v>
      </c>
      <c r="G884">
        <v>1380.2711182</v>
      </c>
      <c r="H884">
        <v>1366.8493652</v>
      </c>
      <c r="I884">
        <v>1276.6975098</v>
      </c>
      <c r="J884">
        <v>1251.6782227000001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526.70685400000002</v>
      </c>
      <c r="B885" s="1">
        <f>DATE(2011,10,9) + TIME(16,57,52)</f>
        <v>40825.70685185185</v>
      </c>
      <c r="C885">
        <v>80</v>
      </c>
      <c r="D885">
        <v>79.942192078000005</v>
      </c>
      <c r="E885">
        <v>50</v>
      </c>
      <c r="F885">
        <v>36.141380310000002</v>
      </c>
      <c r="G885">
        <v>1380.2359618999999</v>
      </c>
      <c r="H885">
        <v>1366.8167725000001</v>
      </c>
      <c r="I885">
        <v>1276.6495361</v>
      </c>
      <c r="J885">
        <v>1251.5931396000001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527.68258400000002</v>
      </c>
      <c r="B886" s="1">
        <f>DATE(2011,10,10) + TIME(16,22,55)</f>
        <v>40826.682581018518</v>
      </c>
      <c r="C886">
        <v>80</v>
      </c>
      <c r="D886">
        <v>79.942237853999998</v>
      </c>
      <c r="E886">
        <v>50</v>
      </c>
      <c r="F886">
        <v>36.157474518000001</v>
      </c>
      <c r="G886">
        <v>1380.2012939000001</v>
      </c>
      <c r="H886">
        <v>1366.7847899999999</v>
      </c>
      <c r="I886">
        <v>1276.6035156</v>
      </c>
      <c r="J886">
        <v>1251.5119629000001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529.63404400000002</v>
      </c>
      <c r="B887" s="1">
        <f>DATE(2011,10,12) + TIME(15,13,1)</f>
        <v>40828.634039351855</v>
      </c>
      <c r="C887">
        <v>80</v>
      </c>
      <c r="D887">
        <v>79.942352295000006</v>
      </c>
      <c r="E887">
        <v>50</v>
      </c>
      <c r="F887">
        <v>36.184055327999999</v>
      </c>
      <c r="G887">
        <v>1380.1549072</v>
      </c>
      <c r="H887">
        <v>1366.7413329999999</v>
      </c>
      <c r="I887">
        <v>1276.5513916</v>
      </c>
      <c r="J887">
        <v>1251.4240723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531.58770400000003</v>
      </c>
      <c r="B888" s="1">
        <f>DATE(2011,10,14) + TIME(14,6,17)</f>
        <v>40830.587696759256</v>
      </c>
      <c r="C888">
        <v>80</v>
      </c>
      <c r="D888">
        <v>79.942436217999997</v>
      </c>
      <c r="E888">
        <v>50</v>
      </c>
      <c r="F888">
        <v>36.233390808000003</v>
      </c>
      <c r="G888">
        <v>1380.0933838000001</v>
      </c>
      <c r="H888">
        <v>1366.6848144999999</v>
      </c>
      <c r="I888">
        <v>1276.4714355000001</v>
      </c>
      <c r="J888">
        <v>1251.2861327999999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533.56892000000005</v>
      </c>
      <c r="B889" s="1">
        <f>DATE(2011,10,16) + TIME(13,39,14)</f>
        <v>40832.568912037037</v>
      </c>
      <c r="C889">
        <v>80</v>
      </c>
      <c r="D889">
        <v>79.942520142000006</v>
      </c>
      <c r="E889">
        <v>50</v>
      </c>
      <c r="F889">
        <v>36.302413940000001</v>
      </c>
      <c r="G889">
        <v>1380.0283202999999</v>
      </c>
      <c r="H889">
        <v>1366.6247559000001</v>
      </c>
      <c r="I889">
        <v>1276.3936768000001</v>
      </c>
      <c r="J889">
        <v>1251.1550293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535.58321599999999</v>
      </c>
      <c r="B890" s="1">
        <f>DATE(2011,10,18) + TIME(13,59,49)</f>
        <v>40834.58320601852</v>
      </c>
      <c r="C890">
        <v>80</v>
      </c>
      <c r="D890">
        <v>79.942611693999993</v>
      </c>
      <c r="E890">
        <v>50</v>
      </c>
      <c r="F890">
        <v>36.390457153</v>
      </c>
      <c r="G890">
        <v>1379.9615478999999</v>
      </c>
      <c r="H890">
        <v>1366.5632324000001</v>
      </c>
      <c r="I890">
        <v>1276.3198242000001</v>
      </c>
      <c r="J890">
        <v>1251.0339355000001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537.63687200000004</v>
      </c>
      <c r="B891" s="1">
        <f>DATE(2011,10,20) + TIME(15,17,5)</f>
        <v>40836.636863425927</v>
      </c>
      <c r="C891">
        <v>80</v>
      </c>
      <c r="D891">
        <v>79.942695618000002</v>
      </c>
      <c r="E891">
        <v>50</v>
      </c>
      <c r="F891">
        <v>36.497299194</v>
      </c>
      <c r="G891">
        <v>1379.8937988</v>
      </c>
      <c r="H891">
        <v>1366.5004882999999</v>
      </c>
      <c r="I891">
        <v>1276.2504882999999</v>
      </c>
      <c r="J891">
        <v>1250.9243164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539.71341800000005</v>
      </c>
      <c r="B892" s="1">
        <f>DATE(2011,10,22) + TIME(17,7,19)</f>
        <v>40838.713414351849</v>
      </c>
      <c r="C892">
        <v>80</v>
      </c>
      <c r="D892">
        <v>79.942794800000001</v>
      </c>
      <c r="E892">
        <v>50</v>
      </c>
      <c r="F892">
        <v>36.622509002999998</v>
      </c>
      <c r="G892">
        <v>1379.8251952999999</v>
      </c>
      <c r="H892">
        <v>1366.4370117000001</v>
      </c>
      <c r="I892">
        <v>1276.1860352000001</v>
      </c>
      <c r="J892">
        <v>1250.8264160000001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541.80444299999999</v>
      </c>
      <c r="B893" s="1">
        <f>DATE(2011,10,24) + TIME(19,18,23)</f>
        <v>40840.804432870369</v>
      </c>
      <c r="C893">
        <v>80</v>
      </c>
      <c r="D893">
        <v>79.942886353000006</v>
      </c>
      <c r="E893">
        <v>50</v>
      </c>
      <c r="F893">
        <v>36.764675140000001</v>
      </c>
      <c r="G893">
        <v>1379.7563477000001</v>
      </c>
      <c r="H893">
        <v>1366.3732910000001</v>
      </c>
      <c r="I893">
        <v>1276.1269531</v>
      </c>
      <c r="J893">
        <v>1250.7413329999999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543.91709000000003</v>
      </c>
      <c r="B894" s="1">
        <f>DATE(2011,10,26) + TIME(22,0,36)</f>
        <v>40842.917083333334</v>
      </c>
      <c r="C894">
        <v>80</v>
      </c>
      <c r="D894">
        <v>79.942977905000006</v>
      </c>
      <c r="E894">
        <v>50</v>
      </c>
      <c r="F894">
        <v>36.922256470000001</v>
      </c>
      <c r="G894">
        <v>1379.6873779</v>
      </c>
      <c r="H894">
        <v>1366.3093262</v>
      </c>
      <c r="I894">
        <v>1276.0736084</v>
      </c>
      <c r="J894">
        <v>1250.6693115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546.05513199999996</v>
      </c>
      <c r="B895" s="1">
        <f>DATE(2011,10,29) + TIME(1,19,23)</f>
        <v>40845.055127314816</v>
      </c>
      <c r="C895">
        <v>80</v>
      </c>
      <c r="D895">
        <v>79.943069457999997</v>
      </c>
      <c r="E895">
        <v>50</v>
      </c>
      <c r="F895">
        <v>37.094093323000003</v>
      </c>
      <c r="G895">
        <v>1379.6182861</v>
      </c>
      <c r="H895">
        <v>1366.2452393000001</v>
      </c>
      <c r="I895">
        <v>1276.0256348</v>
      </c>
      <c r="J895">
        <v>1250.6096190999999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548.20969200000002</v>
      </c>
      <c r="B896" s="1">
        <f>DATE(2011,10,31) + TIME(5,1,57)</f>
        <v>40847.209687499999</v>
      </c>
      <c r="C896">
        <v>80</v>
      </c>
      <c r="D896">
        <v>79.943168639999996</v>
      </c>
      <c r="E896">
        <v>50</v>
      </c>
      <c r="F896">
        <v>37.278751372999999</v>
      </c>
      <c r="G896">
        <v>1379.5491943</v>
      </c>
      <c r="H896">
        <v>1366.1811522999999</v>
      </c>
      <c r="I896">
        <v>1275.9832764</v>
      </c>
      <c r="J896">
        <v>1250.5621338000001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549</v>
      </c>
      <c r="B897" s="1">
        <f>DATE(2011,11,1) + TIME(0,0,0)</f>
        <v>40848</v>
      </c>
      <c r="C897">
        <v>80</v>
      </c>
      <c r="D897">
        <v>79.943168639999996</v>
      </c>
      <c r="E897">
        <v>50</v>
      </c>
      <c r="F897">
        <v>37.414012909</v>
      </c>
      <c r="G897">
        <v>1379.5045166</v>
      </c>
      <c r="H897">
        <v>1366.1407471</v>
      </c>
      <c r="I897">
        <v>1275.9636230000001</v>
      </c>
      <c r="J897">
        <v>1250.5290527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549.000001</v>
      </c>
      <c r="B898" s="1">
        <f>DATE(2011,11,1) + TIME(0,0,0)</f>
        <v>40848</v>
      </c>
      <c r="C898">
        <v>80</v>
      </c>
      <c r="D898">
        <v>79.943138122999997</v>
      </c>
      <c r="E898">
        <v>50</v>
      </c>
      <c r="F898">
        <v>37.414039612000003</v>
      </c>
      <c r="G898">
        <v>1366.1307373</v>
      </c>
      <c r="H898">
        <v>1354.1800536999999</v>
      </c>
      <c r="I898">
        <v>1301.4371338000001</v>
      </c>
      <c r="J898">
        <v>1275.9741211</v>
      </c>
      <c r="K898">
        <v>0</v>
      </c>
      <c r="L898">
        <v>2400</v>
      </c>
      <c r="M898">
        <v>2400</v>
      </c>
      <c r="N898">
        <v>0</v>
      </c>
    </row>
    <row r="899" spans="1:14" x14ac:dyDescent="0.25">
      <c r="A899">
        <v>549.00000399999999</v>
      </c>
      <c r="B899" s="1">
        <f>DATE(2011,11,1) + TIME(0,0,0)</f>
        <v>40848</v>
      </c>
      <c r="C899">
        <v>80</v>
      </c>
      <c r="D899">
        <v>79.943038939999994</v>
      </c>
      <c r="E899">
        <v>50</v>
      </c>
      <c r="F899">
        <v>37.414123535000002</v>
      </c>
      <c r="G899">
        <v>1366.1008300999999</v>
      </c>
      <c r="H899">
        <v>1354.1500243999999</v>
      </c>
      <c r="I899">
        <v>1301.4666748</v>
      </c>
      <c r="J899">
        <v>1276.005249</v>
      </c>
      <c r="K899">
        <v>0</v>
      </c>
      <c r="L899">
        <v>2400</v>
      </c>
      <c r="M899">
        <v>2400</v>
      </c>
      <c r="N899">
        <v>0</v>
      </c>
    </row>
    <row r="900" spans="1:14" x14ac:dyDescent="0.25">
      <c r="A900">
        <v>549.00001299999997</v>
      </c>
      <c r="B900" s="1">
        <f>DATE(2011,11,1) + TIME(0,0,1)</f>
        <v>40848.000011574077</v>
      </c>
      <c r="C900">
        <v>80</v>
      </c>
      <c r="D900">
        <v>79.942756653000004</v>
      </c>
      <c r="E900">
        <v>50</v>
      </c>
      <c r="F900">
        <v>37.414371490000001</v>
      </c>
      <c r="G900">
        <v>1366.0114745999999</v>
      </c>
      <c r="H900">
        <v>1354.0606689000001</v>
      </c>
      <c r="I900">
        <v>1301.5549315999999</v>
      </c>
      <c r="J900">
        <v>1276.0986327999999</v>
      </c>
      <c r="K900">
        <v>0</v>
      </c>
      <c r="L900">
        <v>2400</v>
      </c>
      <c r="M900">
        <v>2400</v>
      </c>
      <c r="N900">
        <v>0</v>
      </c>
    </row>
    <row r="901" spans="1:14" x14ac:dyDescent="0.25">
      <c r="A901">
        <v>549.00004000000001</v>
      </c>
      <c r="B901" s="1">
        <f>DATE(2011,11,1) + TIME(0,0,3)</f>
        <v>40848.000034722223</v>
      </c>
      <c r="C901">
        <v>80</v>
      </c>
      <c r="D901">
        <v>79.941909789999997</v>
      </c>
      <c r="E901">
        <v>50</v>
      </c>
      <c r="F901">
        <v>37.415119171000001</v>
      </c>
      <c r="G901">
        <v>1365.7487793</v>
      </c>
      <c r="H901">
        <v>1353.7976074000001</v>
      </c>
      <c r="I901">
        <v>1301.8171387</v>
      </c>
      <c r="J901">
        <v>1276.3758545000001</v>
      </c>
      <c r="K901">
        <v>0</v>
      </c>
      <c r="L901">
        <v>2400</v>
      </c>
      <c r="M901">
        <v>2400</v>
      </c>
      <c r="N901">
        <v>0</v>
      </c>
    </row>
    <row r="902" spans="1:14" x14ac:dyDescent="0.25">
      <c r="A902">
        <v>549.00012100000004</v>
      </c>
      <c r="B902" s="1">
        <f>DATE(2011,11,1) + TIME(0,0,10)</f>
        <v>40848.000115740739</v>
      </c>
      <c r="C902">
        <v>80</v>
      </c>
      <c r="D902">
        <v>79.939521790000001</v>
      </c>
      <c r="E902">
        <v>50</v>
      </c>
      <c r="F902">
        <v>37.417327880999999</v>
      </c>
      <c r="G902">
        <v>1365.0032959</v>
      </c>
      <c r="H902">
        <v>1353.0512695</v>
      </c>
      <c r="I902">
        <v>1302.5820312000001</v>
      </c>
      <c r="J902">
        <v>1277.1832274999999</v>
      </c>
      <c r="K902">
        <v>0</v>
      </c>
      <c r="L902">
        <v>2400</v>
      </c>
      <c r="M902">
        <v>2400</v>
      </c>
      <c r="N902">
        <v>0</v>
      </c>
    </row>
    <row r="903" spans="1:14" x14ac:dyDescent="0.25">
      <c r="A903">
        <v>549.00036399999999</v>
      </c>
      <c r="B903" s="1">
        <f>DATE(2011,11,1) + TIME(0,0,31)</f>
        <v>40848.000358796293</v>
      </c>
      <c r="C903">
        <v>80</v>
      </c>
      <c r="D903">
        <v>79.933349609000004</v>
      </c>
      <c r="E903">
        <v>50</v>
      </c>
      <c r="F903">
        <v>37.423740387000002</v>
      </c>
      <c r="G903">
        <v>1363.0812988</v>
      </c>
      <c r="H903">
        <v>1351.1273193</v>
      </c>
      <c r="I903">
        <v>1304.7008057</v>
      </c>
      <c r="J903">
        <v>1279.4091797000001</v>
      </c>
      <c r="K903">
        <v>0</v>
      </c>
      <c r="L903">
        <v>2400</v>
      </c>
      <c r="M903">
        <v>2400</v>
      </c>
      <c r="N903">
        <v>0</v>
      </c>
    </row>
    <row r="904" spans="1:14" x14ac:dyDescent="0.25">
      <c r="A904">
        <v>549.00109299999997</v>
      </c>
      <c r="B904" s="1">
        <f>DATE(2011,11,1) + TIME(0,1,34)</f>
        <v>40848.001087962963</v>
      </c>
      <c r="C904">
        <v>80</v>
      </c>
      <c r="D904">
        <v>79.920387267999999</v>
      </c>
      <c r="E904">
        <v>50</v>
      </c>
      <c r="F904">
        <v>37.441532135000003</v>
      </c>
      <c r="G904">
        <v>1359.0479736</v>
      </c>
      <c r="H904">
        <v>1347.0906981999999</v>
      </c>
      <c r="I904">
        <v>1309.8649902</v>
      </c>
      <c r="J904">
        <v>1284.7784423999999</v>
      </c>
      <c r="K904">
        <v>0</v>
      </c>
      <c r="L904">
        <v>2400</v>
      </c>
      <c r="M904">
        <v>2400</v>
      </c>
      <c r="N904">
        <v>0</v>
      </c>
    </row>
    <row r="905" spans="1:14" x14ac:dyDescent="0.25">
      <c r="A905">
        <v>549.00328000000002</v>
      </c>
      <c r="B905" s="1">
        <f>DATE(2011,11,1) + TIME(0,4,43)</f>
        <v>40848.003275462965</v>
      </c>
      <c r="C905">
        <v>80</v>
      </c>
      <c r="D905">
        <v>79.900276184000006</v>
      </c>
      <c r="E905">
        <v>50</v>
      </c>
      <c r="F905">
        <v>37.487403870000001</v>
      </c>
      <c r="G905">
        <v>1352.8632812000001</v>
      </c>
      <c r="H905">
        <v>1340.9042969</v>
      </c>
      <c r="I905">
        <v>1319.6588135</v>
      </c>
      <c r="J905">
        <v>1294.7745361</v>
      </c>
      <c r="K905">
        <v>0</v>
      </c>
      <c r="L905">
        <v>2400</v>
      </c>
      <c r="M905">
        <v>2400</v>
      </c>
      <c r="N905">
        <v>0</v>
      </c>
    </row>
    <row r="906" spans="1:14" x14ac:dyDescent="0.25">
      <c r="A906">
        <v>549.00984100000005</v>
      </c>
      <c r="B906" s="1">
        <f>DATE(2011,11,1) + TIME(0,14,10)</f>
        <v>40848.009837962964</v>
      </c>
      <c r="C906">
        <v>80</v>
      </c>
      <c r="D906">
        <v>79.876266478999995</v>
      </c>
      <c r="E906">
        <v>50</v>
      </c>
      <c r="F906">
        <v>37.606491089000002</v>
      </c>
      <c r="G906">
        <v>1345.7413329999999</v>
      </c>
      <c r="H906">
        <v>1333.7844238</v>
      </c>
      <c r="I906">
        <v>1333.0657959</v>
      </c>
      <c r="J906">
        <v>1308.2784423999999</v>
      </c>
      <c r="K906">
        <v>0</v>
      </c>
      <c r="L906">
        <v>2400</v>
      </c>
      <c r="M906">
        <v>2400</v>
      </c>
      <c r="N906">
        <v>0</v>
      </c>
    </row>
    <row r="907" spans="1:14" x14ac:dyDescent="0.25">
      <c r="A907">
        <v>549.02952400000004</v>
      </c>
      <c r="B907" s="1">
        <f>DATE(2011,11,1) + TIME(0,42,30)</f>
        <v>40848.029513888891</v>
      </c>
      <c r="C907">
        <v>80</v>
      </c>
      <c r="D907">
        <v>79.849288939999994</v>
      </c>
      <c r="E907">
        <v>50</v>
      </c>
      <c r="F907">
        <v>37.927696228000002</v>
      </c>
      <c r="G907">
        <v>1338.4952393000001</v>
      </c>
      <c r="H907">
        <v>1326.5430908000001</v>
      </c>
      <c r="I907">
        <v>1347.5227050999999</v>
      </c>
      <c r="J907">
        <v>1322.8891602000001</v>
      </c>
      <c r="K907">
        <v>0</v>
      </c>
      <c r="L907">
        <v>2400</v>
      </c>
      <c r="M907">
        <v>2400</v>
      </c>
      <c r="N907">
        <v>0</v>
      </c>
    </row>
    <row r="908" spans="1:14" x14ac:dyDescent="0.25">
      <c r="A908">
        <v>549.07197499999995</v>
      </c>
      <c r="B908" s="1">
        <f>DATE(2011,11,1) + TIME(1,43,38)</f>
        <v>40848.071967592594</v>
      </c>
      <c r="C908">
        <v>80</v>
      </c>
      <c r="D908">
        <v>79.821624756000006</v>
      </c>
      <c r="E908">
        <v>50</v>
      </c>
      <c r="F908">
        <v>38.563323975000003</v>
      </c>
      <c r="G908">
        <v>1332.4003906</v>
      </c>
      <c r="H908">
        <v>1320.4403076000001</v>
      </c>
      <c r="I908">
        <v>1359.5610352000001</v>
      </c>
      <c r="J908">
        <v>1335.2409668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549.11689100000001</v>
      </c>
      <c r="B909" s="1">
        <f>DATE(2011,11,1) + TIME(2,48,19)</f>
        <v>40848.116886574076</v>
      </c>
      <c r="C909">
        <v>80</v>
      </c>
      <c r="D909">
        <v>79.801086425999998</v>
      </c>
      <c r="E909">
        <v>50</v>
      </c>
      <c r="F909">
        <v>39.192207336000003</v>
      </c>
      <c r="G909">
        <v>1328.7854004000001</v>
      </c>
      <c r="H909">
        <v>1316.802124</v>
      </c>
      <c r="I909">
        <v>1366.5174560999999</v>
      </c>
      <c r="J909">
        <v>1342.4770507999999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549.16398600000002</v>
      </c>
      <c r="B910" s="1">
        <f>DATE(2011,11,1) + TIME(3,56,8)</f>
        <v>40848.163981481484</v>
      </c>
      <c r="C910">
        <v>80</v>
      </c>
      <c r="D910">
        <v>79.783348083000007</v>
      </c>
      <c r="E910">
        <v>50</v>
      </c>
      <c r="F910">
        <v>39.811206818000002</v>
      </c>
      <c r="G910">
        <v>1326.2171631000001</v>
      </c>
      <c r="H910">
        <v>1314.2014160000001</v>
      </c>
      <c r="I910">
        <v>1371.2784423999999</v>
      </c>
      <c r="J910">
        <v>1347.4989014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549.21327699999995</v>
      </c>
      <c r="B911" s="1">
        <f>DATE(2011,11,1) + TIME(5,7,7)</f>
        <v>40848.213275462964</v>
      </c>
      <c r="C911">
        <v>80</v>
      </c>
      <c r="D911">
        <v>79.766883849999999</v>
      </c>
      <c r="E911">
        <v>50</v>
      </c>
      <c r="F911">
        <v>40.419353485000002</v>
      </c>
      <c r="G911">
        <v>1324.1942139</v>
      </c>
      <c r="H911">
        <v>1312.1422118999999</v>
      </c>
      <c r="I911">
        <v>1374.8676757999999</v>
      </c>
      <c r="J911">
        <v>1351.3334961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549.26490000000001</v>
      </c>
      <c r="B912" s="1">
        <f>DATE(2011,11,1) + TIME(6,21,27)</f>
        <v>40848.26489583333</v>
      </c>
      <c r="C912">
        <v>80</v>
      </c>
      <c r="D912">
        <v>79.751029967999997</v>
      </c>
      <c r="E912">
        <v>50</v>
      </c>
      <c r="F912">
        <v>41.016197204999997</v>
      </c>
      <c r="G912">
        <v>1322.4986572</v>
      </c>
      <c r="H912">
        <v>1310.4104004000001</v>
      </c>
      <c r="I912">
        <v>1377.7380370999999</v>
      </c>
      <c r="J912">
        <v>1354.4362793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549.31904699999996</v>
      </c>
      <c r="B913" s="1">
        <f>DATE(2011,11,1) + TIME(7,39,25)</f>
        <v>40848.319039351853</v>
      </c>
      <c r="C913">
        <v>80</v>
      </c>
      <c r="D913">
        <v>79.735412597999996</v>
      </c>
      <c r="E913">
        <v>50</v>
      </c>
      <c r="F913">
        <v>41.601348877</v>
      </c>
      <c r="G913">
        <v>1321.0211182</v>
      </c>
      <c r="H913">
        <v>1308.8986815999999</v>
      </c>
      <c r="I913">
        <v>1380.1237793</v>
      </c>
      <c r="J913">
        <v>1357.0429687999999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549.37597300000004</v>
      </c>
      <c r="B914" s="1">
        <f>DATE(2011,11,1) + TIME(9,1,24)</f>
        <v>40848.375972222224</v>
      </c>
      <c r="C914">
        <v>80</v>
      </c>
      <c r="D914">
        <v>79.719810486</v>
      </c>
      <c r="E914">
        <v>50</v>
      </c>
      <c r="F914">
        <v>42.174648285000004</v>
      </c>
      <c r="G914">
        <v>1319.699707</v>
      </c>
      <c r="H914">
        <v>1307.5463867000001</v>
      </c>
      <c r="I914">
        <v>1382.1612548999999</v>
      </c>
      <c r="J914">
        <v>1359.2908935999999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549.43597399999999</v>
      </c>
      <c r="B915" s="1">
        <f>DATE(2011,11,1) + TIME(10,27,48)</f>
        <v>40848.435972222222</v>
      </c>
      <c r="C915">
        <v>80</v>
      </c>
      <c r="D915">
        <v>79.704071045000006</v>
      </c>
      <c r="E915">
        <v>50</v>
      </c>
      <c r="F915">
        <v>42.735790252999998</v>
      </c>
      <c r="G915">
        <v>1318.4967041</v>
      </c>
      <c r="H915">
        <v>1306.3157959</v>
      </c>
      <c r="I915">
        <v>1383.9359131000001</v>
      </c>
      <c r="J915">
        <v>1361.2666016000001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549.49939900000004</v>
      </c>
      <c r="B916" s="1">
        <f>DATE(2011,11,1) + TIME(11,59,8)</f>
        <v>40848.499398148146</v>
      </c>
      <c r="C916">
        <v>80</v>
      </c>
      <c r="D916">
        <v>79.688064574999999</v>
      </c>
      <c r="E916">
        <v>50</v>
      </c>
      <c r="F916">
        <v>43.284400939999998</v>
      </c>
      <c r="G916">
        <v>1317.3868408000001</v>
      </c>
      <c r="H916">
        <v>1305.1817627</v>
      </c>
      <c r="I916">
        <v>1385.5056152</v>
      </c>
      <c r="J916">
        <v>1363.0284423999999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549.56666199999995</v>
      </c>
      <c r="B917" s="1">
        <f>DATE(2011,11,1) + TIME(13,35,59)</f>
        <v>40848.566655092596</v>
      </c>
      <c r="C917">
        <v>80</v>
      </c>
      <c r="D917">
        <v>79.671676636000001</v>
      </c>
      <c r="E917">
        <v>50</v>
      </c>
      <c r="F917">
        <v>43.820056915000002</v>
      </c>
      <c r="G917">
        <v>1316.3522949000001</v>
      </c>
      <c r="H917">
        <v>1304.1260986</v>
      </c>
      <c r="I917">
        <v>1386.9111327999999</v>
      </c>
      <c r="J917">
        <v>1364.6177978999999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549.63825899999995</v>
      </c>
      <c r="B918" s="1">
        <f>DATE(2011,11,1) + TIME(15,19,5)</f>
        <v>40848.638252314813</v>
      </c>
      <c r="C918">
        <v>80</v>
      </c>
      <c r="D918">
        <v>79.654785156000003</v>
      </c>
      <c r="E918">
        <v>50</v>
      </c>
      <c r="F918">
        <v>44.342254638999997</v>
      </c>
      <c r="G918">
        <v>1315.3796387</v>
      </c>
      <c r="H918">
        <v>1303.1350098</v>
      </c>
      <c r="I918">
        <v>1388.1827393000001</v>
      </c>
      <c r="J918">
        <v>1366.0654297000001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549.71478500000001</v>
      </c>
      <c r="B919" s="1">
        <f>DATE(2011,11,1) + TIME(17,9,17)</f>
        <v>40848.714780092596</v>
      </c>
      <c r="C919">
        <v>80</v>
      </c>
      <c r="D919">
        <v>79.637275696000003</v>
      </c>
      <c r="E919">
        <v>50</v>
      </c>
      <c r="F919">
        <v>44.850418091000002</v>
      </c>
      <c r="G919">
        <v>1314.4587402</v>
      </c>
      <c r="H919">
        <v>1302.1981201000001</v>
      </c>
      <c r="I919">
        <v>1389.3432617000001</v>
      </c>
      <c r="J919">
        <v>1367.3945312000001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549.796965</v>
      </c>
      <c r="B920" s="1">
        <f>DATE(2011,11,1) + TIME(19,7,37)</f>
        <v>40848.796956018516</v>
      </c>
      <c r="C920">
        <v>80</v>
      </c>
      <c r="D920">
        <v>79.619018554999997</v>
      </c>
      <c r="E920">
        <v>50</v>
      </c>
      <c r="F920">
        <v>45.343898772999999</v>
      </c>
      <c r="G920">
        <v>1313.5810547000001</v>
      </c>
      <c r="H920">
        <v>1301.3067627</v>
      </c>
      <c r="I920">
        <v>1390.4105225000001</v>
      </c>
      <c r="J920">
        <v>1368.6231689000001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549.88569099999995</v>
      </c>
      <c r="B921" s="1">
        <f>DATE(2011,11,1) + TIME(21,15,23)</f>
        <v>40848.885682870372</v>
      </c>
      <c r="C921">
        <v>80</v>
      </c>
      <c r="D921">
        <v>79.599868774000001</v>
      </c>
      <c r="E921">
        <v>50</v>
      </c>
      <c r="F921">
        <v>45.821941375999998</v>
      </c>
      <c r="G921">
        <v>1312.7401123</v>
      </c>
      <c r="H921">
        <v>1300.4538574000001</v>
      </c>
      <c r="I921">
        <v>1391.3990478999999</v>
      </c>
      <c r="J921">
        <v>1369.7661132999999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549.98208</v>
      </c>
      <c r="B922" s="1">
        <f>DATE(2011,11,1) + TIME(23,34,11)</f>
        <v>40848.982071759259</v>
      </c>
      <c r="C922">
        <v>80</v>
      </c>
      <c r="D922">
        <v>79.579635620000005</v>
      </c>
      <c r="E922">
        <v>50</v>
      </c>
      <c r="F922">
        <v>46.283691406000003</v>
      </c>
      <c r="G922">
        <v>1311.9296875</v>
      </c>
      <c r="H922">
        <v>1299.6331786999999</v>
      </c>
      <c r="I922">
        <v>1392.3205565999999</v>
      </c>
      <c r="J922">
        <v>1370.8352050999999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550.087535</v>
      </c>
      <c r="B923" s="1">
        <f>DATE(2011,11,2) + TIME(2,6,3)</f>
        <v>40849.087534722225</v>
      </c>
      <c r="C923">
        <v>80</v>
      </c>
      <c r="D923">
        <v>79.558105468999997</v>
      </c>
      <c r="E923">
        <v>50</v>
      </c>
      <c r="F923">
        <v>46.728107452000003</v>
      </c>
      <c r="G923">
        <v>1311.1448975000001</v>
      </c>
      <c r="H923">
        <v>1298.8393555</v>
      </c>
      <c r="I923">
        <v>1393.1846923999999</v>
      </c>
      <c r="J923">
        <v>1371.8400879000001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550.20388800000001</v>
      </c>
      <c r="B924" s="1">
        <f>DATE(2011,11,2) + TIME(4,53,35)</f>
        <v>40849.203877314816</v>
      </c>
      <c r="C924">
        <v>80</v>
      </c>
      <c r="D924">
        <v>79.535018921000002</v>
      </c>
      <c r="E924">
        <v>50</v>
      </c>
      <c r="F924">
        <v>47.154052733999997</v>
      </c>
      <c r="G924">
        <v>1310.3807373</v>
      </c>
      <c r="H924">
        <v>1298.0670166</v>
      </c>
      <c r="I924">
        <v>1394</v>
      </c>
      <c r="J924">
        <v>1372.7890625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550.33357999999998</v>
      </c>
      <c r="B925" s="1">
        <f>DATE(2011,11,2) + TIME(8,0,21)</f>
        <v>40849.33357638889</v>
      </c>
      <c r="C925">
        <v>80</v>
      </c>
      <c r="D925">
        <v>79.510025024000001</v>
      </c>
      <c r="E925">
        <v>50</v>
      </c>
      <c r="F925">
        <v>47.560241699000002</v>
      </c>
      <c r="G925">
        <v>1309.6324463000001</v>
      </c>
      <c r="H925">
        <v>1297.3115233999999</v>
      </c>
      <c r="I925">
        <v>1394.7734375</v>
      </c>
      <c r="J925">
        <v>1373.6895752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550.47991500000001</v>
      </c>
      <c r="B926" s="1">
        <f>DATE(2011,11,2) + TIME(11,31,4)</f>
        <v>40849.479907407411</v>
      </c>
      <c r="C926">
        <v>80</v>
      </c>
      <c r="D926">
        <v>79.482650757000002</v>
      </c>
      <c r="E926">
        <v>50</v>
      </c>
      <c r="F926">
        <v>47.945095062</v>
      </c>
      <c r="G926">
        <v>1308.8953856999999</v>
      </c>
      <c r="H926">
        <v>1296.5678711</v>
      </c>
      <c r="I926">
        <v>1395.5114745999999</v>
      </c>
      <c r="J926">
        <v>1374.5474853999999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550.64752699999997</v>
      </c>
      <c r="B927" s="1">
        <f>DATE(2011,11,2) + TIME(15,32,26)</f>
        <v>40849.647523148145</v>
      </c>
      <c r="C927">
        <v>80</v>
      </c>
      <c r="D927">
        <v>79.452301024999997</v>
      </c>
      <c r="E927">
        <v>50</v>
      </c>
      <c r="F927">
        <v>48.306724547999998</v>
      </c>
      <c r="G927">
        <v>1308.1647949000001</v>
      </c>
      <c r="H927">
        <v>1295.8310547000001</v>
      </c>
      <c r="I927">
        <v>1396.2192382999999</v>
      </c>
      <c r="J927">
        <v>1375.3679199000001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550.83745099999999</v>
      </c>
      <c r="B928" s="1">
        <f>DATE(2011,11,2) + TIME(20,5,55)</f>
        <v>40849.837442129632</v>
      </c>
      <c r="C928">
        <v>80</v>
      </c>
      <c r="D928">
        <v>79.418891907000003</v>
      </c>
      <c r="E928">
        <v>50</v>
      </c>
      <c r="F928">
        <v>48.634956359999997</v>
      </c>
      <c r="G928">
        <v>1307.4541016000001</v>
      </c>
      <c r="H928">
        <v>1295.114624</v>
      </c>
      <c r="I928">
        <v>1396.8831786999999</v>
      </c>
      <c r="J928">
        <v>1376.1341553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551.02777000000003</v>
      </c>
      <c r="B929" s="1">
        <f>DATE(2011,11,3) + TIME(0,39,59)</f>
        <v>40850.027766203704</v>
      </c>
      <c r="C929">
        <v>80</v>
      </c>
      <c r="D929">
        <v>79.385498046999999</v>
      </c>
      <c r="E929">
        <v>50</v>
      </c>
      <c r="F929">
        <v>48.898269653</v>
      </c>
      <c r="G929">
        <v>1306.8372803</v>
      </c>
      <c r="H929">
        <v>1294.4931641000001</v>
      </c>
      <c r="I929">
        <v>1397.432251</v>
      </c>
      <c r="J929">
        <v>1376.7650146000001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551.22185999999999</v>
      </c>
      <c r="B930" s="1">
        <f>DATE(2011,11,3) + TIME(5,19,28)</f>
        <v>40850.221851851849</v>
      </c>
      <c r="C930">
        <v>80</v>
      </c>
      <c r="D930">
        <v>79.351684570000003</v>
      </c>
      <c r="E930">
        <v>50</v>
      </c>
      <c r="F930">
        <v>49.112377166999998</v>
      </c>
      <c r="G930">
        <v>1306.2907714999999</v>
      </c>
      <c r="H930">
        <v>1293.9423827999999</v>
      </c>
      <c r="I930">
        <v>1397.8995361</v>
      </c>
      <c r="J930">
        <v>1377.3000488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551.42115100000001</v>
      </c>
      <c r="B931" s="1">
        <f>DATE(2011,11,3) + TIME(10,6,27)</f>
        <v>40850.42114583333</v>
      </c>
      <c r="C931">
        <v>80</v>
      </c>
      <c r="D931">
        <v>79.317268372000001</v>
      </c>
      <c r="E931">
        <v>50</v>
      </c>
      <c r="F931">
        <v>49.286716460999997</v>
      </c>
      <c r="G931">
        <v>1305.8020019999999</v>
      </c>
      <c r="H931">
        <v>1293.4499512</v>
      </c>
      <c r="I931">
        <v>1398.3000488</v>
      </c>
      <c r="J931">
        <v>1377.7569579999999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551.62721799999997</v>
      </c>
      <c r="B932" s="1">
        <f>DATE(2011,11,3) + TIME(15,3,11)</f>
        <v>40850.627210648148</v>
      </c>
      <c r="C932">
        <v>80</v>
      </c>
      <c r="D932">
        <v>79.282058715999995</v>
      </c>
      <c r="E932">
        <v>50</v>
      </c>
      <c r="F932">
        <v>49.428680419999999</v>
      </c>
      <c r="G932">
        <v>1305.3615723</v>
      </c>
      <c r="H932">
        <v>1293.0061035000001</v>
      </c>
      <c r="I932">
        <v>1398.6446533000001</v>
      </c>
      <c r="J932">
        <v>1378.1488036999999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551.841722</v>
      </c>
      <c r="B933" s="1">
        <f>DATE(2011,11,3) + TIME(20,12,4)</f>
        <v>40850.84171296296</v>
      </c>
      <c r="C933">
        <v>80</v>
      </c>
      <c r="D933">
        <v>79.245834350999999</v>
      </c>
      <c r="E933">
        <v>50</v>
      </c>
      <c r="F933">
        <v>49.544071197999997</v>
      </c>
      <c r="G933">
        <v>1304.9624022999999</v>
      </c>
      <c r="H933">
        <v>1292.6036377</v>
      </c>
      <c r="I933">
        <v>1398.9410399999999</v>
      </c>
      <c r="J933">
        <v>1378.4849853999999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552.06650200000001</v>
      </c>
      <c r="B934" s="1">
        <f>DATE(2011,11,4) + TIME(1,35,45)</f>
        <v>40851.066493055558</v>
      </c>
      <c r="C934">
        <v>80</v>
      </c>
      <c r="D934">
        <v>79.208358765</v>
      </c>
      <c r="E934">
        <v>50</v>
      </c>
      <c r="F934">
        <v>49.637535094999997</v>
      </c>
      <c r="G934">
        <v>1304.5988769999999</v>
      </c>
      <c r="H934">
        <v>1292.2369385</v>
      </c>
      <c r="I934">
        <v>1399.1950684000001</v>
      </c>
      <c r="J934">
        <v>1378.7727050999999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552.30366300000003</v>
      </c>
      <c r="B935" s="1">
        <f>DATE(2011,11,4) + TIME(7,17,16)</f>
        <v>40851.303657407407</v>
      </c>
      <c r="C935">
        <v>80</v>
      </c>
      <c r="D935">
        <v>79.169372558999996</v>
      </c>
      <c r="E935">
        <v>50</v>
      </c>
      <c r="F935">
        <v>49.712848663000003</v>
      </c>
      <c r="G935">
        <v>1304.2666016000001</v>
      </c>
      <c r="H935">
        <v>1291.9017334</v>
      </c>
      <c r="I935">
        <v>1399.4108887</v>
      </c>
      <c r="J935">
        <v>1379.0172118999999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552.55569600000001</v>
      </c>
      <c r="B936" s="1">
        <f>DATE(2011,11,4) + TIME(13,20,12)</f>
        <v>40851.555694444447</v>
      </c>
      <c r="C936">
        <v>80</v>
      </c>
      <c r="D936">
        <v>79.128547667999996</v>
      </c>
      <c r="E936">
        <v>50</v>
      </c>
      <c r="F936">
        <v>49.773113250999998</v>
      </c>
      <c r="G936">
        <v>1303.9621582</v>
      </c>
      <c r="H936">
        <v>1291.5944824000001</v>
      </c>
      <c r="I936">
        <v>1399.5917969</v>
      </c>
      <c r="J936">
        <v>1379.2227783000001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552.82561599999997</v>
      </c>
      <c r="B937" s="1">
        <f>DATE(2011,11,4) + TIME(19,48,53)</f>
        <v>40851.825613425928</v>
      </c>
      <c r="C937">
        <v>80</v>
      </c>
      <c r="D937">
        <v>79.085517882999994</v>
      </c>
      <c r="E937">
        <v>50</v>
      </c>
      <c r="F937">
        <v>49.820915221999996</v>
      </c>
      <c r="G937">
        <v>1303.6827393000001</v>
      </c>
      <c r="H937">
        <v>1291.3122559000001</v>
      </c>
      <c r="I937">
        <v>1399.7397461</v>
      </c>
      <c r="J937">
        <v>1379.3922118999999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553.11711000000003</v>
      </c>
      <c r="B938" s="1">
        <f>DATE(2011,11,5) + TIME(2,48,38)</f>
        <v>40852.117106481484</v>
      </c>
      <c r="C938">
        <v>80</v>
      </c>
      <c r="D938">
        <v>79.039833068999997</v>
      </c>
      <c r="E938">
        <v>50</v>
      </c>
      <c r="F938">
        <v>49.858406066999997</v>
      </c>
      <c r="G938">
        <v>1303.4259033000001</v>
      </c>
      <c r="H938">
        <v>1291.0527344</v>
      </c>
      <c r="I938">
        <v>1399.8565673999999</v>
      </c>
      <c r="J938">
        <v>1379.527832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553.43501600000002</v>
      </c>
      <c r="B939" s="1">
        <f>DATE(2011,11,5) + TIME(10,26,25)</f>
        <v>40852.435011574074</v>
      </c>
      <c r="C939">
        <v>80</v>
      </c>
      <c r="D939">
        <v>78.990928650000001</v>
      </c>
      <c r="E939">
        <v>50</v>
      </c>
      <c r="F939">
        <v>49.887432097999998</v>
      </c>
      <c r="G939">
        <v>1303.1898193</v>
      </c>
      <c r="H939">
        <v>1290.8137207</v>
      </c>
      <c r="I939">
        <v>1399.9429932</v>
      </c>
      <c r="J939">
        <v>1379.6313477000001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553.78154300000006</v>
      </c>
      <c r="B940" s="1">
        <f>DATE(2011,11,5) + TIME(18,45,25)</f>
        <v>40852.781539351854</v>
      </c>
      <c r="C940">
        <v>80</v>
      </c>
      <c r="D940">
        <v>78.938491821</v>
      </c>
      <c r="E940">
        <v>50</v>
      </c>
      <c r="F940">
        <v>49.909366607999999</v>
      </c>
      <c r="G940">
        <v>1302.9746094</v>
      </c>
      <c r="H940">
        <v>1290.5957031</v>
      </c>
      <c r="I940">
        <v>1399.9984131000001</v>
      </c>
      <c r="J940">
        <v>1379.7022704999999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554.15991099999997</v>
      </c>
      <c r="B941" s="1">
        <f>DATE(2011,11,6) + TIME(3,50,16)</f>
        <v>40853.159907407404</v>
      </c>
      <c r="C941">
        <v>80</v>
      </c>
      <c r="D941">
        <v>78.882141113000003</v>
      </c>
      <c r="E941">
        <v>50</v>
      </c>
      <c r="F941">
        <v>49.925563812</v>
      </c>
      <c r="G941">
        <v>1302.7797852000001</v>
      </c>
      <c r="H941">
        <v>1290.3979492000001</v>
      </c>
      <c r="I941">
        <v>1400.0236815999999</v>
      </c>
      <c r="J941">
        <v>1379.7420654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554.55005500000004</v>
      </c>
      <c r="B942" s="1">
        <f>DATE(2011,11,6) + TIME(13,12,4)</f>
        <v>40853.550046296295</v>
      </c>
      <c r="C942">
        <v>80</v>
      </c>
      <c r="D942">
        <v>78.823768615999995</v>
      </c>
      <c r="E942">
        <v>50</v>
      </c>
      <c r="F942">
        <v>49.936782837000003</v>
      </c>
      <c r="G942">
        <v>1302.6121826000001</v>
      </c>
      <c r="H942">
        <v>1290.2275391000001</v>
      </c>
      <c r="I942">
        <v>1400.0157471</v>
      </c>
      <c r="J942">
        <v>1379.7479248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554.94338000000005</v>
      </c>
      <c r="B943" s="1">
        <f>DATE(2011,11,6) + TIME(22,38,28)</f>
        <v>40853.943379629629</v>
      </c>
      <c r="C943">
        <v>80</v>
      </c>
      <c r="D943">
        <v>78.764472960999996</v>
      </c>
      <c r="E943">
        <v>50</v>
      </c>
      <c r="F943">
        <v>49.944396973000003</v>
      </c>
      <c r="G943">
        <v>1302.4704589999999</v>
      </c>
      <c r="H943">
        <v>1290.0832519999999</v>
      </c>
      <c r="I943">
        <v>1399.9844971</v>
      </c>
      <c r="J943">
        <v>1379.7296143000001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555.34407599999997</v>
      </c>
      <c r="B944" s="1">
        <f>DATE(2011,11,7) + TIME(8,15,28)</f>
        <v>40854.344074074077</v>
      </c>
      <c r="C944">
        <v>80</v>
      </c>
      <c r="D944">
        <v>78.704162597999996</v>
      </c>
      <c r="E944">
        <v>50</v>
      </c>
      <c r="F944">
        <v>49.949623107999997</v>
      </c>
      <c r="G944">
        <v>1302.3491211</v>
      </c>
      <c r="H944">
        <v>1289.9591064000001</v>
      </c>
      <c r="I944">
        <v>1399.9381103999999</v>
      </c>
      <c r="J944">
        <v>1379.6953125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555.75604999999996</v>
      </c>
      <c r="B945" s="1">
        <f>DATE(2011,11,7) + TIME(18,8,42)</f>
        <v>40854.756041666667</v>
      </c>
      <c r="C945">
        <v>80</v>
      </c>
      <c r="D945">
        <v>78.642593383999994</v>
      </c>
      <c r="E945">
        <v>50</v>
      </c>
      <c r="F945">
        <v>49.953235626000001</v>
      </c>
      <c r="G945">
        <v>1302.2435303</v>
      </c>
      <c r="H945">
        <v>1289.8508300999999</v>
      </c>
      <c r="I945">
        <v>1399.8798827999999</v>
      </c>
      <c r="J945">
        <v>1379.6485596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556.18323899999996</v>
      </c>
      <c r="B946" s="1">
        <f>DATE(2011,11,8) + TIME(4,23,51)</f>
        <v>40855.183229166665</v>
      </c>
      <c r="C946">
        <v>80</v>
      </c>
      <c r="D946">
        <v>78.579429626000007</v>
      </c>
      <c r="E946">
        <v>50</v>
      </c>
      <c r="F946">
        <v>49.955749511999997</v>
      </c>
      <c r="G946">
        <v>1302.1506348</v>
      </c>
      <c r="H946">
        <v>1289.755249</v>
      </c>
      <c r="I946">
        <v>1399.8120117000001</v>
      </c>
      <c r="J946">
        <v>1379.5917969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556.62989800000003</v>
      </c>
      <c r="B947" s="1">
        <f>DATE(2011,11,8) + TIME(15,7,3)</f>
        <v>40855.629895833335</v>
      </c>
      <c r="C947">
        <v>80</v>
      </c>
      <c r="D947">
        <v>78.514251709000007</v>
      </c>
      <c r="E947">
        <v>50</v>
      </c>
      <c r="F947">
        <v>49.957511902</v>
      </c>
      <c r="G947">
        <v>1302.0679932</v>
      </c>
      <c r="H947">
        <v>1289.6695557</v>
      </c>
      <c r="I947">
        <v>1399.7358397999999</v>
      </c>
      <c r="J947">
        <v>1379.5267334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557.10088900000005</v>
      </c>
      <c r="B948" s="1">
        <f>DATE(2011,11,9) + TIME(2,25,16)</f>
        <v>40856.10087962963</v>
      </c>
      <c r="C948">
        <v>80</v>
      </c>
      <c r="D948">
        <v>78.446540833</v>
      </c>
      <c r="E948">
        <v>50</v>
      </c>
      <c r="F948">
        <v>49.958751677999999</v>
      </c>
      <c r="G948">
        <v>1301.9932861</v>
      </c>
      <c r="H948">
        <v>1289.5919189000001</v>
      </c>
      <c r="I948">
        <v>1399.652832</v>
      </c>
      <c r="J948">
        <v>1379.4547118999999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557.601947</v>
      </c>
      <c r="B949" s="1">
        <f>DATE(2011,11,9) + TIME(14,26,48)</f>
        <v>40856.601944444446</v>
      </c>
      <c r="C949">
        <v>80</v>
      </c>
      <c r="D949">
        <v>78.375694275000001</v>
      </c>
      <c r="E949">
        <v>50</v>
      </c>
      <c r="F949">
        <v>49.959636688000003</v>
      </c>
      <c r="G949">
        <v>1301.9249268000001</v>
      </c>
      <c r="H949">
        <v>1289.5205077999999</v>
      </c>
      <c r="I949">
        <v>1399.5635986</v>
      </c>
      <c r="J949">
        <v>1379.3765868999999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558.13210800000002</v>
      </c>
      <c r="B950" s="1">
        <f>DATE(2011,11,10) + TIME(3,10,14)</f>
        <v>40857.132106481484</v>
      </c>
      <c r="C950">
        <v>80</v>
      </c>
      <c r="D950">
        <v>78.301628113000007</v>
      </c>
      <c r="E950">
        <v>50</v>
      </c>
      <c r="F950">
        <v>49.960262299</v>
      </c>
      <c r="G950">
        <v>1301.8620605000001</v>
      </c>
      <c r="H950">
        <v>1289.4543457</v>
      </c>
      <c r="I950">
        <v>1399.46875</v>
      </c>
      <c r="J950">
        <v>1379.2932129000001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558.69547699999998</v>
      </c>
      <c r="B951" s="1">
        <f>DATE(2011,11,10) + TIME(16,41,29)</f>
        <v>40857.695474537039</v>
      </c>
      <c r="C951">
        <v>80</v>
      </c>
      <c r="D951">
        <v>78.223937988000003</v>
      </c>
      <c r="E951">
        <v>50</v>
      </c>
      <c r="F951">
        <v>49.960712432999998</v>
      </c>
      <c r="G951">
        <v>1301.8035889</v>
      </c>
      <c r="H951">
        <v>1289.3925781</v>
      </c>
      <c r="I951">
        <v>1399.3699951000001</v>
      </c>
      <c r="J951">
        <v>1379.2061768000001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559.29945699999996</v>
      </c>
      <c r="B952" s="1">
        <f>DATE(2011,11,11) + TIME(7,11,13)</f>
        <v>40858.299456018518</v>
      </c>
      <c r="C952">
        <v>80</v>
      </c>
      <c r="D952">
        <v>78.141944885000001</v>
      </c>
      <c r="E952">
        <v>50</v>
      </c>
      <c r="F952">
        <v>49.961044311999999</v>
      </c>
      <c r="G952">
        <v>1301.7482910000001</v>
      </c>
      <c r="H952">
        <v>1289.3337402</v>
      </c>
      <c r="I952">
        <v>1399.2680664</v>
      </c>
      <c r="J952">
        <v>1379.1160889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559.92191500000001</v>
      </c>
      <c r="B953" s="1">
        <f>DATE(2011,11,11) + TIME(22,7,33)</f>
        <v>40858.921909722223</v>
      </c>
      <c r="C953">
        <v>80</v>
      </c>
      <c r="D953">
        <v>78.057144164999997</v>
      </c>
      <c r="E953">
        <v>50</v>
      </c>
      <c r="F953">
        <v>49.961280823000003</v>
      </c>
      <c r="G953">
        <v>1301.6966553</v>
      </c>
      <c r="H953">
        <v>1289.2783202999999</v>
      </c>
      <c r="I953">
        <v>1399.1635742000001</v>
      </c>
      <c r="J953">
        <v>1379.0238036999999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560.55074500000001</v>
      </c>
      <c r="B954" s="1">
        <f>DATE(2011,11,12) + TIME(13,13,4)</f>
        <v>40859.550740740742</v>
      </c>
      <c r="C954">
        <v>80</v>
      </c>
      <c r="D954">
        <v>77.970924377000003</v>
      </c>
      <c r="E954">
        <v>50</v>
      </c>
      <c r="F954">
        <v>49.961452483999999</v>
      </c>
      <c r="G954">
        <v>1301.6484375</v>
      </c>
      <c r="H954">
        <v>1289.2263184000001</v>
      </c>
      <c r="I954">
        <v>1399.0609131000001</v>
      </c>
      <c r="J954">
        <v>1378.9332274999999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561.19216600000004</v>
      </c>
      <c r="B955" s="1">
        <f>DATE(2011,11,13) + TIME(4,36,43)</f>
        <v>40860.192164351851</v>
      </c>
      <c r="C955">
        <v>80</v>
      </c>
      <c r="D955">
        <v>77.883422851999995</v>
      </c>
      <c r="E955">
        <v>50</v>
      </c>
      <c r="F955">
        <v>49.961582184000001</v>
      </c>
      <c r="G955">
        <v>1301.6031493999999</v>
      </c>
      <c r="H955">
        <v>1289.1770019999999</v>
      </c>
      <c r="I955">
        <v>1398.9621582</v>
      </c>
      <c r="J955">
        <v>1378.8460693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561.85224800000003</v>
      </c>
      <c r="B956" s="1">
        <f>DATE(2011,11,13) + TIME(20,27,14)</f>
        <v>40860.85224537037</v>
      </c>
      <c r="C956">
        <v>80</v>
      </c>
      <c r="D956">
        <v>77.794395446999999</v>
      </c>
      <c r="E956">
        <v>50</v>
      </c>
      <c r="F956">
        <v>49.961681366000001</v>
      </c>
      <c r="G956">
        <v>1301.5596923999999</v>
      </c>
      <c r="H956">
        <v>1289.1295166</v>
      </c>
      <c r="I956">
        <v>1398.8664550999999</v>
      </c>
      <c r="J956">
        <v>1378.7618408000001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562.53733099999999</v>
      </c>
      <c r="B957" s="1">
        <f>DATE(2011,11,14) + TIME(12,53,45)</f>
        <v>40861.537326388891</v>
      </c>
      <c r="C957">
        <v>80</v>
      </c>
      <c r="D957">
        <v>77.703346252000003</v>
      </c>
      <c r="E957">
        <v>50</v>
      </c>
      <c r="F957">
        <v>49.961765288999999</v>
      </c>
      <c r="G957">
        <v>1301.5174560999999</v>
      </c>
      <c r="H957">
        <v>1289.0828856999999</v>
      </c>
      <c r="I957">
        <v>1398.7729492000001</v>
      </c>
      <c r="J957">
        <v>1378.6795654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563.25444700000003</v>
      </c>
      <c r="B958" s="1">
        <f>DATE(2011,11,15) + TIME(6,6,24)</f>
        <v>40862.254444444443</v>
      </c>
      <c r="C958">
        <v>80</v>
      </c>
      <c r="D958">
        <v>77.609642029</v>
      </c>
      <c r="E958">
        <v>50</v>
      </c>
      <c r="F958">
        <v>49.961833953999999</v>
      </c>
      <c r="G958">
        <v>1301.4757079999999</v>
      </c>
      <c r="H958">
        <v>1289.036499</v>
      </c>
      <c r="I958">
        <v>1398.6809082</v>
      </c>
      <c r="J958">
        <v>1378.5988769999999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564.01177700000005</v>
      </c>
      <c r="B959" s="1">
        <f>DATE(2011,11,16) + TIME(0,16,57)</f>
        <v>40863.011770833335</v>
      </c>
      <c r="C959">
        <v>80</v>
      </c>
      <c r="D959">
        <v>77.512496948000006</v>
      </c>
      <c r="E959">
        <v>50</v>
      </c>
      <c r="F959">
        <v>49.961891174000002</v>
      </c>
      <c r="G959">
        <v>1301.4335937999999</v>
      </c>
      <c r="H959">
        <v>1288.9897461</v>
      </c>
      <c r="I959">
        <v>1398.5897216999999</v>
      </c>
      <c r="J959">
        <v>1378.519043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564.80146999999999</v>
      </c>
      <c r="B960" s="1">
        <f>DATE(2011,11,16) + TIME(19,14,7)</f>
        <v>40863.801469907405</v>
      </c>
      <c r="C960">
        <v>80</v>
      </c>
      <c r="D960">
        <v>77.412094116000006</v>
      </c>
      <c r="E960">
        <v>50</v>
      </c>
      <c r="F960">
        <v>49.961940765000001</v>
      </c>
      <c r="G960">
        <v>1301.3911132999999</v>
      </c>
      <c r="H960">
        <v>1288.9421387</v>
      </c>
      <c r="I960">
        <v>1398.4987793</v>
      </c>
      <c r="J960">
        <v>1378.4395752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565.62735499999997</v>
      </c>
      <c r="B961" s="1">
        <f>DATE(2011,11,17) + TIME(15,3,23)</f>
        <v>40864.627349537041</v>
      </c>
      <c r="C961">
        <v>80</v>
      </c>
      <c r="D961">
        <v>77.308303832999997</v>
      </c>
      <c r="E961">
        <v>50</v>
      </c>
      <c r="F961">
        <v>49.961986541999998</v>
      </c>
      <c r="G961">
        <v>1301.3479004000001</v>
      </c>
      <c r="H961">
        <v>1288.8935547000001</v>
      </c>
      <c r="I961">
        <v>1398.4088135</v>
      </c>
      <c r="J961">
        <v>1378.3612060999999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566.47046399999999</v>
      </c>
      <c r="B962" s="1">
        <f>DATE(2011,11,18) + TIME(11,17,28)</f>
        <v>40865.470462962963</v>
      </c>
      <c r="C962">
        <v>80</v>
      </c>
      <c r="D962">
        <v>77.202285767000006</v>
      </c>
      <c r="E962">
        <v>50</v>
      </c>
      <c r="F962">
        <v>49.962024689000003</v>
      </c>
      <c r="G962">
        <v>1301.3041992000001</v>
      </c>
      <c r="H962">
        <v>1288.8441161999999</v>
      </c>
      <c r="I962">
        <v>1398.3201904</v>
      </c>
      <c r="J962">
        <v>1378.2839355000001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567.32606299999998</v>
      </c>
      <c r="B963" s="1">
        <f>DATE(2011,11,19) + TIME(7,49,31)</f>
        <v>40866.326053240744</v>
      </c>
      <c r="C963">
        <v>80</v>
      </c>
      <c r="D963">
        <v>77.094970703000001</v>
      </c>
      <c r="E963">
        <v>50</v>
      </c>
      <c r="F963">
        <v>49.962059021000002</v>
      </c>
      <c r="G963">
        <v>1301.2601318</v>
      </c>
      <c r="H963">
        <v>1288.7941894999999</v>
      </c>
      <c r="I963">
        <v>1398.2342529</v>
      </c>
      <c r="J963">
        <v>1378.2093506000001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568.202583</v>
      </c>
      <c r="B964" s="1">
        <f>DATE(2011,11,20) + TIME(4,51,43)</f>
        <v>40867.202581018515</v>
      </c>
      <c r="C964">
        <v>80</v>
      </c>
      <c r="D964">
        <v>76.986358643000003</v>
      </c>
      <c r="E964">
        <v>50</v>
      </c>
      <c r="F964">
        <v>49.962093353</v>
      </c>
      <c r="G964">
        <v>1301.2158202999999</v>
      </c>
      <c r="H964">
        <v>1288.7437743999999</v>
      </c>
      <c r="I964">
        <v>1398.1513672000001</v>
      </c>
      <c r="J964">
        <v>1378.1374512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569.10866999999996</v>
      </c>
      <c r="B965" s="1">
        <f>DATE(2011,11,21) + TIME(2,36,29)</f>
        <v>40868.108668981484</v>
      </c>
      <c r="C965">
        <v>80</v>
      </c>
      <c r="D965">
        <v>76.875930785999998</v>
      </c>
      <c r="E965">
        <v>50</v>
      </c>
      <c r="F965">
        <v>49.962127686000002</v>
      </c>
      <c r="G965">
        <v>1301.1706543</v>
      </c>
      <c r="H965">
        <v>1288.6921387</v>
      </c>
      <c r="I965">
        <v>1398.0704346</v>
      </c>
      <c r="J965">
        <v>1378.0675048999999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570.05381899999998</v>
      </c>
      <c r="B966" s="1">
        <f>DATE(2011,11,22) + TIME(1,17,29)</f>
        <v>40869.053807870368</v>
      </c>
      <c r="C966">
        <v>80</v>
      </c>
      <c r="D966">
        <v>76.762931824000006</v>
      </c>
      <c r="E966">
        <v>50</v>
      </c>
      <c r="F966">
        <v>49.962162018000001</v>
      </c>
      <c r="G966">
        <v>1301.1242675999999</v>
      </c>
      <c r="H966">
        <v>1288.6387939000001</v>
      </c>
      <c r="I966">
        <v>1397.9908447</v>
      </c>
      <c r="J966">
        <v>1377.9985352000001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571.04902300000003</v>
      </c>
      <c r="B967" s="1">
        <f>DATE(2011,11,23) + TIME(1,10,35)</f>
        <v>40870.049016203702</v>
      </c>
      <c r="C967">
        <v>80</v>
      </c>
      <c r="D967">
        <v>76.646385193</v>
      </c>
      <c r="E967">
        <v>50</v>
      </c>
      <c r="F967">
        <v>49.962196349999999</v>
      </c>
      <c r="G967">
        <v>1301.0758057</v>
      </c>
      <c r="H967">
        <v>1288.5830077999999</v>
      </c>
      <c r="I967">
        <v>1397.911499</v>
      </c>
      <c r="J967">
        <v>1377.9301757999999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572.10016800000005</v>
      </c>
      <c r="B968" s="1">
        <f>DATE(2011,11,24) + TIME(2,24,14)</f>
        <v>40871.100162037037</v>
      </c>
      <c r="C968">
        <v>80</v>
      </c>
      <c r="D968">
        <v>76.525520325000002</v>
      </c>
      <c r="E968">
        <v>50</v>
      </c>
      <c r="F968">
        <v>49.962234496999997</v>
      </c>
      <c r="G968">
        <v>1301.0249022999999</v>
      </c>
      <c r="H968">
        <v>1288.5242920000001</v>
      </c>
      <c r="I968">
        <v>1397.8319091999999</v>
      </c>
      <c r="J968">
        <v>1377.8614502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573.18229299999996</v>
      </c>
      <c r="B969" s="1">
        <f>DATE(2011,11,25) + TIME(4,22,30)</f>
        <v>40872.182291666664</v>
      </c>
      <c r="C969">
        <v>80</v>
      </c>
      <c r="D969">
        <v>76.401199340999995</v>
      </c>
      <c r="E969">
        <v>50</v>
      </c>
      <c r="F969">
        <v>49.962268829000003</v>
      </c>
      <c r="G969">
        <v>1300.9714355000001</v>
      </c>
      <c r="H969">
        <v>1288.4622803</v>
      </c>
      <c r="I969">
        <v>1397.7519531</v>
      </c>
      <c r="J969">
        <v>1377.7924805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574.285887</v>
      </c>
      <c r="B970" s="1">
        <f>DATE(2011,11,26) + TIME(6,51,40)</f>
        <v>40873.285879629628</v>
      </c>
      <c r="C970">
        <v>80</v>
      </c>
      <c r="D970">
        <v>76.274734496999997</v>
      </c>
      <c r="E970">
        <v>50</v>
      </c>
      <c r="F970">
        <v>49.962306976000001</v>
      </c>
      <c r="G970">
        <v>1300.9160156</v>
      </c>
      <c r="H970">
        <v>1288.3979492000001</v>
      </c>
      <c r="I970">
        <v>1397.6732178</v>
      </c>
      <c r="J970">
        <v>1377.7247314000001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575.40770899999995</v>
      </c>
      <c r="B971" s="1">
        <f>DATE(2011,11,27) + TIME(9,47,6)</f>
        <v>40874.407708333332</v>
      </c>
      <c r="C971">
        <v>80</v>
      </c>
      <c r="D971">
        <v>76.147048949999999</v>
      </c>
      <c r="E971">
        <v>50</v>
      </c>
      <c r="F971">
        <v>49.962341309000003</v>
      </c>
      <c r="G971">
        <v>1300.8590088000001</v>
      </c>
      <c r="H971">
        <v>1288.331543</v>
      </c>
      <c r="I971">
        <v>1397.5963135</v>
      </c>
      <c r="J971">
        <v>1377.6586914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576.55929400000002</v>
      </c>
      <c r="B972" s="1">
        <f>DATE(2011,11,28) + TIME(13,25,22)</f>
        <v>40875.559282407405</v>
      </c>
      <c r="C972">
        <v>80</v>
      </c>
      <c r="D972">
        <v>76.018089294000006</v>
      </c>
      <c r="E972">
        <v>50</v>
      </c>
      <c r="F972">
        <v>49.962383269999997</v>
      </c>
      <c r="G972">
        <v>1300.8004149999999</v>
      </c>
      <c r="H972">
        <v>1288.2629394999999</v>
      </c>
      <c r="I972">
        <v>1397.5214844</v>
      </c>
      <c r="J972">
        <v>1377.5943603999999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577.75145699999996</v>
      </c>
      <c r="B973" s="1">
        <f>DATE(2011,11,29) + TIME(18,2,5)</f>
        <v>40876.751446759263</v>
      </c>
      <c r="C973">
        <v>80</v>
      </c>
      <c r="D973">
        <v>75.887176514000004</v>
      </c>
      <c r="E973">
        <v>50</v>
      </c>
      <c r="F973">
        <v>49.962421417000002</v>
      </c>
      <c r="G973">
        <v>1300.739624</v>
      </c>
      <c r="H973">
        <v>1288.1914062000001</v>
      </c>
      <c r="I973">
        <v>1397.447876</v>
      </c>
      <c r="J973">
        <v>1377.5310059000001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579</v>
      </c>
      <c r="B974" s="1">
        <f>DATE(2011,12,1) + TIME(0,0,0)</f>
        <v>40878</v>
      </c>
      <c r="C974">
        <v>80</v>
      </c>
      <c r="D974">
        <v>75.753204346000004</v>
      </c>
      <c r="E974">
        <v>50</v>
      </c>
      <c r="F974">
        <v>49.962467193999998</v>
      </c>
      <c r="G974">
        <v>1300.6759033000001</v>
      </c>
      <c r="H974">
        <v>1288.1163329999999</v>
      </c>
      <c r="I974">
        <v>1397.3746338000001</v>
      </c>
      <c r="J974">
        <v>1377.4681396000001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580.23394199999996</v>
      </c>
      <c r="B975" s="1">
        <f>DATE(2011,12,2) + TIME(5,36,52)</f>
        <v>40879.233935185184</v>
      </c>
      <c r="C975">
        <v>80</v>
      </c>
      <c r="D975">
        <v>75.618492126000007</v>
      </c>
      <c r="E975">
        <v>50</v>
      </c>
      <c r="F975">
        <v>49.962505341000004</v>
      </c>
      <c r="G975">
        <v>1300.6092529</v>
      </c>
      <c r="H975">
        <v>1288.0375977000001</v>
      </c>
      <c r="I975">
        <v>1397.3015137</v>
      </c>
      <c r="J975">
        <v>1377.4053954999999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581.59134100000006</v>
      </c>
      <c r="B976" s="1">
        <f>DATE(2011,12,3) + TIME(14,11,31)</f>
        <v>40880.591331018521</v>
      </c>
      <c r="C976">
        <v>80</v>
      </c>
      <c r="D976">
        <v>75.47984314</v>
      </c>
      <c r="E976">
        <v>50</v>
      </c>
      <c r="F976">
        <v>49.962558745999999</v>
      </c>
      <c r="G976">
        <v>1300.5406493999999</v>
      </c>
      <c r="H976">
        <v>1287.9560547000001</v>
      </c>
      <c r="I976">
        <v>1397.2312012</v>
      </c>
      <c r="J976">
        <v>1377.3448486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582.96398199999999</v>
      </c>
      <c r="B977" s="1">
        <f>DATE(2011,12,4) + TIME(23,8,8)</f>
        <v>40881.96398148148</v>
      </c>
      <c r="C977">
        <v>80</v>
      </c>
      <c r="D977">
        <v>75.337196349999999</v>
      </c>
      <c r="E977">
        <v>50</v>
      </c>
      <c r="F977">
        <v>49.962604523000003</v>
      </c>
      <c r="G977">
        <v>1300.4661865</v>
      </c>
      <c r="H977">
        <v>1287.8674315999999</v>
      </c>
      <c r="I977">
        <v>1397.1577147999999</v>
      </c>
      <c r="J977">
        <v>1377.2818603999999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584.35340699999995</v>
      </c>
      <c r="B978" s="1">
        <f>DATE(2011,12,6) + TIME(8,28,54)</f>
        <v>40883.353402777779</v>
      </c>
      <c r="C978">
        <v>80</v>
      </c>
      <c r="D978">
        <v>75.193275451999995</v>
      </c>
      <c r="E978">
        <v>50</v>
      </c>
      <c r="F978">
        <v>49.962650299000003</v>
      </c>
      <c r="G978">
        <v>1300.3891602000001</v>
      </c>
      <c r="H978">
        <v>1287.7752685999999</v>
      </c>
      <c r="I978">
        <v>1397.0860596</v>
      </c>
      <c r="J978">
        <v>1377.2203368999999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585.76907000000006</v>
      </c>
      <c r="B979" s="1">
        <f>DATE(2011,12,7) + TIME(18,27,27)</f>
        <v>40884.769062500003</v>
      </c>
      <c r="C979">
        <v>80</v>
      </c>
      <c r="D979">
        <v>75.048736571999996</v>
      </c>
      <c r="E979">
        <v>50</v>
      </c>
      <c r="F979">
        <v>49.962699890000003</v>
      </c>
      <c r="G979">
        <v>1300.3095702999999</v>
      </c>
      <c r="H979">
        <v>1287.6796875</v>
      </c>
      <c r="I979">
        <v>1397.0162353999999</v>
      </c>
      <c r="J979">
        <v>1377.1604004000001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587.22484099999997</v>
      </c>
      <c r="B980" s="1">
        <f>DATE(2011,12,9) + TIME(5,23,46)</f>
        <v>40886.22483796296</v>
      </c>
      <c r="C980">
        <v>80</v>
      </c>
      <c r="D980">
        <v>74.903083800999994</v>
      </c>
      <c r="E980">
        <v>50</v>
      </c>
      <c r="F980">
        <v>49.962753296000002</v>
      </c>
      <c r="G980">
        <v>1300.2270507999999</v>
      </c>
      <c r="H980">
        <v>1287.5800781</v>
      </c>
      <c r="I980">
        <v>1396.9477539</v>
      </c>
      <c r="J980">
        <v>1377.1015625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588.73567800000001</v>
      </c>
      <c r="B981" s="1">
        <f>DATE(2011,12,10) + TIME(17,39,22)</f>
        <v>40887.735671296294</v>
      </c>
      <c r="C981">
        <v>80</v>
      </c>
      <c r="D981">
        <v>74.755233765</v>
      </c>
      <c r="E981">
        <v>50</v>
      </c>
      <c r="F981">
        <v>49.962806702000002</v>
      </c>
      <c r="G981">
        <v>1300.1407471</v>
      </c>
      <c r="H981">
        <v>1287.4754639</v>
      </c>
      <c r="I981">
        <v>1396.8798827999999</v>
      </c>
      <c r="J981">
        <v>1377.0432129000001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590.31867</v>
      </c>
      <c r="B982" s="1">
        <f>DATE(2011,12,12) + TIME(7,38,53)</f>
        <v>40889.318668981483</v>
      </c>
      <c r="C982">
        <v>80</v>
      </c>
      <c r="D982">
        <v>74.603935242000006</v>
      </c>
      <c r="E982">
        <v>50</v>
      </c>
      <c r="F982">
        <v>49.962863921999997</v>
      </c>
      <c r="G982">
        <v>1300.0494385</v>
      </c>
      <c r="H982">
        <v>1287.3642577999999</v>
      </c>
      <c r="I982">
        <v>1396.8118896000001</v>
      </c>
      <c r="J982">
        <v>1376.9848632999999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591.93829800000003</v>
      </c>
      <c r="B983" s="1">
        <f>DATE(2011,12,13) + TIME(22,31,8)</f>
        <v>40890.938287037039</v>
      </c>
      <c r="C983">
        <v>80</v>
      </c>
      <c r="D983">
        <v>74.449447632000002</v>
      </c>
      <c r="E983">
        <v>50</v>
      </c>
      <c r="F983">
        <v>49.962924956999998</v>
      </c>
      <c r="G983">
        <v>1299.9523925999999</v>
      </c>
      <c r="H983">
        <v>1287.2458495999999</v>
      </c>
      <c r="I983">
        <v>1396.7434082</v>
      </c>
      <c r="J983">
        <v>1376.9260254000001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593.58635500000003</v>
      </c>
      <c r="B984" s="1">
        <f>DATE(2011,12,15) + TIME(14,4,21)</f>
        <v>40892.586354166669</v>
      </c>
      <c r="C984">
        <v>80</v>
      </c>
      <c r="D984">
        <v>74.293273925999998</v>
      </c>
      <c r="E984">
        <v>50</v>
      </c>
      <c r="F984">
        <v>49.962982177999997</v>
      </c>
      <c r="G984">
        <v>1299.8509521000001</v>
      </c>
      <c r="H984">
        <v>1287.1213379000001</v>
      </c>
      <c r="I984">
        <v>1396.6759033000001</v>
      </c>
      <c r="J984">
        <v>1376.8679199000001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595.27495699999997</v>
      </c>
      <c r="B985" s="1">
        <f>DATE(2011,12,17) + TIME(6,35,56)</f>
        <v>40894.274953703702</v>
      </c>
      <c r="C985">
        <v>80</v>
      </c>
      <c r="D985">
        <v>74.135856627999999</v>
      </c>
      <c r="E985">
        <v>50</v>
      </c>
      <c r="F985">
        <v>49.963043212999999</v>
      </c>
      <c r="G985">
        <v>1299.7452393000001</v>
      </c>
      <c r="H985">
        <v>1286.9909668</v>
      </c>
      <c r="I985">
        <v>1396.6094971</v>
      </c>
      <c r="J985">
        <v>1376.8109131000001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597.00291800000002</v>
      </c>
      <c r="B986" s="1">
        <f>DATE(2011,12,19) + TIME(0,4,12)</f>
        <v>40896.002916666665</v>
      </c>
      <c r="C986">
        <v>80</v>
      </c>
      <c r="D986">
        <v>73.977005004999995</v>
      </c>
      <c r="E986">
        <v>50</v>
      </c>
      <c r="F986">
        <v>49.963108063</v>
      </c>
      <c r="G986">
        <v>1299.6347656</v>
      </c>
      <c r="H986">
        <v>1286.8540039</v>
      </c>
      <c r="I986">
        <v>1396.5439452999999</v>
      </c>
      <c r="J986">
        <v>1376.7543945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598.78820900000005</v>
      </c>
      <c r="B987" s="1">
        <f>DATE(2011,12,20) + TIME(18,55,1)</f>
        <v>40897.788206018522</v>
      </c>
      <c r="C987">
        <v>80</v>
      </c>
      <c r="D987">
        <v>73.816207886000001</v>
      </c>
      <c r="E987">
        <v>50</v>
      </c>
      <c r="F987">
        <v>49.963172913000001</v>
      </c>
      <c r="G987">
        <v>1299.519043</v>
      </c>
      <c r="H987">
        <v>1286.7099608999999</v>
      </c>
      <c r="I987">
        <v>1396.4790039</v>
      </c>
      <c r="J987">
        <v>1376.6984863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600.64732200000003</v>
      </c>
      <c r="B988" s="1">
        <f>DATE(2011,12,22) + TIME(15,32,8)</f>
        <v>40899.647314814814</v>
      </c>
      <c r="C988">
        <v>80</v>
      </c>
      <c r="D988">
        <v>73.652297974000007</v>
      </c>
      <c r="E988">
        <v>50</v>
      </c>
      <c r="F988">
        <v>49.963241576999998</v>
      </c>
      <c r="G988">
        <v>1299.3968506000001</v>
      </c>
      <c r="H988">
        <v>1286.5570068</v>
      </c>
      <c r="I988">
        <v>1396.4143065999999</v>
      </c>
      <c r="J988">
        <v>1376.6427002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602.52777600000002</v>
      </c>
      <c r="B989" s="1">
        <f>DATE(2011,12,24) + TIME(12,39,59)</f>
        <v>40901.527766203704</v>
      </c>
      <c r="C989">
        <v>80</v>
      </c>
      <c r="D989">
        <v>73.485824585000003</v>
      </c>
      <c r="E989">
        <v>50</v>
      </c>
      <c r="F989">
        <v>49.963310241999999</v>
      </c>
      <c r="G989">
        <v>1299.2672118999999</v>
      </c>
      <c r="H989">
        <v>1286.3942870999999</v>
      </c>
      <c r="I989">
        <v>1396.3493652</v>
      </c>
      <c r="J989">
        <v>1376.5867920000001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604.423406</v>
      </c>
      <c r="B990" s="1">
        <f>DATE(2011,12,26) + TIME(10,9,42)</f>
        <v>40903.423402777778</v>
      </c>
      <c r="C990">
        <v>80</v>
      </c>
      <c r="D990">
        <v>73.318893433</v>
      </c>
      <c r="E990">
        <v>50</v>
      </c>
      <c r="F990">
        <v>49.963378906000003</v>
      </c>
      <c r="G990">
        <v>1299.1325684000001</v>
      </c>
      <c r="H990">
        <v>1286.2243652</v>
      </c>
      <c r="I990">
        <v>1396.2857666</v>
      </c>
      <c r="J990">
        <v>1376.5318603999999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606.35177599999997</v>
      </c>
      <c r="B991" s="1">
        <f>DATE(2011,12,28) + TIME(8,26,33)</f>
        <v>40905.351770833331</v>
      </c>
      <c r="C991">
        <v>80</v>
      </c>
      <c r="D991">
        <v>73.151870728000006</v>
      </c>
      <c r="E991">
        <v>50</v>
      </c>
      <c r="F991">
        <v>49.963447571000003</v>
      </c>
      <c r="G991">
        <v>1298.9932861</v>
      </c>
      <c r="H991">
        <v>1286.0477295000001</v>
      </c>
      <c r="I991">
        <v>1396.2237548999999</v>
      </c>
      <c r="J991">
        <v>1376.4782714999999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608.33080199999995</v>
      </c>
      <c r="B992" s="1">
        <f>DATE(2011,12,30) + TIME(7,56,21)</f>
        <v>40907.33079861111</v>
      </c>
      <c r="C992">
        <v>80</v>
      </c>
      <c r="D992">
        <v>72.98374939</v>
      </c>
      <c r="E992">
        <v>50</v>
      </c>
      <c r="F992">
        <v>49.963523864999999</v>
      </c>
      <c r="G992">
        <v>1298.8482666</v>
      </c>
      <c r="H992">
        <v>1285.8626709</v>
      </c>
      <c r="I992">
        <v>1396.1625977000001</v>
      </c>
      <c r="J992">
        <v>1376.4255370999999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610</v>
      </c>
      <c r="B993" s="1">
        <f>DATE(2012,1,1) + TIME(0,0,0)</f>
        <v>40909</v>
      </c>
      <c r="C993">
        <v>80</v>
      </c>
      <c r="D993">
        <v>72.82359314</v>
      </c>
      <c r="E993">
        <v>50</v>
      </c>
      <c r="F993">
        <v>49.963577270999998</v>
      </c>
      <c r="G993">
        <v>1298.6995850000001</v>
      </c>
      <c r="H993">
        <v>1285.6729736</v>
      </c>
      <c r="I993">
        <v>1396.1030272999999</v>
      </c>
      <c r="J993">
        <v>1376.3741454999999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612.04903999999999</v>
      </c>
      <c r="B994" s="1">
        <f>DATE(2012,1,3) + TIME(1,10,37)</f>
        <v>40911.049039351848</v>
      </c>
      <c r="C994">
        <v>80</v>
      </c>
      <c r="D994">
        <v>72.666229247999993</v>
      </c>
      <c r="E994">
        <v>50</v>
      </c>
      <c r="F994">
        <v>49.963661193999997</v>
      </c>
      <c r="G994">
        <v>1298.5612793</v>
      </c>
      <c r="H994">
        <v>1285.4937743999999</v>
      </c>
      <c r="I994">
        <v>1396.0515137</v>
      </c>
      <c r="J994">
        <v>1376.3293457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614.17542200000003</v>
      </c>
      <c r="B995" s="1">
        <f>DATE(2012,1,5) + TIME(4,12,36)</f>
        <v>40913.175416666665</v>
      </c>
      <c r="C995">
        <v>80</v>
      </c>
      <c r="D995">
        <v>72.496574401999993</v>
      </c>
      <c r="E995">
        <v>50</v>
      </c>
      <c r="F995">
        <v>49.963737488</v>
      </c>
      <c r="G995">
        <v>1298.3985596</v>
      </c>
      <c r="H995">
        <v>1285.2841797000001</v>
      </c>
      <c r="I995">
        <v>1395.9926757999999</v>
      </c>
      <c r="J995">
        <v>1376.2784423999999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616.326685</v>
      </c>
      <c r="B996" s="1">
        <f>DATE(2012,1,7) + TIME(7,50,25)</f>
        <v>40915.326678240737</v>
      </c>
      <c r="C996">
        <v>80</v>
      </c>
      <c r="D996">
        <v>72.320991516000007</v>
      </c>
      <c r="E996">
        <v>50</v>
      </c>
      <c r="F996">
        <v>49.963817595999998</v>
      </c>
      <c r="G996">
        <v>1298.2244873</v>
      </c>
      <c r="H996">
        <v>1285.0588379000001</v>
      </c>
      <c r="I996">
        <v>1395.9331055</v>
      </c>
      <c r="J996">
        <v>1376.2268065999999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618.511844</v>
      </c>
      <c r="B997" s="1">
        <f>DATE(2012,1,9) + TIME(12,17,3)</f>
        <v>40917.511840277781</v>
      </c>
      <c r="C997">
        <v>80</v>
      </c>
      <c r="D997">
        <v>72.143020629999995</v>
      </c>
      <c r="E997">
        <v>50</v>
      </c>
      <c r="F997">
        <v>49.963893890000001</v>
      </c>
      <c r="G997">
        <v>1298.0429687999999</v>
      </c>
      <c r="H997">
        <v>1284.8226318</v>
      </c>
      <c r="I997">
        <v>1395.8746338000001</v>
      </c>
      <c r="J997">
        <v>1376.1760254000001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620.72196599999995</v>
      </c>
      <c r="B998" s="1">
        <f>DATE(2012,1,11) + TIME(17,19,37)</f>
        <v>40919.721956018519</v>
      </c>
      <c r="C998">
        <v>80</v>
      </c>
      <c r="D998">
        <v>71.963363646999994</v>
      </c>
      <c r="E998">
        <v>50</v>
      </c>
      <c r="F998">
        <v>49.963977814000003</v>
      </c>
      <c r="G998">
        <v>1297.8540039</v>
      </c>
      <c r="H998">
        <v>1284.5754394999999</v>
      </c>
      <c r="I998">
        <v>1395.8170166</v>
      </c>
      <c r="J998">
        <v>1376.1259766000001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622.95843000000002</v>
      </c>
      <c r="B999" s="1">
        <f>DATE(2012,1,13) + TIME(23,0,8)</f>
        <v>40921.958425925928</v>
      </c>
      <c r="C999">
        <v>80</v>
      </c>
      <c r="D999">
        <v>71.782356261999993</v>
      </c>
      <c r="E999">
        <v>50</v>
      </c>
      <c r="F999">
        <v>49.964057922000002</v>
      </c>
      <c r="G999">
        <v>1297.6579589999999</v>
      </c>
      <c r="H999">
        <v>1284.3179932</v>
      </c>
      <c r="I999">
        <v>1395.760376</v>
      </c>
      <c r="J999">
        <v>1376.0767822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625.214156</v>
      </c>
      <c r="B1000" s="1">
        <f>DATE(2012,1,16) + TIME(5,8,23)</f>
        <v>40924.214155092595</v>
      </c>
      <c r="C1000">
        <v>80</v>
      </c>
      <c r="D1000">
        <v>71.600006104000002</v>
      </c>
      <c r="E1000">
        <v>50</v>
      </c>
      <c r="F1000">
        <v>49.964138030999997</v>
      </c>
      <c r="G1000">
        <v>1297.4549560999999</v>
      </c>
      <c r="H1000">
        <v>1284.0500488</v>
      </c>
      <c r="I1000">
        <v>1395.7047118999999</v>
      </c>
      <c r="J1000">
        <v>1376.0284423999999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627.49367900000004</v>
      </c>
      <c r="B1001" s="1">
        <f>DATE(2012,1,18) + TIME(11,50,53)</f>
        <v>40926.493668981479</v>
      </c>
      <c r="C1001">
        <v>80</v>
      </c>
      <c r="D1001">
        <v>71.416275024000001</v>
      </c>
      <c r="E1001">
        <v>50</v>
      </c>
      <c r="F1001">
        <v>49.964221954000003</v>
      </c>
      <c r="G1001">
        <v>1297.2449951000001</v>
      </c>
      <c r="H1001">
        <v>1283.7719727000001</v>
      </c>
      <c r="I1001">
        <v>1395.6501464999999</v>
      </c>
      <c r="J1001">
        <v>1375.9808350000001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629.801333</v>
      </c>
      <c r="B1002" s="1">
        <f>DATE(2012,1,20) + TIME(19,13,55)</f>
        <v>40928.80133101852</v>
      </c>
      <c r="C1002">
        <v>80</v>
      </c>
      <c r="D1002">
        <v>71.230651855000005</v>
      </c>
      <c r="E1002">
        <v>50</v>
      </c>
      <c r="F1002">
        <v>49.964305877999998</v>
      </c>
      <c r="G1002">
        <v>1297.027832</v>
      </c>
      <c r="H1002">
        <v>1283.4831543</v>
      </c>
      <c r="I1002">
        <v>1395.5965576000001</v>
      </c>
      <c r="J1002">
        <v>1375.934082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632.14148999999998</v>
      </c>
      <c r="B1003" s="1">
        <f>DATE(2012,1,23) + TIME(3,23,44)</f>
        <v>40931.141481481478</v>
      </c>
      <c r="C1003">
        <v>80</v>
      </c>
      <c r="D1003">
        <v>71.042503357000001</v>
      </c>
      <c r="E1003">
        <v>50</v>
      </c>
      <c r="F1003">
        <v>49.964389801000003</v>
      </c>
      <c r="G1003">
        <v>1296.8029785000001</v>
      </c>
      <c r="H1003">
        <v>1283.1829834</v>
      </c>
      <c r="I1003">
        <v>1395.5435791</v>
      </c>
      <c r="J1003">
        <v>1375.8879394999999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634.50870099999997</v>
      </c>
      <c r="B1004" s="1">
        <f>DATE(2012,1,25) + TIME(12,12,31)</f>
        <v>40933.508692129632</v>
      </c>
      <c r="C1004">
        <v>80</v>
      </c>
      <c r="D1004">
        <v>70.851325989000003</v>
      </c>
      <c r="E1004">
        <v>50</v>
      </c>
      <c r="F1004">
        <v>49.964477539000001</v>
      </c>
      <c r="G1004">
        <v>1296.5699463000001</v>
      </c>
      <c r="H1004">
        <v>1282.8706055</v>
      </c>
      <c r="I1004">
        <v>1395.4914550999999</v>
      </c>
      <c r="J1004">
        <v>1375.8424072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636.89913200000001</v>
      </c>
      <c r="B1005" s="1">
        <f>DATE(2012,1,27) + TIME(21,34,44)</f>
        <v>40935.89912037037</v>
      </c>
      <c r="C1005">
        <v>80</v>
      </c>
      <c r="D1005">
        <v>70.656974792</v>
      </c>
      <c r="E1005">
        <v>50</v>
      </c>
      <c r="F1005">
        <v>49.964561461999999</v>
      </c>
      <c r="G1005">
        <v>1296.3289795000001</v>
      </c>
      <c r="H1005">
        <v>1282.5462646000001</v>
      </c>
      <c r="I1005">
        <v>1395.4399414</v>
      </c>
      <c r="J1005">
        <v>1375.7973632999999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639.31010600000002</v>
      </c>
      <c r="B1006" s="1">
        <f>DATE(2012,1,30) + TIME(7,26,33)</f>
        <v>40938.310104166667</v>
      </c>
      <c r="C1006">
        <v>80</v>
      </c>
      <c r="D1006">
        <v>70.459312439000001</v>
      </c>
      <c r="E1006">
        <v>50</v>
      </c>
      <c r="F1006">
        <v>49.964645386000001</v>
      </c>
      <c r="G1006">
        <v>1296.0802002</v>
      </c>
      <c r="H1006">
        <v>1282.2103271000001</v>
      </c>
      <c r="I1006">
        <v>1395.3892822</v>
      </c>
      <c r="J1006">
        <v>1375.7529297000001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641</v>
      </c>
      <c r="B1007" s="1">
        <f>DATE(2012,2,1) + TIME(0,0,0)</f>
        <v>40940</v>
      </c>
      <c r="C1007">
        <v>80</v>
      </c>
      <c r="D1007">
        <v>70.277770996000001</v>
      </c>
      <c r="E1007">
        <v>50</v>
      </c>
      <c r="F1007">
        <v>49.964698792</v>
      </c>
      <c r="G1007">
        <v>1295.833374</v>
      </c>
      <c r="H1007">
        <v>1281.8774414</v>
      </c>
      <c r="I1007">
        <v>1395.3416748</v>
      </c>
      <c r="J1007">
        <v>1375.7114257999999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643.43104400000004</v>
      </c>
      <c r="B1008" s="1">
        <f>DATE(2012,2,3) + TIME(10,20,42)</f>
        <v>40942.431041666663</v>
      </c>
      <c r="C1008">
        <v>80</v>
      </c>
      <c r="D1008">
        <v>70.105224609000004</v>
      </c>
      <c r="E1008">
        <v>50</v>
      </c>
      <c r="F1008">
        <v>49.964794159</v>
      </c>
      <c r="G1008">
        <v>1295.6307373</v>
      </c>
      <c r="H1008">
        <v>1281.5975341999999</v>
      </c>
      <c r="I1008">
        <v>1395.3039550999999</v>
      </c>
      <c r="J1008">
        <v>1375.6781006000001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645.90712799999994</v>
      </c>
      <c r="B1009" s="1">
        <f>DATE(2012,2,5) + TIME(21,46,15)</f>
        <v>40944.907118055555</v>
      </c>
      <c r="C1009">
        <v>80</v>
      </c>
      <c r="D1009">
        <v>69.905334472999996</v>
      </c>
      <c r="E1009">
        <v>50</v>
      </c>
      <c r="F1009">
        <v>49.964881896999998</v>
      </c>
      <c r="G1009">
        <v>1295.3706055</v>
      </c>
      <c r="H1009">
        <v>1281.2445068</v>
      </c>
      <c r="I1009">
        <v>1395.2563477000001</v>
      </c>
      <c r="J1009">
        <v>1375.6364745999999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648.41369299999997</v>
      </c>
      <c r="B1010" s="1">
        <f>DATE(2012,2,8) + TIME(9,55,43)</f>
        <v>40947.41369212963</v>
      </c>
      <c r="C1010">
        <v>80</v>
      </c>
      <c r="D1010">
        <v>69.693389893000003</v>
      </c>
      <c r="E1010">
        <v>50</v>
      </c>
      <c r="F1010">
        <v>49.964969635000003</v>
      </c>
      <c r="G1010">
        <v>1295.0949707</v>
      </c>
      <c r="H1010">
        <v>1280.8676757999999</v>
      </c>
      <c r="I1010">
        <v>1395.208374</v>
      </c>
      <c r="J1010">
        <v>1375.5942382999999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650.947451</v>
      </c>
      <c r="B1011" s="1">
        <f>DATE(2012,2,10) + TIME(22,44,19)</f>
        <v>40949.947442129633</v>
      </c>
      <c r="C1011">
        <v>80</v>
      </c>
      <c r="D1011">
        <v>69.473640442000004</v>
      </c>
      <c r="E1011">
        <v>50</v>
      </c>
      <c r="F1011">
        <v>49.965057373</v>
      </c>
      <c r="G1011">
        <v>1294.8092041</v>
      </c>
      <c r="H1011">
        <v>1280.4752197</v>
      </c>
      <c r="I1011">
        <v>1395.1606445</v>
      </c>
      <c r="J1011">
        <v>1375.5523682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653.51301699999999</v>
      </c>
      <c r="B1012" s="1">
        <f>DATE(2012,2,13) + TIME(12,18,44)</f>
        <v>40952.513009259259</v>
      </c>
      <c r="C1012">
        <v>80</v>
      </c>
      <c r="D1012">
        <v>69.246704101999995</v>
      </c>
      <c r="E1012">
        <v>50</v>
      </c>
      <c r="F1012">
        <v>49.965148925999998</v>
      </c>
      <c r="G1012">
        <v>1294.5145264</v>
      </c>
      <c r="H1012">
        <v>1280.0689697</v>
      </c>
      <c r="I1012">
        <v>1395.1135254000001</v>
      </c>
      <c r="J1012">
        <v>1375.5108643000001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656.10469000000001</v>
      </c>
      <c r="B1013" s="1">
        <f>DATE(2012,2,16) + TIME(2,30,45)</f>
        <v>40955.104687500003</v>
      </c>
      <c r="C1013">
        <v>80</v>
      </c>
      <c r="D1013">
        <v>69.012123107999997</v>
      </c>
      <c r="E1013">
        <v>50</v>
      </c>
      <c r="F1013">
        <v>49.965236664000003</v>
      </c>
      <c r="G1013">
        <v>1294.2108154</v>
      </c>
      <c r="H1013">
        <v>1279.6489257999999</v>
      </c>
      <c r="I1013">
        <v>1395.0667725000001</v>
      </c>
      <c r="J1013">
        <v>1375.4696045000001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658.71896600000002</v>
      </c>
      <c r="B1014" s="1">
        <f>DATE(2012,2,18) + TIME(17,15,18)</f>
        <v>40957.718958333331</v>
      </c>
      <c r="C1014">
        <v>80</v>
      </c>
      <c r="D1014">
        <v>68.769615173000005</v>
      </c>
      <c r="E1014">
        <v>50</v>
      </c>
      <c r="F1014">
        <v>49.965328217</v>
      </c>
      <c r="G1014">
        <v>1293.8985596</v>
      </c>
      <c r="H1014">
        <v>1279.2154541</v>
      </c>
      <c r="I1014">
        <v>1395.0203856999999</v>
      </c>
      <c r="J1014">
        <v>1375.4287108999999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661.36099300000001</v>
      </c>
      <c r="B1015" s="1">
        <f>DATE(2012,2,21) + TIME(8,39,49)</f>
        <v>40960.360983796294</v>
      </c>
      <c r="C1015">
        <v>80</v>
      </c>
      <c r="D1015">
        <v>68.518669127999999</v>
      </c>
      <c r="E1015">
        <v>50</v>
      </c>
      <c r="F1015">
        <v>49.965415954999997</v>
      </c>
      <c r="G1015">
        <v>1293.5783690999999</v>
      </c>
      <c r="H1015">
        <v>1278.7692870999999</v>
      </c>
      <c r="I1015">
        <v>1394.9744873</v>
      </c>
      <c r="J1015">
        <v>1375.3881836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664.03573500000005</v>
      </c>
      <c r="B1016" s="1">
        <f>DATE(2012,2,24) + TIME(0,51,27)</f>
        <v>40963.035729166666</v>
      </c>
      <c r="C1016">
        <v>80</v>
      </c>
      <c r="D1016">
        <v>68.258232117000006</v>
      </c>
      <c r="E1016">
        <v>50</v>
      </c>
      <c r="F1016">
        <v>49.965507506999998</v>
      </c>
      <c r="G1016">
        <v>1293.2495117000001</v>
      </c>
      <c r="H1016">
        <v>1278.3096923999999</v>
      </c>
      <c r="I1016">
        <v>1394.9288329999999</v>
      </c>
      <c r="J1016">
        <v>1375.3479004000001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666.74174700000003</v>
      </c>
      <c r="B1017" s="1">
        <f>DATE(2012,2,26) + TIME(17,48,6)</f>
        <v>40965.741736111115</v>
      </c>
      <c r="C1017">
        <v>80</v>
      </c>
      <c r="D1017">
        <v>67.987236022999994</v>
      </c>
      <c r="E1017">
        <v>50</v>
      </c>
      <c r="F1017">
        <v>49.965599060000002</v>
      </c>
      <c r="G1017">
        <v>1292.9118652</v>
      </c>
      <c r="H1017">
        <v>1277.8359375</v>
      </c>
      <c r="I1017">
        <v>1394.8835449000001</v>
      </c>
      <c r="J1017">
        <v>1375.3077393000001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669.48386400000004</v>
      </c>
      <c r="B1018" s="1">
        <f>DATE(2012,2,29) + TIME(11,36,45)</f>
        <v>40968.483854166669</v>
      </c>
      <c r="C1018">
        <v>80</v>
      </c>
      <c r="D1018">
        <v>67.704788207999997</v>
      </c>
      <c r="E1018">
        <v>50</v>
      </c>
      <c r="F1018">
        <v>49.965694427000003</v>
      </c>
      <c r="G1018">
        <v>1292.5651855000001</v>
      </c>
      <c r="H1018">
        <v>1277.3479004000001</v>
      </c>
      <c r="I1018">
        <v>1394.838501</v>
      </c>
      <c r="J1018">
        <v>1375.2678223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670</v>
      </c>
      <c r="B1019" s="1">
        <f>DATE(2012,3,1) + TIME(0,0,0)</f>
        <v>40969</v>
      </c>
      <c r="C1019">
        <v>80</v>
      </c>
      <c r="D1019">
        <v>67.552154540999993</v>
      </c>
      <c r="E1019">
        <v>50</v>
      </c>
      <c r="F1019">
        <v>49.965690613</v>
      </c>
      <c r="G1019">
        <v>1292.2723389</v>
      </c>
      <c r="H1019">
        <v>1276.9508057</v>
      </c>
      <c r="I1019">
        <v>1394.8078613</v>
      </c>
      <c r="J1019">
        <v>1375.2413329999999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672.77028499999994</v>
      </c>
      <c r="B1020" s="1">
        <f>DATE(2012,3,3) + TIME(18,29,12)</f>
        <v>40971.770277777781</v>
      </c>
      <c r="C1020">
        <v>80</v>
      </c>
      <c r="D1020">
        <v>67.331512450999995</v>
      </c>
      <c r="E1020">
        <v>50</v>
      </c>
      <c r="F1020">
        <v>49.965805054</v>
      </c>
      <c r="G1020">
        <v>1292.1192627</v>
      </c>
      <c r="H1020">
        <v>1276.7119141000001</v>
      </c>
      <c r="I1020">
        <v>1394.7829589999999</v>
      </c>
      <c r="J1020">
        <v>1375.2185059000001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675.57336399999997</v>
      </c>
      <c r="B1021" s="1">
        <f>DATE(2012,3,6) + TIME(13,45,38)</f>
        <v>40974.57335648148</v>
      </c>
      <c r="C1021">
        <v>80</v>
      </c>
      <c r="D1021">
        <v>67.038619995000005</v>
      </c>
      <c r="E1021">
        <v>50</v>
      </c>
      <c r="F1021">
        <v>49.965896606000001</v>
      </c>
      <c r="G1021">
        <v>1291.7718506000001</v>
      </c>
      <c r="H1021">
        <v>1276.2231445</v>
      </c>
      <c r="I1021">
        <v>1394.7399902</v>
      </c>
      <c r="J1021">
        <v>1375.1804199000001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678.40563799999995</v>
      </c>
      <c r="B1022" s="1">
        <f>DATE(2012,3,9) + TIME(9,44,7)</f>
        <v>40977.405636574076</v>
      </c>
      <c r="C1022">
        <v>80</v>
      </c>
      <c r="D1022">
        <v>66.718658446999996</v>
      </c>
      <c r="E1022">
        <v>50</v>
      </c>
      <c r="F1022">
        <v>49.965988158999998</v>
      </c>
      <c r="G1022">
        <v>1291.4014893000001</v>
      </c>
      <c r="H1022">
        <v>1275.6970214999999</v>
      </c>
      <c r="I1022">
        <v>1394.6956786999999</v>
      </c>
      <c r="J1022">
        <v>1375.1409911999999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681.27245300000004</v>
      </c>
      <c r="B1023" s="1">
        <f>DATE(2012,3,12) + TIME(6,32,19)</f>
        <v>40980.27244212963</v>
      </c>
      <c r="C1023">
        <v>80</v>
      </c>
      <c r="D1023">
        <v>66.381393433</v>
      </c>
      <c r="E1023">
        <v>50</v>
      </c>
      <c r="F1023">
        <v>49.966083527000002</v>
      </c>
      <c r="G1023">
        <v>1291.0203856999999</v>
      </c>
      <c r="H1023">
        <v>1275.1524658000001</v>
      </c>
      <c r="I1023">
        <v>1394.6513672000001</v>
      </c>
      <c r="J1023">
        <v>1375.1014404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684.17911300000003</v>
      </c>
      <c r="B1024" s="1">
        <f>DATE(2012,3,15) + TIME(4,17,55)</f>
        <v>40983.179108796299</v>
      </c>
      <c r="C1024">
        <v>80</v>
      </c>
      <c r="D1024">
        <v>66.027816771999994</v>
      </c>
      <c r="E1024">
        <v>50</v>
      </c>
      <c r="F1024">
        <v>49.966178894000002</v>
      </c>
      <c r="G1024">
        <v>1290.6301269999999</v>
      </c>
      <c r="H1024">
        <v>1274.5925293</v>
      </c>
      <c r="I1024">
        <v>1394.6069336</v>
      </c>
      <c r="J1024">
        <v>1375.0618896000001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687.12114799999995</v>
      </c>
      <c r="B1025" s="1">
        <f>DATE(2012,3,18) + TIME(2,54,27)</f>
        <v>40986.121145833335</v>
      </c>
      <c r="C1025">
        <v>80</v>
      </c>
      <c r="D1025">
        <v>65.657264709000003</v>
      </c>
      <c r="E1025">
        <v>50</v>
      </c>
      <c r="F1025">
        <v>49.966274261000002</v>
      </c>
      <c r="G1025">
        <v>1290.2308350000001</v>
      </c>
      <c r="H1025">
        <v>1274.0175781</v>
      </c>
      <c r="I1025">
        <v>1394.5625</v>
      </c>
      <c r="J1025">
        <v>1375.0220947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690.09852899999998</v>
      </c>
      <c r="B1026" s="1">
        <f>DATE(2012,3,21) + TIME(2,21,52)</f>
        <v>40989.09851851852</v>
      </c>
      <c r="C1026">
        <v>80</v>
      </c>
      <c r="D1026">
        <v>65.269371032999999</v>
      </c>
      <c r="E1026">
        <v>50</v>
      </c>
      <c r="F1026">
        <v>49.966369628999999</v>
      </c>
      <c r="G1026">
        <v>1289.8232422000001</v>
      </c>
      <c r="H1026">
        <v>1273.4284668</v>
      </c>
      <c r="I1026">
        <v>1394.5178223</v>
      </c>
      <c r="J1026">
        <v>1374.9821777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693.117211</v>
      </c>
      <c r="B1027" s="1">
        <f>DATE(2012,3,24) + TIME(2,48,46)</f>
        <v>40992.117199074077</v>
      </c>
      <c r="C1027">
        <v>80</v>
      </c>
      <c r="D1027">
        <v>64.863449097</v>
      </c>
      <c r="E1027">
        <v>50</v>
      </c>
      <c r="F1027">
        <v>49.966464995999999</v>
      </c>
      <c r="G1027">
        <v>1289.4077147999999</v>
      </c>
      <c r="H1027">
        <v>1272.8254394999999</v>
      </c>
      <c r="I1027">
        <v>1394.4731445</v>
      </c>
      <c r="J1027">
        <v>1374.9421387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696.17982400000005</v>
      </c>
      <c r="B1028" s="1">
        <f>DATE(2012,3,27) + TIME(4,18,56)</f>
        <v>40995.179814814815</v>
      </c>
      <c r="C1028">
        <v>80</v>
      </c>
      <c r="D1028">
        <v>64.438659668</v>
      </c>
      <c r="E1028">
        <v>50</v>
      </c>
      <c r="F1028">
        <v>49.966560364000003</v>
      </c>
      <c r="G1028">
        <v>1288.9838867000001</v>
      </c>
      <c r="H1028">
        <v>1272.2078856999999</v>
      </c>
      <c r="I1028">
        <v>1394.4282227000001</v>
      </c>
      <c r="J1028">
        <v>1374.9018555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699.27541599999995</v>
      </c>
      <c r="B1029" s="1">
        <f>DATE(2012,3,30) + TIME(6,36,35)</f>
        <v>40998.275405092594</v>
      </c>
      <c r="C1029">
        <v>80</v>
      </c>
      <c r="D1029">
        <v>63.994335175000003</v>
      </c>
      <c r="E1029">
        <v>50</v>
      </c>
      <c r="F1029">
        <v>49.966659546000002</v>
      </c>
      <c r="G1029">
        <v>1288.5518798999999</v>
      </c>
      <c r="H1029">
        <v>1271.5759277</v>
      </c>
      <c r="I1029">
        <v>1394.3830565999999</v>
      </c>
      <c r="J1029">
        <v>1374.8612060999999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701</v>
      </c>
      <c r="B1030" s="1">
        <f>DATE(2012,4,1) + TIME(0,0,0)</f>
        <v>41000</v>
      </c>
      <c r="C1030">
        <v>80</v>
      </c>
      <c r="D1030">
        <v>63.592060089</v>
      </c>
      <c r="E1030">
        <v>50</v>
      </c>
      <c r="F1030">
        <v>49.966705322000003</v>
      </c>
      <c r="G1030">
        <v>1288.1319579999999</v>
      </c>
      <c r="H1030">
        <v>1270.9707031</v>
      </c>
      <c r="I1030">
        <v>1394.3428954999999</v>
      </c>
      <c r="J1030">
        <v>1374.8253173999999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704.135582</v>
      </c>
      <c r="B1031" s="1">
        <f>DATE(2012,4,4) + TIME(3,15,14)</f>
        <v>41003.135578703703</v>
      </c>
      <c r="C1031">
        <v>80</v>
      </c>
      <c r="D1031">
        <v>63.238128662000001</v>
      </c>
      <c r="E1031">
        <v>50</v>
      </c>
      <c r="F1031">
        <v>49.966812134000001</v>
      </c>
      <c r="G1031">
        <v>1287.8461914</v>
      </c>
      <c r="H1031">
        <v>1270.5292969</v>
      </c>
      <c r="I1031">
        <v>1394.3104248</v>
      </c>
      <c r="J1031">
        <v>1374.7956543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707.34787500000004</v>
      </c>
      <c r="B1032" s="1">
        <f>DATE(2012,4,7) + TIME(8,20,56)</f>
        <v>41006.347870370373</v>
      </c>
      <c r="C1032">
        <v>80</v>
      </c>
      <c r="D1032">
        <v>62.768993377999998</v>
      </c>
      <c r="E1032">
        <v>50</v>
      </c>
      <c r="F1032">
        <v>49.966911316000001</v>
      </c>
      <c r="G1032">
        <v>1287.4178466999999</v>
      </c>
      <c r="H1032">
        <v>1269.9025879000001</v>
      </c>
      <c r="I1032">
        <v>1394.2662353999999</v>
      </c>
      <c r="J1032">
        <v>1374.7557373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710.617165</v>
      </c>
      <c r="B1033" s="1">
        <f>DATE(2012,4,10) + TIME(14,48,43)</f>
        <v>41009.617164351854</v>
      </c>
      <c r="C1033">
        <v>80</v>
      </c>
      <c r="D1033">
        <v>62.257514954000001</v>
      </c>
      <c r="E1033">
        <v>50</v>
      </c>
      <c r="F1033">
        <v>49.967010498</v>
      </c>
      <c r="G1033">
        <v>1286.9645995999999</v>
      </c>
      <c r="H1033">
        <v>1269.2312012</v>
      </c>
      <c r="I1033">
        <v>1394.2200928</v>
      </c>
      <c r="J1033">
        <v>1374.7141113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713.93217000000004</v>
      </c>
      <c r="B1034" s="1">
        <f>DATE(2012,4,13) + TIME(22,22,19)</f>
        <v>41012.932164351849</v>
      </c>
      <c r="C1034">
        <v>80</v>
      </c>
      <c r="D1034">
        <v>61.720699310000001</v>
      </c>
      <c r="E1034">
        <v>50</v>
      </c>
      <c r="F1034">
        <v>49.96710968</v>
      </c>
      <c r="G1034">
        <v>1286.5007324000001</v>
      </c>
      <c r="H1034">
        <v>1268.5399170000001</v>
      </c>
      <c r="I1034">
        <v>1394.1730957</v>
      </c>
      <c r="J1034">
        <v>1374.6715088000001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717.30169899999999</v>
      </c>
      <c r="B1035" s="1">
        <f>DATE(2012,4,17) + TIME(7,14,26)</f>
        <v>41016.301689814813</v>
      </c>
      <c r="C1035">
        <v>80</v>
      </c>
      <c r="D1035">
        <v>61.162586212000001</v>
      </c>
      <c r="E1035">
        <v>50</v>
      </c>
      <c r="F1035">
        <v>49.967212676999999</v>
      </c>
      <c r="G1035">
        <v>1286.0303954999999</v>
      </c>
      <c r="H1035">
        <v>1267.8354492000001</v>
      </c>
      <c r="I1035">
        <v>1394.1256103999999</v>
      </c>
      <c r="J1035">
        <v>1374.628418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720.73501699999997</v>
      </c>
      <c r="B1036" s="1">
        <f>DATE(2012,4,20) + TIME(17,38,25)</f>
        <v>41019.735011574077</v>
      </c>
      <c r="C1036">
        <v>80</v>
      </c>
      <c r="D1036">
        <v>60.583732605000002</v>
      </c>
      <c r="E1036">
        <v>50</v>
      </c>
      <c r="F1036">
        <v>49.967311858999999</v>
      </c>
      <c r="G1036">
        <v>1285.5538329999999</v>
      </c>
      <c r="H1036">
        <v>1267.1185303</v>
      </c>
      <c r="I1036">
        <v>1394.0773925999999</v>
      </c>
      <c r="J1036">
        <v>1374.5844727000001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724.22303399999998</v>
      </c>
      <c r="B1037" s="1">
        <f>DATE(2012,4,24) + TIME(5,21,10)</f>
        <v>41023.223032407404</v>
      </c>
      <c r="C1037">
        <v>80</v>
      </c>
      <c r="D1037">
        <v>59.983787536999998</v>
      </c>
      <c r="E1037">
        <v>50</v>
      </c>
      <c r="F1037">
        <v>49.967414855999998</v>
      </c>
      <c r="G1037">
        <v>1285.0706786999999</v>
      </c>
      <c r="H1037">
        <v>1266.3887939000001</v>
      </c>
      <c r="I1037">
        <v>1394.0283202999999</v>
      </c>
      <c r="J1037">
        <v>1374.5397949000001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727.76347899999996</v>
      </c>
      <c r="B1038" s="1">
        <f>DATE(2012,4,27) + TIME(18,19,24)</f>
        <v>41026.763472222221</v>
      </c>
      <c r="C1038">
        <v>80</v>
      </c>
      <c r="D1038">
        <v>59.362895966000004</v>
      </c>
      <c r="E1038">
        <v>50</v>
      </c>
      <c r="F1038">
        <v>49.967521667</v>
      </c>
      <c r="G1038">
        <v>1284.5831298999999</v>
      </c>
      <c r="H1038">
        <v>1265.6488036999999</v>
      </c>
      <c r="I1038">
        <v>1393.9785156</v>
      </c>
      <c r="J1038">
        <v>1374.4943848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731</v>
      </c>
      <c r="B1039" s="1">
        <f>DATE(2012,5,1) + TIME(0,0,0)</f>
        <v>41030</v>
      </c>
      <c r="C1039">
        <v>80</v>
      </c>
      <c r="D1039">
        <v>58.735080719000003</v>
      </c>
      <c r="E1039">
        <v>50</v>
      </c>
      <c r="F1039">
        <v>49.967613219999997</v>
      </c>
      <c r="G1039">
        <v>1284.0948486</v>
      </c>
      <c r="H1039">
        <v>1264.9069824000001</v>
      </c>
      <c r="I1039">
        <v>1393.9290771000001</v>
      </c>
      <c r="J1039">
        <v>1374.4492187999999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731.000001</v>
      </c>
      <c r="B1040" s="1">
        <f>DATE(2012,5,1) + TIME(0,0,0)</f>
        <v>41030</v>
      </c>
      <c r="C1040">
        <v>80</v>
      </c>
      <c r="D1040">
        <v>58.735134125000002</v>
      </c>
      <c r="E1040">
        <v>50</v>
      </c>
      <c r="F1040">
        <v>49.967597961000003</v>
      </c>
      <c r="G1040">
        <v>1303.9613036999999</v>
      </c>
      <c r="H1040">
        <v>1284.1063231999999</v>
      </c>
      <c r="I1040">
        <v>1374.4394531</v>
      </c>
      <c r="J1040">
        <v>1355.5777588000001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731.00000399999999</v>
      </c>
      <c r="B1041" s="1">
        <f>DATE(2012,5,1) + TIME(0,0,0)</f>
        <v>41030</v>
      </c>
      <c r="C1041">
        <v>80</v>
      </c>
      <c r="D1041">
        <v>58.735298157000003</v>
      </c>
      <c r="E1041">
        <v>50</v>
      </c>
      <c r="F1041">
        <v>49.967552185000002</v>
      </c>
      <c r="G1041">
        <v>1303.9914550999999</v>
      </c>
      <c r="H1041">
        <v>1284.1407471</v>
      </c>
      <c r="I1041">
        <v>1374.4099120999999</v>
      </c>
      <c r="J1041">
        <v>1355.5483397999999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731.00001299999997</v>
      </c>
      <c r="B1042" s="1">
        <f>DATE(2012,5,1) + TIME(0,0,1)</f>
        <v>41030.000011574077</v>
      </c>
      <c r="C1042">
        <v>80</v>
      </c>
      <c r="D1042">
        <v>58.735786437999998</v>
      </c>
      <c r="E1042">
        <v>50</v>
      </c>
      <c r="F1042">
        <v>49.967411040999998</v>
      </c>
      <c r="G1042">
        <v>1304.0814209</v>
      </c>
      <c r="H1042">
        <v>1284.2434082</v>
      </c>
      <c r="I1042">
        <v>1374.3220214999999</v>
      </c>
      <c r="J1042">
        <v>1355.4603271000001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731.00004000000001</v>
      </c>
      <c r="B1043" s="1">
        <f>DATE(2012,5,1) + TIME(0,0,3)</f>
        <v>41030.000034722223</v>
      </c>
      <c r="C1043">
        <v>80</v>
      </c>
      <c r="D1043">
        <v>58.737247467000003</v>
      </c>
      <c r="E1043">
        <v>50</v>
      </c>
      <c r="F1043">
        <v>49.966999053999999</v>
      </c>
      <c r="G1043">
        <v>1304.3480225000001</v>
      </c>
      <c r="H1043">
        <v>1284.5467529</v>
      </c>
      <c r="I1043">
        <v>1374.0616454999999</v>
      </c>
      <c r="J1043">
        <v>1355.1995850000001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731.00012100000004</v>
      </c>
      <c r="B1044" s="1">
        <f>DATE(2012,5,1) + TIME(0,0,10)</f>
        <v>41030.000115740739</v>
      </c>
      <c r="C1044">
        <v>80</v>
      </c>
      <c r="D1044">
        <v>58.741535186999997</v>
      </c>
      <c r="E1044">
        <v>50</v>
      </c>
      <c r="F1044">
        <v>49.965805054</v>
      </c>
      <c r="G1044">
        <v>1305.1177978999999</v>
      </c>
      <c r="H1044">
        <v>1285.4174805</v>
      </c>
      <c r="I1044">
        <v>1373.3085937999999</v>
      </c>
      <c r="J1044">
        <v>1354.4459228999999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731.00036399999999</v>
      </c>
      <c r="B1045" s="1">
        <f>DATE(2012,5,1) + TIME(0,0,31)</f>
        <v>41030.000358796293</v>
      </c>
      <c r="C1045">
        <v>80</v>
      </c>
      <c r="D1045">
        <v>58.753746032999999</v>
      </c>
      <c r="E1045">
        <v>50</v>
      </c>
      <c r="F1045">
        <v>49.962570190000001</v>
      </c>
      <c r="G1045">
        <v>1307.1959228999999</v>
      </c>
      <c r="H1045">
        <v>1287.7294922000001</v>
      </c>
      <c r="I1045">
        <v>1371.2712402</v>
      </c>
      <c r="J1045">
        <v>1352.4067382999999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731.00109299999997</v>
      </c>
      <c r="B1046" s="1">
        <f>DATE(2012,5,1) + TIME(0,1,34)</f>
        <v>41030.001087962963</v>
      </c>
      <c r="C1046">
        <v>80</v>
      </c>
      <c r="D1046">
        <v>58.786560059000003</v>
      </c>
      <c r="E1046">
        <v>50</v>
      </c>
      <c r="F1046">
        <v>49.955093384000001</v>
      </c>
      <c r="G1046">
        <v>1311.9873047000001</v>
      </c>
      <c r="H1046">
        <v>1292.8806152</v>
      </c>
      <c r="I1046">
        <v>1366.5604248</v>
      </c>
      <c r="J1046">
        <v>1347.6925048999999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731.00328000000002</v>
      </c>
      <c r="B1047" s="1">
        <f>DATE(2012,5,1) + TIME(0,4,43)</f>
        <v>41030.003275462965</v>
      </c>
      <c r="C1047">
        <v>80</v>
      </c>
      <c r="D1047">
        <v>58.870605468999997</v>
      </c>
      <c r="E1047">
        <v>50</v>
      </c>
      <c r="F1047">
        <v>49.941936493</v>
      </c>
      <c r="G1047">
        <v>1320.3496094</v>
      </c>
      <c r="H1047">
        <v>1301.4665527</v>
      </c>
      <c r="I1047">
        <v>1358.3269043</v>
      </c>
      <c r="J1047">
        <v>1339.4555664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731.00984100000005</v>
      </c>
      <c r="B1048" s="1">
        <f>DATE(2012,5,1) + TIME(0,14,10)</f>
        <v>41030.009837962964</v>
      </c>
      <c r="C1048">
        <v>80</v>
      </c>
      <c r="D1048">
        <v>59.090148925999998</v>
      </c>
      <c r="E1048">
        <v>50</v>
      </c>
      <c r="F1048">
        <v>49.924804688000002</v>
      </c>
      <c r="G1048">
        <v>1330.9632568</v>
      </c>
      <c r="H1048">
        <v>1312.0617675999999</v>
      </c>
      <c r="I1048">
        <v>1347.8734131000001</v>
      </c>
      <c r="J1048">
        <v>1329.0024414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731.02952400000004</v>
      </c>
      <c r="B1049" s="1">
        <f>DATE(2012,5,1) + TIME(0,42,30)</f>
        <v>41030.029513888891</v>
      </c>
      <c r="C1049">
        <v>80</v>
      </c>
      <c r="D1049">
        <v>59.692417145</v>
      </c>
      <c r="E1049">
        <v>50</v>
      </c>
      <c r="F1049">
        <v>49.905605315999999</v>
      </c>
      <c r="G1049">
        <v>1342.0310059000001</v>
      </c>
      <c r="H1049">
        <v>1323.1578368999999</v>
      </c>
      <c r="I1049">
        <v>1336.9285889</v>
      </c>
      <c r="J1049">
        <v>1318.0631103999999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731.053584</v>
      </c>
      <c r="B1050" s="1">
        <f>DATE(2012,5,1) + TIME(1,17,9)</f>
        <v>41030.053576388891</v>
      </c>
      <c r="C1050">
        <v>80</v>
      </c>
      <c r="D1050">
        <v>60.391857147000003</v>
      </c>
      <c r="E1050">
        <v>50</v>
      </c>
      <c r="F1050">
        <v>49.892803192000002</v>
      </c>
      <c r="G1050">
        <v>1348.6104736</v>
      </c>
      <c r="H1050">
        <v>1329.8369141000001</v>
      </c>
      <c r="I1050">
        <v>1330.3912353999999</v>
      </c>
      <c r="J1050">
        <v>1311.5310059000001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731.07851600000004</v>
      </c>
      <c r="B1051" s="1">
        <f>DATE(2012,5,1) + TIME(1,53,3)</f>
        <v>41030.078506944446</v>
      </c>
      <c r="C1051">
        <v>80</v>
      </c>
      <c r="D1051">
        <v>61.087787628000001</v>
      </c>
      <c r="E1051">
        <v>50</v>
      </c>
      <c r="F1051">
        <v>49.883468628000003</v>
      </c>
      <c r="G1051">
        <v>1352.84375</v>
      </c>
      <c r="H1051">
        <v>1334.1899414</v>
      </c>
      <c r="I1051">
        <v>1326.1629639</v>
      </c>
      <c r="J1051">
        <v>1307.3062743999999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731.10415999999998</v>
      </c>
      <c r="B1052" s="1">
        <f>DATE(2012,5,1) + TIME(2,29,59)</f>
        <v>41030.104155092595</v>
      </c>
      <c r="C1052">
        <v>80</v>
      </c>
      <c r="D1052">
        <v>61.776924133000001</v>
      </c>
      <c r="E1052">
        <v>50</v>
      </c>
      <c r="F1052">
        <v>49.875801086000003</v>
      </c>
      <c r="G1052">
        <v>1355.9270019999999</v>
      </c>
      <c r="H1052">
        <v>1337.4014893000001</v>
      </c>
      <c r="I1052">
        <v>1323.0651855000001</v>
      </c>
      <c r="J1052">
        <v>1304.2104492000001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731.13046599999996</v>
      </c>
      <c r="B1053" s="1">
        <f>DATE(2012,5,1) + TIME(3,7,52)</f>
        <v>41030.130462962959</v>
      </c>
      <c r="C1053">
        <v>80</v>
      </c>
      <c r="D1053">
        <v>62.457759856999999</v>
      </c>
      <c r="E1053">
        <v>50</v>
      </c>
      <c r="F1053">
        <v>49.869075774999999</v>
      </c>
      <c r="G1053">
        <v>1358.3487548999999</v>
      </c>
      <c r="H1053">
        <v>1339.9543457</v>
      </c>
      <c r="I1053">
        <v>1320.6192627</v>
      </c>
      <c r="J1053">
        <v>1301.7646483999999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731.15742699999998</v>
      </c>
      <c r="B1054" s="1">
        <f>DATE(2012,5,1) + TIME(3,46,41)</f>
        <v>41030.157418981478</v>
      </c>
      <c r="C1054">
        <v>80</v>
      </c>
      <c r="D1054">
        <v>63.129467009999999</v>
      </c>
      <c r="E1054">
        <v>50</v>
      </c>
      <c r="F1054">
        <v>49.862926483000003</v>
      </c>
      <c r="G1054">
        <v>1360.3464355000001</v>
      </c>
      <c r="H1054">
        <v>1342.0837402</v>
      </c>
      <c r="I1054">
        <v>1318.5911865</v>
      </c>
      <c r="J1054">
        <v>1299.7351074000001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731.18505100000004</v>
      </c>
      <c r="B1055" s="1">
        <f>DATE(2012,5,1) + TIME(4,26,28)</f>
        <v>41030.185046296298</v>
      </c>
      <c r="C1055">
        <v>80</v>
      </c>
      <c r="D1055">
        <v>63.791496277</v>
      </c>
      <c r="E1055">
        <v>50</v>
      </c>
      <c r="F1055">
        <v>49.857158661</v>
      </c>
      <c r="G1055">
        <v>1362.0516356999999</v>
      </c>
      <c r="H1055">
        <v>1343.9193115</v>
      </c>
      <c r="I1055">
        <v>1316.8514404</v>
      </c>
      <c r="J1055">
        <v>1297.9921875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731.21335599999998</v>
      </c>
      <c r="B1056" s="1">
        <f>DATE(2012,5,1) + TIME(5,7,13)</f>
        <v>41030.21334490741</v>
      </c>
      <c r="C1056">
        <v>80</v>
      </c>
      <c r="D1056">
        <v>64.443428040000001</v>
      </c>
      <c r="E1056">
        <v>50</v>
      </c>
      <c r="F1056">
        <v>49.851650237999998</v>
      </c>
      <c r="G1056">
        <v>1363.5430908000001</v>
      </c>
      <c r="H1056">
        <v>1345.5394286999999</v>
      </c>
      <c r="I1056">
        <v>1315.3211670000001</v>
      </c>
      <c r="J1056">
        <v>1296.4575195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731.24236499999995</v>
      </c>
      <c r="B1057" s="1">
        <f>DATE(2012,5,1) + TIME(5,49,0)</f>
        <v>41030.242361111108</v>
      </c>
      <c r="C1057">
        <v>80</v>
      </c>
      <c r="D1057">
        <v>65.084938049000002</v>
      </c>
      <c r="E1057">
        <v>50</v>
      </c>
      <c r="F1057">
        <v>49.846321105999998</v>
      </c>
      <c r="G1057">
        <v>1364.8720702999999</v>
      </c>
      <c r="H1057">
        <v>1346.9945068</v>
      </c>
      <c r="I1057">
        <v>1313.949707</v>
      </c>
      <c r="J1057">
        <v>1295.0805664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731.27209900000003</v>
      </c>
      <c r="B1058" s="1">
        <f>DATE(2012,5,1) + TIME(6,31,49)</f>
        <v>41030.272094907406</v>
      </c>
      <c r="C1058">
        <v>80</v>
      </c>
      <c r="D1058">
        <v>65.715705872000001</v>
      </c>
      <c r="E1058">
        <v>50</v>
      </c>
      <c r="F1058">
        <v>49.841114044000001</v>
      </c>
      <c r="G1058">
        <v>1366.0731201000001</v>
      </c>
      <c r="H1058">
        <v>1348.3187256000001</v>
      </c>
      <c r="I1058">
        <v>1312.7026367000001</v>
      </c>
      <c r="J1058">
        <v>1293.8270264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731.30259899999999</v>
      </c>
      <c r="B1059" s="1">
        <f>DATE(2012,5,1) + TIME(7,15,44)</f>
        <v>41030.30259259259</v>
      </c>
      <c r="C1059">
        <v>80</v>
      </c>
      <c r="D1059">
        <v>66.335517882999994</v>
      </c>
      <c r="E1059">
        <v>50</v>
      </c>
      <c r="F1059">
        <v>49.835990905999999</v>
      </c>
      <c r="G1059">
        <v>1367.1707764</v>
      </c>
      <c r="H1059">
        <v>1349.5366211</v>
      </c>
      <c r="I1059">
        <v>1311.5551757999999</v>
      </c>
      <c r="J1059">
        <v>1292.6724853999999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731.33390099999997</v>
      </c>
      <c r="B1060" s="1">
        <f>DATE(2012,5,1) + TIME(8,0,49)</f>
        <v>41030.33390046296</v>
      </c>
      <c r="C1060">
        <v>80</v>
      </c>
      <c r="D1060">
        <v>66.944145203000005</v>
      </c>
      <c r="E1060">
        <v>50</v>
      </c>
      <c r="F1060">
        <v>49.830921173</v>
      </c>
      <c r="G1060">
        <v>1368.1833495999999</v>
      </c>
      <c r="H1060">
        <v>1350.6660156</v>
      </c>
      <c r="I1060">
        <v>1310.489624</v>
      </c>
      <c r="J1060">
        <v>1291.5994873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731.36604599999998</v>
      </c>
      <c r="B1061" s="1">
        <f>DATE(2012,5,1) + TIME(8,47,6)</f>
        <v>41030.366041666668</v>
      </c>
      <c r="C1061">
        <v>80</v>
      </c>
      <c r="D1061">
        <v>67.541404724000003</v>
      </c>
      <c r="E1061">
        <v>50</v>
      </c>
      <c r="F1061">
        <v>49.825878142999997</v>
      </c>
      <c r="G1061">
        <v>1369.1241454999999</v>
      </c>
      <c r="H1061">
        <v>1351.7204589999999</v>
      </c>
      <c r="I1061">
        <v>1309.4925536999999</v>
      </c>
      <c r="J1061">
        <v>1290.5947266000001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731.39907800000003</v>
      </c>
      <c r="B1062" s="1">
        <f>DATE(2012,5,1) + TIME(9,34,40)</f>
        <v>41030.399074074077</v>
      </c>
      <c r="C1062">
        <v>80</v>
      </c>
      <c r="D1062">
        <v>68.127082825000002</v>
      </c>
      <c r="E1062">
        <v>50</v>
      </c>
      <c r="F1062">
        <v>49.820842743</v>
      </c>
      <c r="G1062">
        <v>1370.0037841999999</v>
      </c>
      <c r="H1062">
        <v>1352.7103271000001</v>
      </c>
      <c r="I1062">
        <v>1308.5537108999999</v>
      </c>
      <c r="J1062">
        <v>1289.6480713000001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731.43304699999999</v>
      </c>
      <c r="B1063" s="1">
        <f>DATE(2012,5,1) + TIME(10,23,35)</f>
        <v>41030.43304398148</v>
      </c>
      <c r="C1063">
        <v>80</v>
      </c>
      <c r="D1063">
        <v>68.701011657999999</v>
      </c>
      <c r="E1063">
        <v>50</v>
      </c>
      <c r="F1063">
        <v>49.815803528000004</v>
      </c>
      <c r="G1063">
        <v>1370.8305664</v>
      </c>
      <c r="H1063">
        <v>1353.644043</v>
      </c>
      <c r="I1063">
        <v>1307.6650391000001</v>
      </c>
      <c r="J1063">
        <v>1288.7518310999999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731.46800599999995</v>
      </c>
      <c r="B1064" s="1">
        <f>DATE(2012,5,1) + TIME(11,13,55)</f>
        <v>41030.467997685184</v>
      </c>
      <c r="C1064">
        <v>80</v>
      </c>
      <c r="D1064">
        <v>69.262992858999993</v>
      </c>
      <c r="E1064">
        <v>50</v>
      </c>
      <c r="F1064">
        <v>49.810737609999997</v>
      </c>
      <c r="G1064">
        <v>1371.6110839999999</v>
      </c>
      <c r="H1064">
        <v>1354.5281981999999</v>
      </c>
      <c r="I1064">
        <v>1306.8203125</v>
      </c>
      <c r="J1064">
        <v>1287.8994141000001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731.50401399999998</v>
      </c>
      <c r="B1065" s="1">
        <f>DATE(2012,5,1) + TIME(12,5,46)</f>
        <v>41030.504004629627</v>
      </c>
      <c r="C1065">
        <v>80</v>
      </c>
      <c r="D1065">
        <v>69.812858582000004</v>
      </c>
      <c r="E1065">
        <v>50</v>
      </c>
      <c r="F1065">
        <v>49.805637359999999</v>
      </c>
      <c r="G1065">
        <v>1372.3508300999999</v>
      </c>
      <c r="H1065">
        <v>1355.3684082</v>
      </c>
      <c r="I1065">
        <v>1306.0141602000001</v>
      </c>
      <c r="J1065">
        <v>1287.0859375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731.54113500000005</v>
      </c>
      <c r="B1066" s="1">
        <f>DATE(2012,5,1) + TIME(12,59,14)</f>
        <v>41030.541134259256</v>
      </c>
      <c r="C1066">
        <v>80</v>
      </c>
      <c r="D1066">
        <v>70.350189209000007</v>
      </c>
      <c r="E1066">
        <v>50</v>
      </c>
      <c r="F1066">
        <v>49.800487517999997</v>
      </c>
      <c r="G1066">
        <v>1373.0543213000001</v>
      </c>
      <c r="H1066">
        <v>1356.1691894999999</v>
      </c>
      <c r="I1066">
        <v>1305.2424315999999</v>
      </c>
      <c r="J1066">
        <v>1286.3071289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731.57943799999998</v>
      </c>
      <c r="B1067" s="1">
        <f>DATE(2012,5,1) + TIME(13,54,23)</f>
        <v>41030.579432870371</v>
      </c>
      <c r="C1067">
        <v>80</v>
      </c>
      <c r="D1067">
        <v>70.874893188000001</v>
      </c>
      <c r="E1067">
        <v>50</v>
      </c>
      <c r="F1067">
        <v>49.795280456999997</v>
      </c>
      <c r="G1067">
        <v>1373.7255858999999</v>
      </c>
      <c r="H1067">
        <v>1356.9344481999999</v>
      </c>
      <c r="I1067">
        <v>1304.5014647999999</v>
      </c>
      <c r="J1067">
        <v>1285.5592041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731.61901599999999</v>
      </c>
      <c r="B1068" s="1">
        <f>DATE(2012,5,1) + TIME(14,51,22)</f>
        <v>41030.619004629632</v>
      </c>
      <c r="C1068">
        <v>80</v>
      </c>
      <c r="D1068">
        <v>71.387100219999994</v>
      </c>
      <c r="E1068">
        <v>50</v>
      </c>
      <c r="F1068">
        <v>49.790000915999997</v>
      </c>
      <c r="G1068">
        <v>1374.3679199000001</v>
      </c>
      <c r="H1068">
        <v>1357.6678466999999</v>
      </c>
      <c r="I1068">
        <v>1303.7879639</v>
      </c>
      <c r="J1068">
        <v>1284.8391113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731.65994599999999</v>
      </c>
      <c r="B1069" s="1">
        <f>DATE(2012,5,1) + TIME(15,50,19)</f>
        <v>41030.659942129627</v>
      </c>
      <c r="C1069">
        <v>80</v>
      </c>
      <c r="D1069">
        <v>71.886528014999996</v>
      </c>
      <c r="E1069">
        <v>50</v>
      </c>
      <c r="F1069">
        <v>49.784637451000002</v>
      </c>
      <c r="G1069">
        <v>1374.9842529</v>
      </c>
      <c r="H1069">
        <v>1358.3720702999999</v>
      </c>
      <c r="I1069">
        <v>1303.0993652</v>
      </c>
      <c r="J1069">
        <v>1284.1442870999999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731.70231699999999</v>
      </c>
      <c r="B1070" s="1">
        <f>DATE(2012,5,1) + TIME(16,51,20)</f>
        <v>41030.702314814815</v>
      </c>
      <c r="C1070">
        <v>80</v>
      </c>
      <c r="D1070">
        <v>72.372909546000002</v>
      </c>
      <c r="E1070">
        <v>50</v>
      </c>
      <c r="F1070">
        <v>49.779178619</v>
      </c>
      <c r="G1070">
        <v>1375.5767822</v>
      </c>
      <c r="H1070">
        <v>1359.0495605000001</v>
      </c>
      <c r="I1070">
        <v>1302.4335937999999</v>
      </c>
      <c r="J1070">
        <v>1283.4724120999999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731.74623199999996</v>
      </c>
      <c r="B1071" s="1">
        <f>DATE(2012,5,1) + TIME(17,54,34)</f>
        <v>41030.74622685185</v>
      </c>
      <c r="C1071">
        <v>80</v>
      </c>
      <c r="D1071">
        <v>72.846076964999995</v>
      </c>
      <c r="E1071">
        <v>50</v>
      </c>
      <c r="F1071">
        <v>49.773612976000003</v>
      </c>
      <c r="G1071">
        <v>1376.1478271000001</v>
      </c>
      <c r="H1071">
        <v>1359.7027588000001</v>
      </c>
      <c r="I1071">
        <v>1301.7885742000001</v>
      </c>
      <c r="J1071">
        <v>1282.8215332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731.79180699999995</v>
      </c>
      <c r="B1072" s="1">
        <f>DATE(2012,5,1) + TIME(19,0,12)</f>
        <v>41030.791805555556</v>
      </c>
      <c r="C1072">
        <v>80</v>
      </c>
      <c r="D1072">
        <v>73.305824279999996</v>
      </c>
      <c r="E1072">
        <v>50</v>
      </c>
      <c r="F1072">
        <v>49.767932891999997</v>
      </c>
      <c r="G1072">
        <v>1376.6993408000001</v>
      </c>
      <c r="H1072">
        <v>1360.333374</v>
      </c>
      <c r="I1072">
        <v>1301.1624756000001</v>
      </c>
      <c r="J1072">
        <v>1282.1898193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731.83916999999997</v>
      </c>
      <c r="B1073" s="1">
        <f>DATE(2012,5,1) + TIME(20,8,24)</f>
        <v>41030.839166666665</v>
      </c>
      <c r="C1073">
        <v>80</v>
      </c>
      <c r="D1073">
        <v>73.751976013000004</v>
      </c>
      <c r="E1073">
        <v>50</v>
      </c>
      <c r="F1073">
        <v>49.762115479000002</v>
      </c>
      <c r="G1073">
        <v>1377.2327881000001</v>
      </c>
      <c r="H1073">
        <v>1360.9433594</v>
      </c>
      <c r="I1073">
        <v>1300.5537108999999</v>
      </c>
      <c r="J1073">
        <v>1281.5758057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731.888464</v>
      </c>
      <c r="B1074" s="1">
        <f>DATE(2012,5,1) + TIME(21,19,23)</f>
        <v>41030.888460648152</v>
      </c>
      <c r="C1074">
        <v>80</v>
      </c>
      <c r="D1074">
        <v>74.184333800999994</v>
      </c>
      <c r="E1074">
        <v>50</v>
      </c>
      <c r="F1074">
        <v>49.756153107000003</v>
      </c>
      <c r="G1074">
        <v>1377.7498779</v>
      </c>
      <c r="H1074">
        <v>1361.5341797000001</v>
      </c>
      <c r="I1074">
        <v>1299.9608154</v>
      </c>
      <c r="J1074">
        <v>1280.9779053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731.93984999999998</v>
      </c>
      <c r="B1075" s="1">
        <f>DATE(2012,5,1) + TIME(22,33,23)</f>
        <v>41030.939849537041</v>
      </c>
      <c r="C1075">
        <v>80</v>
      </c>
      <c r="D1075">
        <v>74.602706909000005</v>
      </c>
      <c r="E1075">
        <v>50</v>
      </c>
      <c r="F1075">
        <v>49.750026703000003</v>
      </c>
      <c r="G1075">
        <v>1378.2519531</v>
      </c>
      <c r="H1075">
        <v>1362.1074219</v>
      </c>
      <c r="I1075">
        <v>1299.3826904</v>
      </c>
      <c r="J1075">
        <v>1280.3948975000001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731.99351000000001</v>
      </c>
      <c r="B1076" s="1">
        <f>DATE(2012,5,1) + TIME(23,50,39)</f>
        <v>41030.993506944447</v>
      </c>
      <c r="C1076">
        <v>80</v>
      </c>
      <c r="D1076">
        <v>75.006896972999996</v>
      </c>
      <c r="E1076">
        <v>50</v>
      </c>
      <c r="F1076">
        <v>49.743724823000001</v>
      </c>
      <c r="G1076">
        <v>1378.7403564000001</v>
      </c>
      <c r="H1076">
        <v>1362.6643065999999</v>
      </c>
      <c r="I1076">
        <v>1298.8179932</v>
      </c>
      <c r="J1076">
        <v>1279.8255615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732.04965100000004</v>
      </c>
      <c r="B1077" s="1">
        <f>DATE(2012,5,2) + TIME(1,11,29)</f>
        <v>41031.049641203703</v>
      </c>
      <c r="C1077">
        <v>80</v>
      </c>
      <c r="D1077">
        <v>75.396438599000007</v>
      </c>
      <c r="E1077">
        <v>50</v>
      </c>
      <c r="F1077">
        <v>49.737216949</v>
      </c>
      <c r="G1077">
        <v>1379.2161865</v>
      </c>
      <c r="H1077">
        <v>1363.2060547000001</v>
      </c>
      <c r="I1077">
        <v>1298.2657471</v>
      </c>
      <c r="J1077">
        <v>1279.2689209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732.108521</v>
      </c>
      <c r="B1078" s="1">
        <f>DATE(2012,5,2) + TIME(2,36,16)</f>
        <v>41031.108518518522</v>
      </c>
      <c r="C1078">
        <v>80</v>
      </c>
      <c r="D1078">
        <v>75.771469116000006</v>
      </c>
      <c r="E1078">
        <v>50</v>
      </c>
      <c r="F1078">
        <v>49.730491637999997</v>
      </c>
      <c r="G1078">
        <v>1379.6805420000001</v>
      </c>
      <c r="H1078">
        <v>1363.7338867000001</v>
      </c>
      <c r="I1078">
        <v>1297.7247314000001</v>
      </c>
      <c r="J1078">
        <v>1278.7237548999999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732.17041099999994</v>
      </c>
      <c r="B1079" s="1">
        <f>DATE(2012,5,2) + TIME(4,5,23)</f>
        <v>41031.170405092591</v>
      </c>
      <c r="C1079">
        <v>80</v>
      </c>
      <c r="D1079">
        <v>76.131889342999997</v>
      </c>
      <c r="E1079">
        <v>50</v>
      </c>
      <c r="F1079">
        <v>49.723518372000001</v>
      </c>
      <c r="G1079">
        <v>1380.1345214999999</v>
      </c>
      <c r="H1079">
        <v>1364.2490233999999</v>
      </c>
      <c r="I1079">
        <v>1297.1939697</v>
      </c>
      <c r="J1079">
        <v>1278.1889647999999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732.23560299999997</v>
      </c>
      <c r="B1080" s="1">
        <f>DATE(2012,5,2) + TIME(5,39,16)</f>
        <v>41031.235601851855</v>
      </c>
      <c r="C1080">
        <v>80</v>
      </c>
      <c r="D1080">
        <v>76.477317810000002</v>
      </c>
      <c r="E1080">
        <v>50</v>
      </c>
      <c r="F1080">
        <v>49.716270446999999</v>
      </c>
      <c r="G1080">
        <v>1380.5789795000001</v>
      </c>
      <c r="H1080">
        <v>1364.7521973</v>
      </c>
      <c r="I1080">
        <v>1296.6729736</v>
      </c>
      <c r="J1080">
        <v>1277.6640625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732.30445999999995</v>
      </c>
      <c r="B1081" s="1">
        <f>DATE(2012,5,2) + TIME(7,18,25)</f>
        <v>41031.304456018515</v>
      </c>
      <c r="C1081">
        <v>80</v>
      </c>
      <c r="D1081">
        <v>76.807540893999999</v>
      </c>
      <c r="E1081">
        <v>50</v>
      </c>
      <c r="F1081">
        <v>49.708721161</v>
      </c>
      <c r="G1081">
        <v>1381.0146483999999</v>
      </c>
      <c r="H1081">
        <v>1365.2443848</v>
      </c>
      <c r="I1081">
        <v>1296.1606445</v>
      </c>
      <c r="J1081">
        <v>1277.1479492000001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732.37740599999995</v>
      </c>
      <c r="B1082" s="1">
        <f>DATE(2012,5,2) + TIME(9,3,27)</f>
        <v>41031.377395833333</v>
      </c>
      <c r="C1082">
        <v>80</v>
      </c>
      <c r="D1082">
        <v>77.122360228999995</v>
      </c>
      <c r="E1082">
        <v>50</v>
      </c>
      <c r="F1082">
        <v>49.700828551999997</v>
      </c>
      <c r="G1082">
        <v>1381.4423827999999</v>
      </c>
      <c r="H1082">
        <v>1365.7263184000001</v>
      </c>
      <c r="I1082">
        <v>1295.6563721</v>
      </c>
      <c r="J1082">
        <v>1276.6401367000001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732.45493999999997</v>
      </c>
      <c r="B1083" s="1">
        <f>DATE(2012,5,2) + TIME(10,55,6)</f>
        <v>41031.454930555556</v>
      </c>
      <c r="C1083">
        <v>80</v>
      </c>
      <c r="D1083">
        <v>77.421569824000002</v>
      </c>
      <c r="E1083">
        <v>50</v>
      </c>
      <c r="F1083">
        <v>49.692554473999998</v>
      </c>
      <c r="G1083">
        <v>1381.8629149999999</v>
      </c>
      <c r="H1083">
        <v>1366.1988524999999</v>
      </c>
      <c r="I1083">
        <v>1295.1595459</v>
      </c>
      <c r="J1083">
        <v>1276.1397704999999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732.53763700000002</v>
      </c>
      <c r="B1084" s="1">
        <f>DATE(2012,5,2) + TIME(12,54,11)</f>
        <v>41031.537627314814</v>
      </c>
      <c r="C1084">
        <v>80</v>
      </c>
      <c r="D1084">
        <v>77.704902649000005</v>
      </c>
      <c r="E1084">
        <v>50</v>
      </c>
      <c r="F1084">
        <v>49.683849334999998</v>
      </c>
      <c r="G1084">
        <v>1382.2770995999999</v>
      </c>
      <c r="H1084">
        <v>1366.6628418</v>
      </c>
      <c r="I1084">
        <v>1294.6693115</v>
      </c>
      <c r="J1084">
        <v>1275.6461182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732.62622999999996</v>
      </c>
      <c r="B1085" s="1">
        <f>DATE(2012,5,2) + TIME(15,1,46)</f>
        <v>41031.626226851855</v>
      </c>
      <c r="C1085">
        <v>80</v>
      </c>
      <c r="D1085">
        <v>77.972213745000005</v>
      </c>
      <c r="E1085">
        <v>50</v>
      </c>
      <c r="F1085">
        <v>49.674655913999999</v>
      </c>
      <c r="G1085">
        <v>1382.6855469</v>
      </c>
      <c r="H1085">
        <v>1367.1191406</v>
      </c>
      <c r="I1085">
        <v>1294.1851807</v>
      </c>
      <c r="J1085">
        <v>1275.1586914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732.72159299999998</v>
      </c>
      <c r="B1086" s="1">
        <f>DATE(2012,5,2) + TIME(17,19,5)</f>
        <v>41031.721585648149</v>
      </c>
      <c r="C1086">
        <v>80</v>
      </c>
      <c r="D1086">
        <v>78.223297118999994</v>
      </c>
      <c r="E1086">
        <v>50</v>
      </c>
      <c r="F1086">
        <v>49.664901733000001</v>
      </c>
      <c r="G1086">
        <v>1383.0892334</v>
      </c>
      <c r="H1086">
        <v>1367.5684814000001</v>
      </c>
      <c r="I1086">
        <v>1293.7064209</v>
      </c>
      <c r="J1086">
        <v>1274.6766356999999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732.82480099999998</v>
      </c>
      <c r="B1087" s="1">
        <f>DATE(2012,5,2) + TIME(19,47,42)</f>
        <v>41031.824791666666</v>
      </c>
      <c r="C1087">
        <v>80</v>
      </c>
      <c r="D1087">
        <v>78.457946777000004</v>
      </c>
      <c r="E1087">
        <v>50</v>
      </c>
      <c r="F1087">
        <v>49.654502868999998</v>
      </c>
      <c r="G1087">
        <v>1383.4886475000001</v>
      </c>
      <c r="H1087">
        <v>1368.0117187999999</v>
      </c>
      <c r="I1087">
        <v>1293.2325439000001</v>
      </c>
      <c r="J1087">
        <v>1274.1995850000001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732.93635500000005</v>
      </c>
      <c r="B1088" s="1">
        <f>DATE(2012,5,2) + TIME(22,28,21)</f>
        <v>41031.936354166668</v>
      </c>
      <c r="C1088">
        <v>80</v>
      </c>
      <c r="D1088">
        <v>78.674560546999999</v>
      </c>
      <c r="E1088">
        <v>50</v>
      </c>
      <c r="F1088">
        <v>49.643421173</v>
      </c>
      <c r="G1088">
        <v>1383.8819579999999</v>
      </c>
      <c r="H1088">
        <v>1368.4465332</v>
      </c>
      <c r="I1088">
        <v>1292.7661132999999</v>
      </c>
      <c r="J1088">
        <v>1273.7299805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733.04828999999995</v>
      </c>
      <c r="B1089" s="1">
        <f>DATE(2012,5,3) + TIME(1,9,32)</f>
        <v>41032.04828703704</v>
      </c>
      <c r="C1089">
        <v>80</v>
      </c>
      <c r="D1089">
        <v>78.860107421999999</v>
      </c>
      <c r="E1089">
        <v>50</v>
      </c>
      <c r="F1089">
        <v>49.632354736000003</v>
      </c>
      <c r="G1089">
        <v>1384.2409668</v>
      </c>
      <c r="H1089">
        <v>1368.8415527</v>
      </c>
      <c r="I1089">
        <v>1292.3392334</v>
      </c>
      <c r="J1089">
        <v>1273.3001709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733.16125099999999</v>
      </c>
      <c r="B1090" s="1">
        <f>DATE(2012,5,3) + TIME(3,52,12)</f>
        <v>41032.161249999997</v>
      </c>
      <c r="C1090">
        <v>80</v>
      </c>
      <c r="D1090">
        <v>79.019729613999999</v>
      </c>
      <c r="E1090">
        <v>50</v>
      </c>
      <c r="F1090">
        <v>49.621242522999999</v>
      </c>
      <c r="G1090">
        <v>1384.5711670000001</v>
      </c>
      <c r="H1090">
        <v>1369.2042236</v>
      </c>
      <c r="I1090">
        <v>1291.9460449000001</v>
      </c>
      <c r="J1090">
        <v>1272.9042969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733.27551600000004</v>
      </c>
      <c r="B1091" s="1">
        <f>DATE(2012,5,3) + TIME(6,36,44)</f>
        <v>41032.275509259256</v>
      </c>
      <c r="C1091">
        <v>80</v>
      </c>
      <c r="D1091">
        <v>79.157157897999994</v>
      </c>
      <c r="E1091">
        <v>50</v>
      </c>
      <c r="F1091">
        <v>49.610061645999998</v>
      </c>
      <c r="G1091">
        <v>1384.8760986</v>
      </c>
      <c r="H1091">
        <v>1369.5385742000001</v>
      </c>
      <c r="I1091">
        <v>1291.5827637</v>
      </c>
      <c r="J1091">
        <v>1272.5385742000001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733.39119500000004</v>
      </c>
      <c r="B1092" s="1">
        <f>DATE(2012,5,3) + TIME(9,23,19)</f>
        <v>41032.391192129631</v>
      </c>
      <c r="C1092">
        <v>80</v>
      </c>
      <c r="D1092">
        <v>79.275352478000002</v>
      </c>
      <c r="E1092">
        <v>50</v>
      </c>
      <c r="F1092">
        <v>49.598808288999997</v>
      </c>
      <c r="G1092">
        <v>1385.1582031</v>
      </c>
      <c r="H1092">
        <v>1369.8472899999999</v>
      </c>
      <c r="I1092">
        <v>1291.2470702999999</v>
      </c>
      <c r="J1092">
        <v>1272.2005615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733.50821399999995</v>
      </c>
      <c r="B1093" s="1">
        <f>DATE(2012,5,3) + TIME(12,11,49)</f>
        <v>41032.508206018516</v>
      </c>
      <c r="C1093">
        <v>80</v>
      </c>
      <c r="D1093">
        <v>79.376770019999995</v>
      </c>
      <c r="E1093">
        <v>50</v>
      </c>
      <c r="F1093">
        <v>49.587482452000003</v>
      </c>
      <c r="G1093">
        <v>1385.4189452999999</v>
      </c>
      <c r="H1093">
        <v>1370.1323242000001</v>
      </c>
      <c r="I1093">
        <v>1290.9368896000001</v>
      </c>
      <c r="J1093">
        <v>1271.8881836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733.62684000000002</v>
      </c>
      <c r="B1094" s="1">
        <f>DATE(2012,5,3) + TIME(15,2,39)</f>
        <v>41032.626840277779</v>
      </c>
      <c r="C1094">
        <v>80</v>
      </c>
      <c r="D1094">
        <v>79.463806152000004</v>
      </c>
      <c r="E1094">
        <v>50</v>
      </c>
      <c r="F1094">
        <v>49.576068878000001</v>
      </c>
      <c r="G1094">
        <v>1385.6605225000001</v>
      </c>
      <c r="H1094">
        <v>1370.3961182</v>
      </c>
      <c r="I1094">
        <v>1290.6499022999999</v>
      </c>
      <c r="J1094">
        <v>1271.598999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733.74733300000003</v>
      </c>
      <c r="B1095" s="1">
        <f>DATE(2012,5,3) + TIME(17,56,9)</f>
        <v>41032.74732638889</v>
      </c>
      <c r="C1095">
        <v>80</v>
      </c>
      <c r="D1095">
        <v>79.538475036999998</v>
      </c>
      <c r="E1095">
        <v>50</v>
      </c>
      <c r="F1095">
        <v>49.564537047999998</v>
      </c>
      <c r="G1095">
        <v>1385.8848877</v>
      </c>
      <c r="H1095">
        <v>1370.6408690999999</v>
      </c>
      <c r="I1095">
        <v>1290.3840332</v>
      </c>
      <c r="J1095">
        <v>1271.3310547000001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733.86997199999996</v>
      </c>
      <c r="B1096" s="1">
        <f>DATE(2012,5,3) + TIME(20,52,45)</f>
        <v>41032.86996527778</v>
      </c>
      <c r="C1096">
        <v>80</v>
      </c>
      <c r="D1096">
        <v>79.602500915999997</v>
      </c>
      <c r="E1096">
        <v>50</v>
      </c>
      <c r="F1096">
        <v>49.552871703999998</v>
      </c>
      <c r="G1096">
        <v>1386.0932617000001</v>
      </c>
      <c r="H1096">
        <v>1370.8682861</v>
      </c>
      <c r="I1096">
        <v>1290.1374512</v>
      </c>
      <c r="J1096">
        <v>1271.0826416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733.99505299999998</v>
      </c>
      <c r="B1097" s="1">
        <f>DATE(2012,5,3) + TIME(23,52,52)</f>
        <v>41032.995046296295</v>
      </c>
      <c r="C1097">
        <v>80</v>
      </c>
      <c r="D1097">
        <v>79.657356261999993</v>
      </c>
      <c r="E1097">
        <v>50</v>
      </c>
      <c r="F1097">
        <v>49.541042328000003</v>
      </c>
      <c r="G1097">
        <v>1386.2873535000001</v>
      </c>
      <c r="H1097">
        <v>1371.0798339999999</v>
      </c>
      <c r="I1097">
        <v>1289.9086914</v>
      </c>
      <c r="J1097">
        <v>1270.8519286999999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734.12282100000004</v>
      </c>
      <c r="B1098" s="1">
        <f>DATE(2012,5,4) + TIME(2,56,51)</f>
        <v>41033.122812499998</v>
      </c>
      <c r="C1098">
        <v>80</v>
      </c>
      <c r="D1098">
        <v>79.704277039000004</v>
      </c>
      <c r="E1098">
        <v>50</v>
      </c>
      <c r="F1098">
        <v>49.529037475999999</v>
      </c>
      <c r="G1098">
        <v>1386.4677733999999</v>
      </c>
      <c r="H1098">
        <v>1371.2768555</v>
      </c>
      <c r="I1098">
        <v>1289.6964111</v>
      </c>
      <c r="J1098">
        <v>1270.6379394999999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734.25357899999995</v>
      </c>
      <c r="B1099" s="1">
        <f>DATE(2012,5,4) + TIME(6,5,9)</f>
        <v>41033.253576388888</v>
      </c>
      <c r="C1099">
        <v>80</v>
      </c>
      <c r="D1099">
        <v>79.744346618999998</v>
      </c>
      <c r="E1099">
        <v>50</v>
      </c>
      <c r="F1099">
        <v>49.516822814999998</v>
      </c>
      <c r="G1099">
        <v>1386.6356201000001</v>
      </c>
      <c r="H1099">
        <v>1371.4602050999999</v>
      </c>
      <c r="I1099">
        <v>1289.4995117000001</v>
      </c>
      <c r="J1099">
        <v>1270.4393310999999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734.38765100000001</v>
      </c>
      <c r="B1100" s="1">
        <f>DATE(2012,5,4) + TIME(9,18,13)</f>
        <v>41033.387650462966</v>
      </c>
      <c r="C1100">
        <v>80</v>
      </c>
      <c r="D1100">
        <v>79.778495789000004</v>
      </c>
      <c r="E1100">
        <v>50</v>
      </c>
      <c r="F1100">
        <v>49.504379272000001</v>
      </c>
      <c r="G1100">
        <v>1386.7917480000001</v>
      </c>
      <c r="H1100">
        <v>1371.6311035000001</v>
      </c>
      <c r="I1100">
        <v>1289.3171387</v>
      </c>
      <c r="J1100">
        <v>1270.2551269999999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734.52538600000003</v>
      </c>
      <c r="B1101" s="1">
        <f>DATE(2012,5,4) + TIME(12,36,33)</f>
        <v>41033.525381944448</v>
      </c>
      <c r="C1101">
        <v>80</v>
      </c>
      <c r="D1101">
        <v>79.807540893999999</v>
      </c>
      <c r="E1101">
        <v>50</v>
      </c>
      <c r="F1101">
        <v>49.491672516000001</v>
      </c>
      <c r="G1101">
        <v>1386.9368896000001</v>
      </c>
      <c r="H1101">
        <v>1371.7901611</v>
      </c>
      <c r="I1101">
        <v>1289.1480713000001</v>
      </c>
      <c r="J1101">
        <v>1270.0844727000001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734.66716299999996</v>
      </c>
      <c r="B1102" s="1">
        <f>DATE(2012,5,4) + TIME(16,0,42)</f>
        <v>41033.66715277778</v>
      </c>
      <c r="C1102">
        <v>80</v>
      </c>
      <c r="D1102">
        <v>79.832176208000007</v>
      </c>
      <c r="E1102">
        <v>50</v>
      </c>
      <c r="F1102">
        <v>49.478683472</v>
      </c>
      <c r="G1102">
        <v>1387.0715332</v>
      </c>
      <c r="H1102">
        <v>1371.9382324000001</v>
      </c>
      <c r="I1102">
        <v>1288.9916992000001</v>
      </c>
      <c r="J1102">
        <v>1269.9265137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734.813401</v>
      </c>
      <c r="B1103" s="1">
        <f>DATE(2012,5,4) + TIME(19,31,17)</f>
        <v>41033.813391203701</v>
      </c>
      <c r="C1103">
        <v>80</v>
      </c>
      <c r="D1103">
        <v>79.853004455999994</v>
      </c>
      <c r="E1103">
        <v>50</v>
      </c>
      <c r="F1103">
        <v>49.465370178000001</v>
      </c>
      <c r="G1103">
        <v>1387.1961670000001</v>
      </c>
      <c r="H1103">
        <v>1372.0758057</v>
      </c>
      <c r="I1103">
        <v>1288.8474120999999</v>
      </c>
      <c r="J1103">
        <v>1269.7805175999999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734.964562</v>
      </c>
      <c r="B1104" s="1">
        <f>DATE(2012,5,4) + TIME(23,8,58)</f>
        <v>41033.964560185188</v>
      </c>
      <c r="C1104">
        <v>80</v>
      </c>
      <c r="D1104">
        <v>79.870567321999999</v>
      </c>
      <c r="E1104">
        <v>50</v>
      </c>
      <c r="F1104">
        <v>49.451698303000001</v>
      </c>
      <c r="G1104">
        <v>1387.3114014</v>
      </c>
      <c r="H1104">
        <v>1372.2036132999999</v>
      </c>
      <c r="I1104">
        <v>1288.7143555</v>
      </c>
      <c r="J1104">
        <v>1269.6459961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735.12116300000002</v>
      </c>
      <c r="B1105" s="1">
        <f>DATE(2012,5,5) + TIME(2,54,28)</f>
        <v>41034.121157407404</v>
      </c>
      <c r="C1105">
        <v>80</v>
      </c>
      <c r="D1105">
        <v>79.885314941000004</v>
      </c>
      <c r="E1105">
        <v>50</v>
      </c>
      <c r="F1105">
        <v>49.437629700000002</v>
      </c>
      <c r="G1105">
        <v>1387.4174805</v>
      </c>
      <c r="H1105">
        <v>1372.3218993999999</v>
      </c>
      <c r="I1105">
        <v>1288.5921631000001</v>
      </c>
      <c r="J1105">
        <v>1269.5220947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735.28378699999996</v>
      </c>
      <c r="B1106" s="1">
        <f>DATE(2012,5,5) + TIME(6,48,39)</f>
        <v>41034.283784722225</v>
      </c>
      <c r="C1106">
        <v>80</v>
      </c>
      <c r="D1106">
        <v>79.897651671999995</v>
      </c>
      <c r="E1106">
        <v>50</v>
      </c>
      <c r="F1106">
        <v>49.423122405999997</v>
      </c>
      <c r="G1106">
        <v>1387.5147704999999</v>
      </c>
      <c r="H1106">
        <v>1372.4312743999999</v>
      </c>
      <c r="I1106">
        <v>1288.4801024999999</v>
      </c>
      <c r="J1106">
        <v>1269.4085693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735.45320900000002</v>
      </c>
      <c r="B1107" s="1">
        <f>DATE(2012,5,5) + TIME(10,52,37)</f>
        <v>41034.453206018516</v>
      </c>
      <c r="C1107">
        <v>80</v>
      </c>
      <c r="D1107">
        <v>79.907928467000005</v>
      </c>
      <c r="E1107">
        <v>50</v>
      </c>
      <c r="F1107">
        <v>49.408115387000002</v>
      </c>
      <c r="G1107">
        <v>1387.6036377</v>
      </c>
      <c r="H1107">
        <v>1372.5321045000001</v>
      </c>
      <c r="I1107">
        <v>1288.3778076000001</v>
      </c>
      <c r="J1107">
        <v>1269.3046875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735.63006800000005</v>
      </c>
      <c r="B1108" s="1">
        <f>DATE(2012,5,5) + TIME(15,7,17)</f>
        <v>41034.630057870374</v>
      </c>
      <c r="C1108">
        <v>80</v>
      </c>
      <c r="D1108">
        <v>79.916450499999996</v>
      </c>
      <c r="E1108">
        <v>50</v>
      </c>
      <c r="F1108">
        <v>49.392559052000003</v>
      </c>
      <c r="G1108">
        <v>1387.6842041</v>
      </c>
      <c r="H1108">
        <v>1372.6245117000001</v>
      </c>
      <c r="I1108">
        <v>1288.2849120999999</v>
      </c>
      <c r="J1108">
        <v>1269.2102050999999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735.81523100000004</v>
      </c>
      <c r="B1109" s="1">
        <f>DATE(2012,5,5) + TIME(19,33,55)</f>
        <v>41034.81521990741</v>
      </c>
      <c r="C1109">
        <v>80</v>
      </c>
      <c r="D1109">
        <v>79.923469542999996</v>
      </c>
      <c r="E1109">
        <v>50</v>
      </c>
      <c r="F1109">
        <v>49.376392365000001</v>
      </c>
      <c r="G1109">
        <v>1387.7565918</v>
      </c>
      <c r="H1109">
        <v>1372.7087402</v>
      </c>
      <c r="I1109">
        <v>1288.2009277</v>
      </c>
      <c r="J1109">
        <v>1269.1246338000001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736.00970199999995</v>
      </c>
      <c r="B1110" s="1">
        <f>DATE(2012,5,6) + TIME(0,13,58)</f>
        <v>41035.009699074071</v>
      </c>
      <c r="C1110">
        <v>80</v>
      </c>
      <c r="D1110">
        <v>79.929229735999996</v>
      </c>
      <c r="E1110">
        <v>50</v>
      </c>
      <c r="F1110">
        <v>49.359542847</v>
      </c>
      <c r="G1110">
        <v>1387.8209228999999</v>
      </c>
      <c r="H1110">
        <v>1372.7850341999999</v>
      </c>
      <c r="I1110">
        <v>1288.1254882999999</v>
      </c>
      <c r="J1110">
        <v>1269.0476074000001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736.212807</v>
      </c>
      <c r="B1111" s="1">
        <f>DATE(2012,5,6) + TIME(5,6,26)</f>
        <v>41035.212800925925</v>
      </c>
      <c r="C1111">
        <v>80</v>
      </c>
      <c r="D1111">
        <v>79.933883667000003</v>
      </c>
      <c r="E1111">
        <v>50</v>
      </c>
      <c r="F1111">
        <v>49.342052459999998</v>
      </c>
      <c r="G1111">
        <v>1387.8764647999999</v>
      </c>
      <c r="H1111">
        <v>1372.8525391000001</v>
      </c>
      <c r="I1111">
        <v>1288.0588379000001</v>
      </c>
      <c r="J1111">
        <v>1268.9793701000001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736.42477599999995</v>
      </c>
      <c r="B1112" s="1">
        <f>DATE(2012,5,6) + TIME(10,11,40)</f>
        <v>41035.424768518518</v>
      </c>
      <c r="C1112">
        <v>80</v>
      </c>
      <c r="D1112">
        <v>79.937622070000003</v>
      </c>
      <c r="E1112">
        <v>50</v>
      </c>
      <c r="F1112">
        <v>49.32390213</v>
      </c>
      <c r="G1112">
        <v>1387.9234618999999</v>
      </c>
      <c r="H1112">
        <v>1372.9117432</v>
      </c>
      <c r="I1112">
        <v>1288.0006103999999</v>
      </c>
      <c r="J1112">
        <v>1268.9194336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736.64646800000003</v>
      </c>
      <c r="B1113" s="1">
        <f>DATE(2012,5,6) + TIME(15,30,54)</f>
        <v>41035.646458333336</v>
      </c>
      <c r="C1113">
        <v>80</v>
      </c>
      <c r="D1113">
        <v>79.940612793</v>
      </c>
      <c r="E1113">
        <v>50</v>
      </c>
      <c r="F1113">
        <v>49.305030823000003</v>
      </c>
      <c r="G1113">
        <v>1387.9622803</v>
      </c>
      <c r="H1113">
        <v>1372.9627685999999</v>
      </c>
      <c r="I1113">
        <v>1287.9501952999999</v>
      </c>
      <c r="J1113">
        <v>1268.8674315999999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736.87584300000003</v>
      </c>
      <c r="B1114" s="1">
        <f>DATE(2012,5,6) + TIME(21,1,12)</f>
        <v>41035.875833333332</v>
      </c>
      <c r="C1114">
        <v>80</v>
      </c>
      <c r="D1114">
        <v>79.942955017000003</v>
      </c>
      <c r="E1114">
        <v>50</v>
      </c>
      <c r="F1114">
        <v>49.285568237</v>
      </c>
      <c r="G1114">
        <v>1387.9919434000001</v>
      </c>
      <c r="H1114">
        <v>1373.0048827999999</v>
      </c>
      <c r="I1114">
        <v>1287.9075928</v>
      </c>
      <c r="J1114">
        <v>1268.8232422000001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737.10654299999999</v>
      </c>
      <c r="B1115" s="1">
        <f>DATE(2012,5,7) + TIME(2,33,25)</f>
        <v>41036.106539351851</v>
      </c>
      <c r="C1115">
        <v>80</v>
      </c>
      <c r="D1115">
        <v>79.944755553999997</v>
      </c>
      <c r="E1115">
        <v>50</v>
      </c>
      <c r="F1115">
        <v>49.26594162</v>
      </c>
      <c r="G1115">
        <v>1388.0114745999999</v>
      </c>
      <c r="H1115">
        <v>1373.0368652</v>
      </c>
      <c r="I1115">
        <v>1287.8729248</v>
      </c>
      <c r="J1115">
        <v>1268.7869873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737.33924100000002</v>
      </c>
      <c r="B1116" s="1">
        <f>DATE(2012,5,7) + TIME(8,8,30)</f>
        <v>41036.339236111111</v>
      </c>
      <c r="C1116">
        <v>80</v>
      </c>
      <c r="D1116">
        <v>79.946136475000003</v>
      </c>
      <c r="E1116">
        <v>50</v>
      </c>
      <c r="F1116">
        <v>49.246131896999998</v>
      </c>
      <c r="G1116">
        <v>1388.0236815999999</v>
      </c>
      <c r="H1116">
        <v>1373.0612793</v>
      </c>
      <c r="I1116">
        <v>1287.8448486</v>
      </c>
      <c r="J1116">
        <v>1268.7573242000001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737.57423500000004</v>
      </c>
      <c r="B1117" s="1">
        <f>DATE(2012,5,7) + TIME(13,46,53)</f>
        <v>41036.574224537035</v>
      </c>
      <c r="C1117">
        <v>80</v>
      </c>
      <c r="D1117">
        <v>79.947204589999998</v>
      </c>
      <c r="E1117">
        <v>50</v>
      </c>
      <c r="F1117">
        <v>49.226142883000001</v>
      </c>
      <c r="G1117">
        <v>1388.0294189000001</v>
      </c>
      <c r="H1117">
        <v>1373.0791016000001</v>
      </c>
      <c r="I1117">
        <v>1287.8225098</v>
      </c>
      <c r="J1117">
        <v>1268.7333983999999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737.81098199999997</v>
      </c>
      <c r="B1118" s="1">
        <f>DATE(2012,5,7) + TIME(19,27,48)</f>
        <v>41036.810972222222</v>
      </c>
      <c r="C1118">
        <v>80</v>
      </c>
      <c r="D1118">
        <v>79.948036193999997</v>
      </c>
      <c r="E1118">
        <v>50</v>
      </c>
      <c r="F1118">
        <v>49.206020355</v>
      </c>
      <c r="G1118">
        <v>1388.0292969</v>
      </c>
      <c r="H1118">
        <v>1373.0908202999999</v>
      </c>
      <c r="I1118">
        <v>1287.8050536999999</v>
      </c>
      <c r="J1118">
        <v>1268.7144774999999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738.05016999999998</v>
      </c>
      <c r="B1119" s="1">
        <f>DATE(2012,5,8) + TIME(1,12,14)</f>
        <v>41037.050162037034</v>
      </c>
      <c r="C1119">
        <v>80</v>
      </c>
      <c r="D1119">
        <v>79.948677063000005</v>
      </c>
      <c r="E1119">
        <v>50</v>
      </c>
      <c r="F1119">
        <v>49.185737609999997</v>
      </c>
      <c r="G1119">
        <v>1388.0240478999999</v>
      </c>
      <c r="H1119">
        <v>1373.0972899999999</v>
      </c>
      <c r="I1119">
        <v>1287.7917480000001</v>
      </c>
      <c r="J1119">
        <v>1268.6995850000001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738.29229199999997</v>
      </c>
      <c r="B1120" s="1">
        <f>DATE(2012,5,8) + TIME(7,0,54)</f>
        <v>41037.292291666665</v>
      </c>
      <c r="C1120">
        <v>80</v>
      </c>
      <c r="D1120">
        <v>79.949188231999997</v>
      </c>
      <c r="E1120">
        <v>50</v>
      </c>
      <c r="F1120">
        <v>49.165267944</v>
      </c>
      <c r="G1120">
        <v>1388.0144043</v>
      </c>
      <c r="H1120">
        <v>1373.0992432</v>
      </c>
      <c r="I1120">
        <v>1287.7819824000001</v>
      </c>
      <c r="J1120">
        <v>1268.6882324000001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738.53794500000004</v>
      </c>
      <c r="B1121" s="1">
        <f>DATE(2012,5,8) + TIME(12,54,38)</f>
        <v>41037.537939814814</v>
      </c>
      <c r="C1121">
        <v>80</v>
      </c>
      <c r="D1121">
        <v>79.949584960999999</v>
      </c>
      <c r="E1121">
        <v>50</v>
      </c>
      <c r="F1121">
        <v>49.144577026</v>
      </c>
      <c r="G1121">
        <v>1388.0006103999999</v>
      </c>
      <c r="H1121">
        <v>1373.0969238</v>
      </c>
      <c r="I1121">
        <v>1287.7750243999999</v>
      </c>
      <c r="J1121">
        <v>1268.6796875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738.78773699999999</v>
      </c>
      <c r="B1122" s="1">
        <f>DATE(2012,5,8) + TIME(18,54,20)</f>
        <v>41037.787731481483</v>
      </c>
      <c r="C1122">
        <v>80</v>
      </c>
      <c r="D1122">
        <v>79.949905396000005</v>
      </c>
      <c r="E1122">
        <v>50</v>
      </c>
      <c r="F1122">
        <v>49.123626709</v>
      </c>
      <c r="G1122">
        <v>1387.9831543</v>
      </c>
      <c r="H1122">
        <v>1373.0909423999999</v>
      </c>
      <c r="I1122">
        <v>1287.7705077999999</v>
      </c>
      <c r="J1122">
        <v>1268.6735839999999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739.04230199999995</v>
      </c>
      <c r="B1123" s="1">
        <f>DATE(2012,5,9) + TIME(1,0,54)</f>
        <v>41038.042291666665</v>
      </c>
      <c r="C1123">
        <v>80</v>
      </c>
      <c r="D1123">
        <v>79.950157165999997</v>
      </c>
      <c r="E1123">
        <v>50</v>
      </c>
      <c r="F1123">
        <v>49.102378844999997</v>
      </c>
      <c r="G1123">
        <v>1387.9621582</v>
      </c>
      <c r="H1123">
        <v>1373.0814209</v>
      </c>
      <c r="I1123">
        <v>1287.7679443</v>
      </c>
      <c r="J1123">
        <v>1268.6694336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739.30230800000004</v>
      </c>
      <c r="B1124" s="1">
        <f>DATE(2012,5,9) + TIME(7,15,19)</f>
        <v>41038.302303240744</v>
      </c>
      <c r="C1124">
        <v>80</v>
      </c>
      <c r="D1124">
        <v>79.950355529999996</v>
      </c>
      <c r="E1124">
        <v>50</v>
      </c>
      <c r="F1124">
        <v>49.080783844000003</v>
      </c>
      <c r="G1124">
        <v>1387.9381103999999</v>
      </c>
      <c r="H1124">
        <v>1373.0687256000001</v>
      </c>
      <c r="I1124">
        <v>1287.7670897999999</v>
      </c>
      <c r="J1124">
        <v>1268.6668701000001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739.56847200000004</v>
      </c>
      <c r="B1125" s="1">
        <f>DATE(2012,5,9) + TIME(13,38,35)</f>
        <v>41038.568460648145</v>
      </c>
      <c r="C1125">
        <v>80</v>
      </c>
      <c r="D1125">
        <v>79.950523376000007</v>
      </c>
      <c r="E1125">
        <v>50</v>
      </c>
      <c r="F1125">
        <v>49.058799743999998</v>
      </c>
      <c r="G1125">
        <v>1387.9110106999999</v>
      </c>
      <c r="H1125">
        <v>1373.0529785000001</v>
      </c>
      <c r="I1125">
        <v>1287.7675781</v>
      </c>
      <c r="J1125">
        <v>1268.6656493999999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739.84157100000004</v>
      </c>
      <c r="B1126" s="1">
        <f>DATE(2012,5,9) + TIME(20,11,51)</f>
        <v>41038.841562499998</v>
      </c>
      <c r="C1126">
        <v>80</v>
      </c>
      <c r="D1126">
        <v>79.950653075999995</v>
      </c>
      <c r="E1126">
        <v>50</v>
      </c>
      <c r="F1126">
        <v>49.036369323999999</v>
      </c>
      <c r="G1126">
        <v>1387.8811035000001</v>
      </c>
      <c r="H1126">
        <v>1373.0345459</v>
      </c>
      <c r="I1126">
        <v>1287.7691649999999</v>
      </c>
      <c r="J1126">
        <v>1268.6655272999999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740.12245700000005</v>
      </c>
      <c r="B1127" s="1">
        <f>DATE(2012,5,10) + TIME(2,56,20)</f>
        <v>41039.122453703705</v>
      </c>
      <c r="C1127">
        <v>80</v>
      </c>
      <c r="D1127">
        <v>79.950759887999993</v>
      </c>
      <c r="E1127">
        <v>50</v>
      </c>
      <c r="F1127">
        <v>49.013431549000003</v>
      </c>
      <c r="G1127">
        <v>1387.8483887</v>
      </c>
      <c r="H1127">
        <v>1373.0133057</v>
      </c>
      <c r="I1127">
        <v>1287.7714844</v>
      </c>
      <c r="J1127">
        <v>1268.6661377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740.41207299999996</v>
      </c>
      <c r="B1128" s="1">
        <f>DATE(2012,5,10) + TIME(9,53,23)</f>
        <v>41039.41207175926</v>
      </c>
      <c r="C1128">
        <v>80</v>
      </c>
      <c r="D1128">
        <v>79.950843810999999</v>
      </c>
      <c r="E1128">
        <v>50</v>
      </c>
      <c r="F1128">
        <v>48.989925384999999</v>
      </c>
      <c r="G1128">
        <v>1387.8129882999999</v>
      </c>
      <c r="H1128">
        <v>1372.989624</v>
      </c>
      <c r="I1128">
        <v>1287.7745361</v>
      </c>
      <c r="J1128">
        <v>1268.6673584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740.71168499999999</v>
      </c>
      <c r="B1129" s="1">
        <f>DATE(2012,5,10) + TIME(17,4,49)</f>
        <v>41039.711678240739</v>
      </c>
      <c r="C1129">
        <v>80</v>
      </c>
      <c r="D1129">
        <v>79.950912475999999</v>
      </c>
      <c r="E1129">
        <v>50</v>
      </c>
      <c r="F1129">
        <v>48.965766907000003</v>
      </c>
      <c r="G1129">
        <v>1387.7750243999999</v>
      </c>
      <c r="H1129">
        <v>1372.9633789</v>
      </c>
      <c r="I1129">
        <v>1287.7779541</v>
      </c>
      <c r="J1129">
        <v>1268.6689452999999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741.02231500000005</v>
      </c>
      <c r="B1130" s="1">
        <f>DATE(2012,5,11) + TIME(0,32,8)</f>
        <v>41040.022314814814</v>
      </c>
      <c r="C1130">
        <v>80</v>
      </c>
      <c r="D1130">
        <v>79.950965881000002</v>
      </c>
      <c r="E1130">
        <v>50</v>
      </c>
      <c r="F1130">
        <v>48.940879821999999</v>
      </c>
      <c r="G1130">
        <v>1387.734375</v>
      </c>
      <c r="H1130">
        <v>1372.9346923999999</v>
      </c>
      <c r="I1130">
        <v>1287.7816161999999</v>
      </c>
      <c r="J1130">
        <v>1268.6706543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741.34518100000003</v>
      </c>
      <c r="B1131" s="1">
        <f>DATE(2012,5,11) + TIME(8,17,3)</f>
        <v>41040.345173611109</v>
      </c>
      <c r="C1131">
        <v>80</v>
      </c>
      <c r="D1131">
        <v>79.951011657999999</v>
      </c>
      <c r="E1131">
        <v>50</v>
      </c>
      <c r="F1131">
        <v>48.915187836000001</v>
      </c>
      <c r="G1131">
        <v>1387.6910399999999</v>
      </c>
      <c r="H1131">
        <v>1372.9036865</v>
      </c>
      <c r="I1131">
        <v>1287.7854004000001</v>
      </c>
      <c r="J1131">
        <v>1268.6724853999999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741.67691100000002</v>
      </c>
      <c r="B1132" s="1">
        <f>DATE(2012,5,11) + TIME(16,14,45)</f>
        <v>41040.67690972222</v>
      </c>
      <c r="C1132">
        <v>80</v>
      </c>
      <c r="D1132">
        <v>79.951042174999998</v>
      </c>
      <c r="E1132">
        <v>50</v>
      </c>
      <c r="F1132">
        <v>48.888862609999997</v>
      </c>
      <c r="G1132">
        <v>1387.6450195</v>
      </c>
      <c r="H1132">
        <v>1372.8698730000001</v>
      </c>
      <c r="I1132">
        <v>1287.7889404</v>
      </c>
      <c r="J1132">
        <v>1268.6739502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742.01862400000005</v>
      </c>
      <c r="B1133" s="1">
        <f>DATE(2012,5,12) + TIME(0,26,49)</f>
        <v>41041.018622685187</v>
      </c>
      <c r="C1133">
        <v>80</v>
      </c>
      <c r="D1133">
        <v>79.951065063000001</v>
      </c>
      <c r="E1133">
        <v>50</v>
      </c>
      <c r="F1133">
        <v>48.861850738999998</v>
      </c>
      <c r="G1133">
        <v>1387.5968018000001</v>
      </c>
      <c r="H1133">
        <v>1372.8342285000001</v>
      </c>
      <c r="I1133">
        <v>1287.7922363</v>
      </c>
      <c r="J1133">
        <v>1268.6751709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742.37143800000001</v>
      </c>
      <c r="B1134" s="1">
        <f>DATE(2012,5,12) + TIME(8,54,52)</f>
        <v>41041.371435185189</v>
      </c>
      <c r="C1134">
        <v>80</v>
      </c>
      <c r="D1134">
        <v>79.951080321999996</v>
      </c>
      <c r="E1134">
        <v>50</v>
      </c>
      <c r="F1134">
        <v>48.834098816000001</v>
      </c>
      <c r="G1134">
        <v>1387.5466309000001</v>
      </c>
      <c r="H1134">
        <v>1372.7966309000001</v>
      </c>
      <c r="I1134">
        <v>1287.7951660000001</v>
      </c>
      <c r="J1134">
        <v>1268.6760254000001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742.73415299999999</v>
      </c>
      <c r="B1135" s="1">
        <f>DATE(2012,5,12) + TIME(17,37,10)</f>
        <v>41041.734143518515</v>
      </c>
      <c r="C1135">
        <v>80</v>
      </c>
      <c r="D1135">
        <v>79.951095581000004</v>
      </c>
      <c r="E1135">
        <v>50</v>
      </c>
      <c r="F1135">
        <v>48.805660248000002</v>
      </c>
      <c r="G1135">
        <v>1387.4943848</v>
      </c>
      <c r="H1135">
        <v>1372.7572021000001</v>
      </c>
      <c r="I1135">
        <v>1287.7976074000001</v>
      </c>
      <c r="J1135">
        <v>1268.6762695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743.10026600000003</v>
      </c>
      <c r="B1136" s="1">
        <f>DATE(2012,5,13) + TIME(2,24,23)</f>
        <v>41042.100266203706</v>
      </c>
      <c r="C1136">
        <v>80</v>
      </c>
      <c r="D1136">
        <v>79.951095581000004</v>
      </c>
      <c r="E1136">
        <v>50</v>
      </c>
      <c r="F1136">
        <v>48.776897429999998</v>
      </c>
      <c r="G1136">
        <v>1387.4404297000001</v>
      </c>
      <c r="H1136">
        <v>1372.7159423999999</v>
      </c>
      <c r="I1136">
        <v>1287.7993164</v>
      </c>
      <c r="J1136">
        <v>1268.6757812000001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743.47027100000003</v>
      </c>
      <c r="B1137" s="1">
        <f>DATE(2012,5,13) + TIME(11,17,11)</f>
        <v>41042.470266203702</v>
      </c>
      <c r="C1137">
        <v>80</v>
      </c>
      <c r="D1137">
        <v>79.951095581000004</v>
      </c>
      <c r="E1137">
        <v>50</v>
      </c>
      <c r="F1137">
        <v>48.747840881000002</v>
      </c>
      <c r="G1137">
        <v>1387.3858643000001</v>
      </c>
      <c r="H1137">
        <v>1372.6740723</v>
      </c>
      <c r="I1137">
        <v>1287.800293</v>
      </c>
      <c r="J1137">
        <v>1268.6745605000001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743.84325899999999</v>
      </c>
      <c r="B1138" s="1">
        <f>DATE(2012,5,13) + TIME(20,14,17)</f>
        <v>41042.843252314815</v>
      </c>
      <c r="C1138">
        <v>80</v>
      </c>
      <c r="D1138">
        <v>79.951087951999995</v>
      </c>
      <c r="E1138">
        <v>50</v>
      </c>
      <c r="F1138">
        <v>48.718574523999997</v>
      </c>
      <c r="G1138">
        <v>1387.3306885</v>
      </c>
      <c r="H1138">
        <v>1372.6314697</v>
      </c>
      <c r="I1138">
        <v>1287.8007812000001</v>
      </c>
      <c r="J1138">
        <v>1268.6726074000001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744.220012</v>
      </c>
      <c r="B1139" s="1">
        <f>DATE(2012,5,14) + TIME(5,16,49)</f>
        <v>41043.220011574071</v>
      </c>
      <c r="C1139">
        <v>80</v>
      </c>
      <c r="D1139">
        <v>79.951087951999995</v>
      </c>
      <c r="E1139">
        <v>50</v>
      </c>
      <c r="F1139">
        <v>48.689086914000001</v>
      </c>
      <c r="G1139">
        <v>1387.2752685999999</v>
      </c>
      <c r="H1139">
        <v>1372.5883789</v>
      </c>
      <c r="I1139">
        <v>1287.8005370999999</v>
      </c>
      <c r="J1139">
        <v>1268.6700439000001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744.60151599999995</v>
      </c>
      <c r="B1140" s="1">
        <f>DATE(2012,5,14) + TIME(14,26,10)</f>
        <v>41043.601504629631</v>
      </c>
      <c r="C1140">
        <v>80</v>
      </c>
      <c r="D1140">
        <v>79.951080321999996</v>
      </c>
      <c r="E1140">
        <v>50</v>
      </c>
      <c r="F1140">
        <v>48.659347533999998</v>
      </c>
      <c r="G1140">
        <v>1387.2196045000001</v>
      </c>
      <c r="H1140">
        <v>1372.5450439000001</v>
      </c>
      <c r="I1140">
        <v>1287.7995605000001</v>
      </c>
      <c r="J1140">
        <v>1268.6667480000001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744.98877200000004</v>
      </c>
      <c r="B1141" s="1">
        <f>DATE(2012,5,14) + TIME(23,43,49)</f>
        <v>41043.988761574074</v>
      </c>
      <c r="C1141">
        <v>80</v>
      </c>
      <c r="D1141">
        <v>79.951065063000001</v>
      </c>
      <c r="E1141">
        <v>50</v>
      </c>
      <c r="F1141">
        <v>48.629302979000002</v>
      </c>
      <c r="G1141">
        <v>1387.1635742000001</v>
      </c>
      <c r="H1141">
        <v>1372.5012207</v>
      </c>
      <c r="I1141">
        <v>1287.7980957</v>
      </c>
      <c r="J1141">
        <v>1268.6628418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745.38282500000003</v>
      </c>
      <c r="B1142" s="1">
        <f>DATE(2012,5,15) + TIME(9,11,16)</f>
        <v>41044.382824074077</v>
      </c>
      <c r="C1142">
        <v>80</v>
      </c>
      <c r="D1142">
        <v>79.951057434000006</v>
      </c>
      <c r="E1142">
        <v>50</v>
      </c>
      <c r="F1142">
        <v>48.598899840999998</v>
      </c>
      <c r="G1142">
        <v>1387.1070557</v>
      </c>
      <c r="H1142">
        <v>1372.4569091999999</v>
      </c>
      <c r="I1142">
        <v>1287.7958983999999</v>
      </c>
      <c r="J1142">
        <v>1268.6582031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745.78477899999996</v>
      </c>
      <c r="B1143" s="1">
        <f>DATE(2012,5,15) + TIME(18,50,4)</f>
        <v>41044.784768518519</v>
      </c>
      <c r="C1143">
        <v>80</v>
      </c>
      <c r="D1143">
        <v>79.951042174999998</v>
      </c>
      <c r="E1143">
        <v>50</v>
      </c>
      <c r="F1143">
        <v>48.568073273000003</v>
      </c>
      <c r="G1143">
        <v>1387.0501709</v>
      </c>
      <c r="H1143">
        <v>1372.4121094</v>
      </c>
      <c r="I1143">
        <v>1287.7932129000001</v>
      </c>
      <c r="J1143">
        <v>1268.652832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746.19477300000005</v>
      </c>
      <c r="B1144" s="1">
        <f>DATE(2012,5,16) + TIME(4,40,28)</f>
        <v>41045.194768518515</v>
      </c>
      <c r="C1144">
        <v>80</v>
      </c>
      <c r="D1144">
        <v>79.951034546000002</v>
      </c>
      <c r="E1144">
        <v>50</v>
      </c>
      <c r="F1144">
        <v>48.536800384999999</v>
      </c>
      <c r="G1144">
        <v>1386.9926757999999</v>
      </c>
      <c r="H1144">
        <v>1372.3666992000001</v>
      </c>
      <c r="I1144">
        <v>1287.7896728999999</v>
      </c>
      <c r="J1144">
        <v>1268.6468506000001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746.61368100000004</v>
      </c>
      <c r="B1145" s="1">
        <f>DATE(2012,5,16) + TIME(14,43,42)</f>
        <v>41045.613680555558</v>
      </c>
      <c r="C1145">
        <v>80</v>
      </c>
      <c r="D1145">
        <v>79.951019286999994</v>
      </c>
      <c r="E1145">
        <v>50</v>
      </c>
      <c r="F1145">
        <v>48.505035399999997</v>
      </c>
      <c r="G1145">
        <v>1386.9345702999999</v>
      </c>
      <c r="H1145">
        <v>1372.3208007999999</v>
      </c>
      <c r="I1145">
        <v>1287.7856445</v>
      </c>
      <c r="J1145">
        <v>1268.6400146000001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747.04271100000005</v>
      </c>
      <c r="B1146" s="1">
        <f>DATE(2012,5,17) + TIME(1,1,30)</f>
        <v>41046.042708333334</v>
      </c>
      <c r="C1146">
        <v>80</v>
      </c>
      <c r="D1146">
        <v>79.951004028</v>
      </c>
      <c r="E1146">
        <v>50</v>
      </c>
      <c r="F1146">
        <v>48.472702026</v>
      </c>
      <c r="G1146">
        <v>1386.8758545000001</v>
      </c>
      <c r="H1146">
        <v>1372.2741699000001</v>
      </c>
      <c r="I1146">
        <v>1287.7808838000001</v>
      </c>
      <c r="J1146">
        <v>1268.6326904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747.48317699999996</v>
      </c>
      <c r="B1147" s="1">
        <f>DATE(2012,5,17) + TIME(11,35,46)</f>
        <v>41046.483171296299</v>
      </c>
      <c r="C1147">
        <v>80</v>
      </c>
      <c r="D1147">
        <v>79.950988769999995</v>
      </c>
      <c r="E1147">
        <v>50</v>
      </c>
      <c r="F1147">
        <v>48.439727783000002</v>
      </c>
      <c r="G1147">
        <v>1386.8165283000001</v>
      </c>
      <c r="H1147">
        <v>1372.2270507999999</v>
      </c>
      <c r="I1147">
        <v>1287.7755127</v>
      </c>
      <c r="J1147">
        <v>1268.6245117000001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747.93653200000006</v>
      </c>
      <c r="B1148" s="1">
        <f>DATE(2012,5,17) + TIME(22,28,36)</f>
        <v>41046.936527777776</v>
      </c>
      <c r="C1148">
        <v>80</v>
      </c>
      <c r="D1148">
        <v>79.950973511000001</v>
      </c>
      <c r="E1148">
        <v>50</v>
      </c>
      <c r="F1148">
        <v>48.406017302999999</v>
      </c>
      <c r="G1148">
        <v>1386.7563477000001</v>
      </c>
      <c r="H1148">
        <v>1372.1790771000001</v>
      </c>
      <c r="I1148">
        <v>1287.7695312000001</v>
      </c>
      <c r="J1148">
        <v>1268.6156006000001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748.40456600000005</v>
      </c>
      <c r="B1149" s="1">
        <f>DATE(2012,5,18) + TIME(9,42,34)</f>
        <v>41047.404560185183</v>
      </c>
      <c r="C1149">
        <v>80</v>
      </c>
      <c r="D1149">
        <v>79.950958252000007</v>
      </c>
      <c r="E1149">
        <v>50</v>
      </c>
      <c r="F1149">
        <v>48.371471405000001</v>
      </c>
      <c r="G1149">
        <v>1386.6950684000001</v>
      </c>
      <c r="H1149">
        <v>1372.1303711</v>
      </c>
      <c r="I1149">
        <v>1287.7629394999999</v>
      </c>
      <c r="J1149">
        <v>1268.605957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748.88721899999996</v>
      </c>
      <c r="B1150" s="1">
        <f>DATE(2012,5,18) + TIME(21,17,35)</f>
        <v>41047.88721064815</v>
      </c>
      <c r="C1150">
        <v>80</v>
      </c>
      <c r="D1150">
        <v>79.950942992999998</v>
      </c>
      <c r="E1150">
        <v>50</v>
      </c>
      <c r="F1150">
        <v>48.336059570000003</v>
      </c>
      <c r="G1150">
        <v>1386.6329346</v>
      </c>
      <c r="H1150">
        <v>1372.0806885</v>
      </c>
      <c r="I1150">
        <v>1287.7554932</v>
      </c>
      <c r="J1150">
        <v>1268.5954589999999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749.37238200000002</v>
      </c>
      <c r="B1151" s="1">
        <f>DATE(2012,5,19) + TIME(8,56,13)</f>
        <v>41048.372372685182</v>
      </c>
      <c r="C1151">
        <v>80</v>
      </c>
      <c r="D1151">
        <v>79.950927734000004</v>
      </c>
      <c r="E1151">
        <v>50</v>
      </c>
      <c r="F1151">
        <v>48.300327301000003</v>
      </c>
      <c r="G1151">
        <v>1386.5699463000001</v>
      </c>
      <c r="H1151">
        <v>1372.0302733999999</v>
      </c>
      <c r="I1151">
        <v>1287.7473144999999</v>
      </c>
      <c r="J1151">
        <v>1268.5842285000001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749.86143800000002</v>
      </c>
      <c r="B1152" s="1">
        <f>DATE(2012,5,19) + TIME(20,40,28)</f>
        <v>41048.861435185187</v>
      </c>
      <c r="C1152">
        <v>80</v>
      </c>
      <c r="D1152">
        <v>79.950912475999999</v>
      </c>
      <c r="E1152">
        <v>50</v>
      </c>
      <c r="F1152">
        <v>48.264320374</v>
      </c>
      <c r="G1152">
        <v>1386.5073242000001</v>
      </c>
      <c r="H1152">
        <v>1371.9802245999999</v>
      </c>
      <c r="I1152">
        <v>1287.7387695</v>
      </c>
      <c r="J1152">
        <v>1268.5725098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750.35573299999999</v>
      </c>
      <c r="B1153" s="1">
        <f>DATE(2012,5,20) + TIME(8,32,15)</f>
        <v>41049.355729166666</v>
      </c>
      <c r="C1153">
        <v>80</v>
      </c>
      <c r="D1153">
        <v>79.950897217000005</v>
      </c>
      <c r="E1153">
        <v>50</v>
      </c>
      <c r="F1153">
        <v>48.228042602999999</v>
      </c>
      <c r="G1153">
        <v>1386.4451904</v>
      </c>
      <c r="H1153">
        <v>1371.9305420000001</v>
      </c>
      <c r="I1153">
        <v>1287.7297363</v>
      </c>
      <c r="J1153">
        <v>1268.5601807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750.85662600000001</v>
      </c>
      <c r="B1154" s="1">
        <f>DATE(2012,5,20) + TIME(20,33,32)</f>
        <v>41049.856620370374</v>
      </c>
      <c r="C1154">
        <v>80</v>
      </c>
      <c r="D1154">
        <v>79.950881957999997</v>
      </c>
      <c r="E1154">
        <v>50</v>
      </c>
      <c r="F1154">
        <v>48.191455841</v>
      </c>
      <c r="G1154">
        <v>1386.3834228999999</v>
      </c>
      <c r="H1154">
        <v>1371.8808594</v>
      </c>
      <c r="I1154">
        <v>1287.7203368999999</v>
      </c>
      <c r="J1154">
        <v>1268.5474853999999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751.36551399999996</v>
      </c>
      <c r="B1155" s="1">
        <f>DATE(2012,5,21) + TIME(8,46,20)</f>
        <v>41050.36550925926</v>
      </c>
      <c r="C1155">
        <v>80</v>
      </c>
      <c r="D1155">
        <v>79.950866699000002</v>
      </c>
      <c r="E1155">
        <v>50</v>
      </c>
      <c r="F1155">
        <v>48.154499053999999</v>
      </c>
      <c r="G1155">
        <v>1386.3216553</v>
      </c>
      <c r="H1155">
        <v>1371.8312988</v>
      </c>
      <c r="I1155">
        <v>1287.7104492000001</v>
      </c>
      <c r="J1155">
        <v>1268.5341797000001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751.883869</v>
      </c>
      <c r="B1156" s="1">
        <f>DATE(2012,5,21) + TIME(21,12,46)</f>
        <v>41050.88386574074</v>
      </c>
      <c r="C1156">
        <v>80</v>
      </c>
      <c r="D1156">
        <v>79.950851439999994</v>
      </c>
      <c r="E1156">
        <v>50</v>
      </c>
      <c r="F1156">
        <v>48.117099762000002</v>
      </c>
      <c r="G1156">
        <v>1386.2600098</v>
      </c>
      <c r="H1156">
        <v>1371.7817382999999</v>
      </c>
      <c r="I1156">
        <v>1287.7000731999999</v>
      </c>
      <c r="J1156">
        <v>1268.5203856999999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752.40792099999999</v>
      </c>
      <c r="B1157" s="1">
        <f>DATE(2012,5,22) + TIME(9,47,24)</f>
        <v>41051.407916666663</v>
      </c>
      <c r="C1157">
        <v>80</v>
      </c>
      <c r="D1157">
        <v>79.950843810999999</v>
      </c>
      <c r="E1157">
        <v>50</v>
      </c>
      <c r="F1157">
        <v>48.079402924</v>
      </c>
      <c r="G1157">
        <v>1386.1982422000001</v>
      </c>
      <c r="H1157">
        <v>1371.7320557</v>
      </c>
      <c r="I1157">
        <v>1287.6893310999999</v>
      </c>
      <c r="J1157">
        <v>1268.5061035000001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752.93890099999999</v>
      </c>
      <c r="B1158" s="1">
        <f>DATE(2012,5,22) + TIME(22,32,1)</f>
        <v>41051.938900462963</v>
      </c>
      <c r="C1158">
        <v>80</v>
      </c>
      <c r="D1158">
        <v>79.950828552000004</v>
      </c>
      <c r="E1158">
        <v>50</v>
      </c>
      <c r="F1158">
        <v>48.041381835999999</v>
      </c>
      <c r="G1158">
        <v>1386.1367187999999</v>
      </c>
      <c r="H1158">
        <v>1371.6826172000001</v>
      </c>
      <c r="I1158">
        <v>1287.6781006000001</v>
      </c>
      <c r="J1158">
        <v>1268.4913329999999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753.47817699999996</v>
      </c>
      <c r="B1159" s="1">
        <f>DATE(2012,5,23) + TIME(11,28,34)</f>
        <v>41052.478171296294</v>
      </c>
      <c r="C1159">
        <v>80</v>
      </c>
      <c r="D1159">
        <v>79.950813292999996</v>
      </c>
      <c r="E1159">
        <v>50</v>
      </c>
      <c r="F1159">
        <v>48.002983092999997</v>
      </c>
      <c r="G1159">
        <v>1386.0754394999999</v>
      </c>
      <c r="H1159">
        <v>1371.6333007999999</v>
      </c>
      <c r="I1159">
        <v>1287.666626</v>
      </c>
      <c r="J1159">
        <v>1268.4760742000001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754.02718200000004</v>
      </c>
      <c r="B1160" s="1">
        <f>DATE(2012,5,24) + TIME(0,39,8)</f>
        <v>41053.027175925927</v>
      </c>
      <c r="C1160">
        <v>80</v>
      </c>
      <c r="D1160">
        <v>79.950805664000001</v>
      </c>
      <c r="E1160">
        <v>50</v>
      </c>
      <c r="F1160">
        <v>47.964141845999997</v>
      </c>
      <c r="G1160">
        <v>1386.0141602000001</v>
      </c>
      <c r="H1160">
        <v>1371.5838623</v>
      </c>
      <c r="I1160">
        <v>1287.6546631000001</v>
      </c>
      <c r="J1160">
        <v>1268.4604492000001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754.58745799999997</v>
      </c>
      <c r="B1161" s="1">
        <f>DATE(2012,5,24) + TIME(14,5,56)</f>
        <v>41053.587453703702</v>
      </c>
      <c r="C1161">
        <v>80</v>
      </c>
      <c r="D1161">
        <v>79.950790405000006</v>
      </c>
      <c r="E1161">
        <v>50</v>
      </c>
      <c r="F1161">
        <v>47.924770355</v>
      </c>
      <c r="G1161">
        <v>1385.9528809000001</v>
      </c>
      <c r="H1161">
        <v>1371.5344238</v>
      </c>
      <c r="I1161">
        <v>1287.6422118999999</v>
      </c>
      <c r="J1161">
        <v>1268.4442139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755.16067199999998</v>
      </c>
      <c r="B1162" s="1">
        <f>DATE(2012,5,25) + TIME(3,51,22)</f>
        <v>41054.160671296297</v>
      </c>
      <c r="C1162">
        <v>80</v>
      </c>
      <c r="D1162">
        <v>79.950782775999997</v>
      </c>
      <c r="E1162">
        <v>50</v>
      </c>
      <c r="F1162">
        <v>47.884780884000001</v>
      </c>
      <c r="G1162">
        <v>1385.8912353999999</v>
      </c>
      <c r="H1162">
        <v>1371.4847411999999</v>
      </c>
      <c r="I1162">
        <v>1287.6293945</v>
      </c>
      <c r="J1162">
        <v>1268.4273682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755.74865199999999</v>
      </c>
      <c r="B1163" s="1">
        <f>DATE(2012,5,25) + TIME(17,58,3)</f>
        <v>41054.748645833337</v>
      </c>
      <c r="C1163">
        <v>80</v>
      </c>
      <c r="D1163">
        <v>79.950767517000003</v>
      </c>
      <c r="E1163">
        <v>50</v>
      </c>
      <c r="F1163">
        <v>47.844062805</v>
      </c>
      <c r="G1163">
        <v>1385.8293457</v>
      </c>
      <c r="H1163">
        <v>1371.4346923999999</v>
      </c>
      <c r="I1163">
        <v>1287.6160889</v>
      </c>
      <c r="J1163">
        <v>1268.4099120999999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756.35345299999994</v>
      </c>
      <c r="B1164" s="1">
        <f>DATE(2012,5,26) + TIME(8,28,58)</f>
        <v>41055.353449074071</v>
      </c>
      <c r="C1164">
        <v>80</v>
      </c>
      <c r="D1164">
        <v>79.950759887999993</v>
      </c>
      <c r="E1164">
        <v>50</v>
      </c>
      <c r="F1164">
        <v>47.802497864000003</v>
      </c>
      <c r="G1164">
        <v>1385.7668457</v>
      </c>
      <c r="H1164">
        <v>1371.3842772999999</v>
      </c>
      <c r="I1164">
        <v>1287.6022949000001</v>
      </c>
      <c r="J1164">
        <v>1268.3918457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756.97479199999998</v>
      </c>
      <c r="B1165" s="1">
        <f>DATE(2012,5,26) + TIME(23,23,42)</f>
        <v>41055.974791666667</v>
      </c>
      <c r="C1165">
        <v>80</v>
      </c>
      <c r="D1165">
        <v>79.950752257999994</v>
      </c>
      <c r="E1165">
        <v>50</v>
      </c>
      <c r="F1165">
        <v>47.760059357000003</v>
      </c>
      <c r="G1165">
        <v>1385.7036132999999</v>
      </c>
      <c r="H1165">
        <v>1371.3332519999999</v>
      </c>
      <c r="I1165">
        <v>1287.5877685999999</v>
      </c>
      <c r="J1165">
        <v>1268.3730469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757.60013900000001</v>
      </c>
      <c r="B1166" s="1">
        <f>DATE(2012,5,27) + TIME(14,24,12)</f>
        <v>41056.600138888891</v>
      </c>
      <c r="C1166">
        <v>80</v>
      </c>
      <c r="D1166">
        <v>79.950737000000004</v>
      </c>
      <c r="E1166">
        <v>50</v>
      </c>
      <c r="F1166">
        <v>47.717212676999999</v>
      </c>
      <c r="G1166">
        <v>1385.6401367000001</v>
      </c>
      <c r="H1166">
        <v>1371.2818603999999</v>
      </c>
      <c r="I1166">
        <v>1287.572876</v>
      </c>
      <c r="J1166">
        <v>1268.3535156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758.23130300000003</v>
      </c>
      <c r="B1167" s="1">
        <f>DATE(2012,5,28) + TIME(5,33,4)</f>
        <v>41057.231296296297</v>
      </c>
      <c r="C1167">
        <v>80</v>
      </c>
      <c r="D1167">
        <v>79.950729370000005</v>
      </c>
      <c r="E1167">
        <v>50</v>
      </c>
      <c r="F1167">
        <v>47.674041748</v>
      </c>
      <c r="G1167">
        <v>1385.5772704999999</v>
      </c>
      <c r="H1167">
        <v>1371.230957</v>
      </c>
      <c r="I1167">
        <v>1287.5574951000001</v>
      </c>
      <c r="J1167">
        <v>1268.3336182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758.87005699999997</v>
      </c>
      <c r="B1168" s="1">
        <f>DATE(2012,5,28) + TIME(20,52,52)</f>
        <v>41057.870046296295</v>
      </c>
      <c r="C1168">
        <v>80</v>
      </c>
      <c r="D1168">
        <v>79.950721740999995</v>
      </c>
      <c r="E1168">
        <v>50</v>
      </c>
      <c r="F1168">
        <v>47.630538940000001</v>
      </c>
      <c r="G1168">
        <v>1385.5146483999999</v>
      </c>
      <c r="H1168">
        <v>1371.1804199000001</v>
      </c>
      <c r="I1168">
        <v>1287.5418701000001</v>
      </c>
      <c r="J1168">
        <v>1268.3133545000001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759.51822500000003</v>
      </c>
      <c r="B1169" s="1">
        <f>DATE(2012,5,29) + TIME(12,26,14)</f>
        <v>41058.518217592595</v>
      </c>
      <c r="C1169">
        <v>80</v>
      </c>
      <c r="D1169">
        <v>79.950714110999996</v>
      </c>
      <c r="E1169">
        <v>50</v>
      </c>
      <c r="F1169">
        <v>47.586650847999998</v>
      </c>
      <c r="G1169">
        <v>1385.4525146000001</v>
      </c>
      <c r="H1169">
        <v>1371.1300048999999</v>
      </c>
      <c r="I1169">
        <v>1287.526001</v>
      </c>
      <c r="J1169">
        <v>1268.2926024999999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760.17771200000004</v>
      </c>
      <c r="B1170" s="1">
        <f>DATE(2012,5,30) + TIME(4,15,54)</f>
        <v>41059.177708333336</v>
      </c>
      <c r="C1170">
        <v>80</v>
      </c>
      <c r="D1170">
        <v>79.950706482000001</v>
      </c>
      <c r="E1170">
        <v>50</v>
      </c>
      <c r="F1170">
        <v>47.542293549</v>
      </c>
      <c r="G1170">
        <v>1385.3903809000001</v>
      </c>
      <c r="H1170">
        <v>1371.0797118999999</v>
      </c>
      <c r="I1170">
        <v>1287.5096435999999</v>
      </c>
      <c r="J1170">
        <v>1268.2712402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760.85053400000004</v>
      </c>
      <c r="B1171" s="1">
        <f>DATE(2012,5,30) + TIME(20,24,46)</f>
        <v>41059.850532407407</v>
      </c>
      <c r="C1171">
        <v>80</v>
      </c>
      <c r="D1171">
        <v>79.950698853000006</v>
      </c>
      <c r="E1171">
        <v>50</v>
      </c>
      <c r="F1171">
        <v>47.497364044000001</v>
      </c>
      <c r="G1171">
        <v>1385.3282471</v>
      </c>
      <c r="H1171">
        <v>1371.0292969</v>
      </c>
      <c r="I1171">
        <v>1287.4927978999999</v>
      </c>
      <c r="J1171">
        <v>1268.2492675999999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761.53448100000003</v>
      </c>
      <c r="B1172" s="1">
        <f>DATE(2012,5,31) + TIME(12,49,39)</f>
        <v>41060.534479166665</v>
      </c>
      <c r="C1172">
        <v>80</v>
      </c>
      <c r="D1172">
        <v>79.950691223000007</v>
      </c>
      <c r="E1172">
        <v>50</v>
      </c>
      <c r="F1172">
        <v>47.451904296999999</v>
      </c>
      <c r="G1172">
        <v>1385.2659911999999</v>
      </c>
      <c r="H1172">
        <v>1370.9788818</v>
      </c>
      <c r="I1172">
        <v>1287.4754639</v>
      </c>
      <c r="J1172">
        <v>1268.2266846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762</v>
      </c>
      <c r="B1173" s="1">
        <f>DATE(2012,6,1) + TIME(0,0,0)</f>
        <v>41061</v>
      </c>
      <c r="C1173">
        <v>80</v>
      </c>
      <c r="D1173">
        <v>79.950660705999994</v>
      </c>
      <c r="E1173">
        <v>50</v>
      </c>
      <c r="F1173">
        <v>47.415626525999997</v>
      </c>
      <c r="G1173">
        <v>1385.2097168</v>
      </c>
      <c r="H1173">
        <v>1370.9337158000001</v>
      </c>
      <c r="I1173">
        <v>1287.4581298999999</v>
      </c>
      <c r="J1173">
        <v>1268.2056885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762.69263000000001</v>
      </c>
      <c r="B1174" s="1">
        <f>DATE(2012,6,1) + TIME(16,37,23)</f>
        <v>41061.692627314813</v>
      </c>
      <c r="C1174">
        <v>80</v>
      </c>
      <c r="D1174">
        <v>79.950683593999997</v>
      </c>
      <c r="E1174">
        <v>50</v>
      </c>
      <c r="F1174">
        <v>47.372142791999998</v>
      </c>
      <c r="G1174">
        <v>1385.1599120999999</v>
      </c>
      <c r="H1174">
        <v>1370.8927002</v>
      </c>
      <c r="I1174">
        <v>1287.4451904</v>
      </c>
      <c r="J1174">
        <v>1268.1866454999999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763.40424499999995</v>
      </c>
      <c r="B1175" s="1">
        <f>DATE(2012,6,2) + TIME(9,42,6)</f>
        <v>41062.404236111113</v>
      </c>
      <c r="C1175">
        <v>80</v>
      </c>
      <c r="D1175">
        <v>79.950675963999998</v>
      </c>
      <c r="E1175">
        <v>50</v>
      </c>
      <c r="F1175">
        <v>47.326881409000002</v>
      </c>
      <c r="G1175">
        <v>1385.0999756000001</v>
      </c>
      <c r="H1175">
        <v>1370.8439940999999</v>
      </c>
      <c r="I1175">
        <v>1287.4272461</v>
      </c>
      <c r="J1175">
        <v>1268.1632079999999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764.12961499999994</v>
      </c>
      <c r="B1176" s="1">
        <f>DATE(2012,6,3) + TIME(3,6,38)</f>
        <v>41063.129606481481</v>
      </c>
      <c r="C1176">
        <v>80</v>
      </c>
      <c r="D1176">
        <v>79.950675963999998</v>
      </c>
      <c r="E1176">
        <v>50</v>
      </c>
      <c r="F1176">
        <v>47.280357361</v>
      </c>
      <c r="G1176">
        <v>1385.0384521000001</v>
      </c>
      <c r="H1176">
        <v>1370.7940673999999</v>
      </c>
      <c r="I1176">
        <v>1287.4083252</v>
      </c>
      <c r="J1176">
        <v>1268.1385498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764.87110900000005</v>
      </c>
      <c r="B1177" s="1">
        <f>DATE(2012,6,3) + TIME(20,54,23)</f>
        <v>41063.871099537035</v>
      </c>
      <c r="C1177">
        <v>80</v>
      </c>
      <c r="D1177">
        <v>79.950668335000003</v>
      </c>
      <c r="E1177">
        <v>50</v>
      </c>
      <c r="F1177">
        <v>47.232757567999997</v>
      </c>
      <c r="G1177">
        <v>1384.9764404</v>
      </c>
      <c r="H1177">
        <v>1370.7436522999999</v>
      </c>
      <c r="I1177">
        <v>1287.3886719</v>
      </c>
      <c r="J1177">
        <v>1268.1129149999999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765.63115100000005</v>
      </c>
      <c r="B1178" s="1">
        <f>DATE(2012,6,4) + TIME(15,8,51)</f>
        <v>41064.631145833337</v>
      </c>
      <c r="C1178">
        <v>80</v>
      </c>
      <c r="D1178">
        <v>79.950668335000003</v>
      </c>
      <c r="E1178">
        <v>50</v>
      </c>
      <c r="F1178">
        <v>47.184120178000001</v>
      </c>
      <c r="G1178">
        <v>1384.9140625</v>
      </c>
      <c r="H1178">
        <v>1370.6928711</v>
      </c>
      <c r="I1178">
        <v>1287.3685303</v>
      </c>
      <c r="J1178">
        <v>1268.0863036999999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766.40254800000002</v>
      </c>
      <c r="B1179" s="1">
        <f>DATE(2012,6,5) + TIME(9,39,40)</f>
        <v>41065.402546296296</v>
      </c>
      <c r="C1179">
        <v>80</v>
      </c>
      <c r="D1179">
        <v>79.950660705999994</v>
      </c>
      <c r="E1179">
        <v>50</v>
      </c>
      <c r="F1179">
        <v>47.134719849</v>
      </c>
      <c r="G1179">
        <v>1384.8513184000001</v>
      </c>
      <c r="H1179">
        <v>1370.6417236</v>
      </c>
      <c r="I1179">
        <v>1287.3475341999999</v>
      </c>
      <c r="J1179">
        <v>1268.0588379000001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767.177052</v>
      </c>
      <c r="B1180" s="1">
        <f>DATE(2012,6,6) + TIME(4,14,57)</f>
        <v>41066.177048611113</v>
      </c>
      <c r="C1180">
        <v>80</v>
      </c>
      <c r="D1180">
        <v>79.950660705999994</v>
      </c>
      <c r="E1180">
        <v>50</v>
      </c>
      <c r="F1180">
        <v>47.084949493000003</v>
      </c>
      <c r="G1180">
        <v>1384.7886963000001</v>
      </c>
      <c r="H1180">
        <v>1370.5908202999999</v>
      </c>
      <c r="I1180">
        <v>1287.3261719</v>
      </c>
      <c r="J1180">
        <v>1268.0306396000001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767.95673799999997</v>
      </c>
      <c r="B1181" s="1">
        <f>DATE(2012,6,6) + TIME(22,57,42)</f>
        <v>41066.956736111111</v>
      </c>
      <c r="C1181">
        <v>80</v>
      </c>
      <c r="D1181">
        <v>79.950653075999995</v>
      </c>
      <c r="E1181">
        <v>50</v>
      </c>
      <c r="F1181">
        <v>47.034938812</v>
      </c>
      <c r="G1181">
        <v>1384.7266846</v>
      </c>
      <c r="H1181">
        <v>1370.5402832</v>
      </c>
      <c r="I1181">
        <v>1287.3043213000001</v>
      </c>
      <c r="J1181">
        <v>1268.0019531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768.74366299999997</v>
      </c>
      <c r="B1182" s="1">
        <f>DATE(2012,6,7) + TIME(17,50,52)</f>
        <v>41067.743657407409</v>
      </c>
      <c r="C1182">
        <v>80</v>
      </c>
      <c r="D1182">
        <v>79.950653075999995</v>
      </c>
      <c r="E1182">
        <v>50</v>
      </c>
      <c r="F1182">
        <v>46.984680175999998</v>
      </c>
      <c r="G1182">
        <v>1384.6652832</v>
      </c>
      <c r="H1182">
        <v>1370.4902344</v>
      </c>
      <c r="I1182">
        <v>1287.2821045000001</v>
      </c>
      <c r="J1182">
        <v>1267.9725341999999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769.53992300000004</v>
      </c>
      <c r="B1183" s="1">
        <f>DATE(2012,6,8) + TIME(12,57,29)</f>
        <v>41068.539918981478</v>
      </c>
      <c r="C1183">
        <v>80</v>
      </c>
      <c r="D1183">
        <v>79.950653075999995</v>
      </c>
      <c r="E1183">
        <v>50</v>
      </c>
      <c r="F1183">
        <v>46.934108733999999</v>
      </c>
      <c r="G1183">
        <v>1384.6042480000001</v>
      </c>
      <c r="H1183">
        <v>1370.4403076000001</v>
      </c>
      <c r="I1183">
        <v>1287.2595214999999</v>
      </c>
      <c r="J1183">
        <v>1267.9425048999999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770.347666</v>
      </c>
      <c r="B1184" s="1">
        <f>DATE(2012,6,9) + TIME(8,20,38)</f>
        <v>41069.347662037035</v>
      </c>
      <c r="C1184">
        <v>80</v>
      </c>
      <c r="D1184">
        <v>79.950653075999995</v>
      </c>
      <c r="E1184">
        <v>50</v>
      </c>
      <c r="F1184">
        <v>46.88312912</v>
      </c>
      <c r="G1184">
        <v>1384.543457</v>
      </c>
      <c r="H1184">
        <v>1370.390625</v>
      </c>
      <c r="I1184">
        <v>1287.2363281</v>
      </c>
      <c r="J1184">
        <v>1267.9117432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771.16915900000004</v>
      </c>
      <c r="B1185" s="1">
        <f>DATE(2012,6,10) + TIME(4,3,35)</f>
        <v>41070.16915509259</v>
      </c>
      <c r="C1185">
        <v>80</v>
      </c>
      <c r="D1185">
        <v>79.950653075999995</v>
      </c>
      <c r="E1185">
        <v>50</v>
      </c>
      <c r="F1185">
        <v>46.831615448000001</v>
      </c>
      <c r="G1185">
        <v>1384.4826660000001</v>
      </c>
      <c r="H1185">
        <v>1370.3409423999999</v>
      </c>
      <c r="I1185">
        <v>1287.2126464999999</v>
      </c>
      <c r="J1185">
        <v>1267.8800048999999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772.006798</v>
      </c>
      <c r="B1186" s="1">
        <f>DATE(2012,6,11) + TIME(0,9,47)</f>
        <v>41071.006793981483</v>
      </c>
      <c r="C1186">
        <v>80</v>
      </c>
      <c r="D1186">
        <v>79.950653075999995</v>
      </c>
      <c r="E1186">
        <v>50</v>
      </c>
      <c r="F1186">
        <v>46.779438018999997</v>
      </c>
      <c r="G1186">
        <v>1384.421875</v>
      </c>
      <c r="H1186">
        <v>1370.2912598</v>
      </c>
      <c r="I1186">
        <v>1287.1881103999999</v>
      </c>
      <c r="J1186">
        <v>1267.8472899999999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772.86318700000004</v>
      </c>
      <c r="B1187" s="1">
        <f>DATE(2012,6,11) + TIME(20,42,59)</f>
        <v>41071.863182870373</v>
      </c>
      <c r="C1187">
        <v>80</v>
      </c>
      <c r="D1187">
        <v>79.950653075999995</v>
      </c>
      <c r="E1187">
        <v>50</v>
      </c>
      <c r="F1187">
        <v>46.726448058999999</v>
      </c>
      <c r="G1187">
        <v>1384.3607178</v>
      </c>
      <c r="H1187">
        <v>1370.2412108999999</v>
      </c>
      <c r="I1187">
        <v>1287.1628418</v>
      </c>
      <c r="J1187">
        <v>1267.8134766000001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773.74128099999996</v>
      </c>
      <c r="B1188" s="1">
        <f>DATE(2012,6,12) + TIME(17,47,26)</f>
        <v>41072.741273148145</v>
      </c>
      <c r="C1188">
        <v>80</v>
      </c>
      <c r="D1188">
        <v>79.950660705999994</v>
      </c>
      <c r="E1188">
        <v>50</v>
      </c>
      <c r="F1188">
        <v>46.672485352000002</v>
      </c>
      <c r="G1188">
        <v>1384.2993164</v>
      </c>
      <c r="H1188">
        <v>1370.1907959</v>
      </c>
      <c r="I1188">
        <v>1287.1367187999999</v>
      </c>
      <c r="J1188">
        <v>1267.7783202999999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774.63815699999998</v>
      </c>
      <c r="B1189" s="1">
        <f>DATE(2012,6,13) + TIME(15,18,56)</f>
        <v>41073.638148148151</v>
      </c>
      <c r="C1189">
        <v>80</v>
      </c>
      <c r="D1189">
        <v>79.950660705999994</v>
      </c>
      <c r="E1189">
        <v>50</v>
      </c>
      <c r="F1189">
        <v>46.617549896</v>
      </c>
      <c r="G1189">
        <v>1384.2373047000001</v>
      </c>
      <c r="H1189">
        <v>1370.1400146000001</v>
      </c>
      <c r="I1189">
        <v>1287.1094971</v>
      </c>
      <c r="J1189">
        <v>1267.7418213000001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775.54818499999999</v>
      </c>
      <c r="B1190" s="1">
        <f>DATE(2012,6,14) + TIME(13,9,23)</f>
        <v>41074.548182870371</v>
      </c>
      <c r="C1190">
        <v>80</v>
      </c>
      <c r="D1190">
        <v>79.950668335000003</v>
      </c>
      <c r="E1190">
        <v>50</v>
      </c>
      <c r="F1190">
        <v>46.561813354000002</v>
      </c>
      <c r="G1190">
        <v>1384.1750488</v>
      </c>
      <c r="H1190">
        <v>1370.0888672000001</v>
      </c>
      <c r="I1190">
        <v>1287.0814209</v>
      </c>
      <c r="J1190">
        <v>1267.7039795000001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776.46427800000004</v>
      </c>
      <c r="B1191" s="1">
        <f>DATE(2012,6,15) + TIME(11,8,33)</f>
        <v>41075.464270833334</v>
      </c>
      <c r="C1191">
        <v>80</v>
      </c>
      <c r="D1191">
        <v>79.950668335000003</v>
      </c>
      <c r="E1191">
        <v>50</v>
      </c>
      <c r="F1191">
        <v>46.505577086999999</v>
      </c>
      <c r="G1191">
        <v>1384.1129149999999</v>
      </c>
      <c r="H1191">
        <v>1370.0378418</v>
      </c>
      <c r="I1191">
        <v>1287.0524902</v>
      </c>
      <c r="J1191">
        <v>1267.6649170000001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777.38368600000001</v>
      </c>
      <c r="B1192" s="1">
        <f>DATE(2012,6,16) + TIME(9,12,30)</f>
        <v>41076.383680555555</v>
      </c>
      <c r="C1192">
        <v>80</v>
      </c>
      <c r="D1192">
        <v>79.950675963999998</v>
      </c>
      <c r="E1192">
        <v>50</v>
      </c>
      <c r="F1192">
        <v>46.449089049999998</v>
      </c>
      <c r="G1192">
        <v>1384.0512695</v>
      </c>
      <c r="H1192">
        <v>1369.9873047000001</v>
      </c>
      <c r="I1192">
        <v>1287.0229492000001</v>
      </c>
      <c r="J1192">
        <v>1267.6248779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778.30887700000005</v>
      </c>
      <c r="B1193" s="1">
        <f>DATE(2012,6,17) + TIME(7,24,46)</f>
        <v>41077.308865740742</v>
      </c>
      <c r="C1193">
        <v>80</v>
      </c>
      <c r="D1193">
        <v>79.950675963999998</v>
      </c>
      <c r="E1193">
        <v>50</v>
      </c>
      <c r="F1193">
        <v>46.392391205000003</v>
      </c>
      <c r="G1193">
        <v>1383.9902344</v>
      </c>
      <c r="H1193">
        <v>1369.9371338000001</v>
      </c>
      <c r="I1193">
        <v>1286.9929199000001</v>
      </c>
      <c r="J1193">
        <v>1267.5839844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779.24230799999998</v>
      </c>
      <c r="B1194" s="1">
        <f>DATE(2012,6,18) + TIME(5,48,55)</f>
        <v>41078.242303240739</v>
      </c>
      <c r="C1194">
        <v>80</v>
      </c>
      <c r="D1194">
        <v>79.950683593999997</v>
      </c>
      <c r="E1194">
        <v>50</v>
      </c>
      <c r="F1194">
        <v>46.335426331000001</v>
      </c>
      <c r="G1194">
        <v>1383.9296875</v>
      </c>
      <c r="H1194">
        <v>1369.887207</v>
      </c>
      <c r="I1194">
        <v>1286.9622803</v>
      </c>
      <c r="J1194">
        <v>1267.5421143000001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780.18648299999995</v>
      </c>
      <c r="B1195" s="1">
        <f>DATE(2012,6,19) + TIME(4,28,32)</f>
        <v>41079.186481481483</v>
      </c>
      <c r="C1195">
        <v>80</v>
      </c>
      <c r="D1195">
        <v>79.950691223000007</v>
      </c>
      <c r="E1195">
        <v>50</v>
      </c>
      <c r="F1195">
        <v>46.278079986999998</v>
      </c>
      <c r="G1195">
        <v>1383.8695068</v>
      </c>
      <c r="H1195">
        <v>1369.8376464999999</v>
      </c>
      <c r="I1195">
        <v>1286.9309082</v>
      </c>
      <c r="J1195">
        <v>1267.4991454999999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781.14398100000005</v>
      </c>
      <c r="B1196" s="1">
        <f>DATE(2012,6,20) + TIME(3,27,19)</f>
        <v>41080.143969907411</v>
      </c>
      <c r="C1196">
        <v>80</v>
      </c>
      <c r="D1196">
        <v>79.950698853000006</v>
      </c>
      <c r="E1196">
        <v>50</v>
      </c>
      <c r="F1196">
        <v>46.220214843999997</v>
      </c>
      <c r="G1196">
        <v>1383.8094481999999</v>
      </c>
      <c r="H1196">
        <v>1369.7880858999999</v>
      </c>
      <c r="I1196">
        <v>1286.8986815999999</v>
      </c>
      <c r="J1196">
        <v>1267.4548339999999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782.11750400000005</v>
      </c>
      <c r="B1197" s="1">
        <f>DATE(2012,6,21) + TIME(2,49,12)</f>
        <v>41081.1175</v>
      </c>
      <c r="C1197">
        <v>80</v>
      </c>
      <c r="D1197">
        <v>79.950706482000001</v>
      </c>
      <c r="E1197">
        <v>50</v>
      </c>
      <c r="F1197">
        <v>46.161678314</v>
      </c>
      <c r="G1197">
        <v>1383.7495117000001</v>
      </c>
      <c r="H1197">
        <v>1369.7385254000001</v>
      </c>
      <c r="I1197">
        <v>1286.8654785000001</v>
      </c>
      <c r="J1197">
        <v>1267.4090576000001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783.10993099999996</v>
      </c>
      <c r="B1198" s="1">
        <f>DATE(2012,6,22) + TIME(2,38,18)</f>
        <v>41082.109930555554</v>
      </c>
      <c r="C1198">
        <v>80</v>
      </c>
      <c r="D1198">
        <v>79.950714110999996</v>
      </c>
      <c r="E1198">
        <v>50</v>
      </c>
      <c r="F1198">
        <v>46.102298736999998</v>
      </c>
      <c r="G1198">
        <v>1383.6893310999999</v>
      </c>
      <c r="H1198">
        <v>1369.6888428</v>
      </c>
      <c r="I1198">
        <v>1286.8311768000001</v>
      </c>
      <c r="J1198">
        <v>1267.3616943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784.12437799999998</v>
      </c>
      <c r="B1199" s="1">
        <f>DATE(2012,6,23) + TIME(2,59,6)</f>
        <v>41083.124374999999</v>
      </c>
      <c r="C1199">
        <v>80</v>
      </c>
      <c r="D1199">
        <v>79.950729370000005</v>
      </c>
      <c r="E1199">
        <v>50</v>
      </c>
      <c r="F1199">
        <v>46.041896819999998</v>
      </c>
      <c r="G1199">
        <v>1383.6289062000001</v>
      </c>
      <c r="H1199">
        <v>1369.6387939000001</v>
      </c>
      <c r="I1199">
        <v>1286.7957764</v>
      </c>
      <c r="J1199">
        <v>1267.3126221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785.16238599999997</v>
      </c>
      <c r="B1200" s="1">
        <f>DATE(2012,6,24) + TIME(3,53,50)</f>
        <v>41084.16238425926</v>
      </c>
      <c r="C1200">
        <v>80</v>
      </c>
      <c r="D1200">
        <v>79.950737000000004</v>
      </c>
      <c r="E1200">
        <v>50</v>
      </c>
      <c r="F1200">
        <v>45.980331421000002</v>
      </c>
      <c r="G1200">
        <v>1383.5678711</v>
      </c>
      <c r="H1200">
        <v>1369.5882568</v>
      </c>
      <c r="I1200">
        <v>1286.7589111</v>
      </c>
      <c r="J1200">
        <v>1267.2613524999999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786.22072500000002</v>
      </c>
      <c r="B1201" s="1">
        <f>DATE(2012,6,25) + TIME(5,17,50)</f>
        <v>41085.220717592594</v>
      </c>
      <c r="C1201">
        <v>80</v>
      </c>
      <c r="D1201">
        <v>79.950752257999994</v>
      </c>
      <c r="E1201">
        <v>50</v>
      </c>
      <c r="F1201">
        <v>45.917598724000001</v>
      </c>
      <c r="G1201">
        <v>1383.5065918</v>
      </c>
      <c r="H1201">
        <v>1369.5374756000001</v>
      </c>
      <c r="I1201">
        <v>1286.7207031</v>
      </c>
      <c r="J1201">
        <v>1267.2081298999999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787.29699300000004</v>
      </c>
      <c r="B1202" s="1">
        <f>DATE(2012,6,26) + TIME(7,7,40)</f>
        <v>41086.296990740739</v>
      </c>
      <c r="C1202">
        <v>80</v>
      </c>
      <c r="D1202">
        <v>79.950759887999993</v>
      </c>
      <c r="E1202">
        <v>50</v>
      </c>
      <c r="F1202">
        <v>45.853782654</v>
      </c>
      <c r="G1202">
        <v>1383.4449463000001</v>
      </c>
      <c r="H1202">
        <v>1369.4863281</v>
      </c>
      <c r="I1202">
        <v>1286.6810303</v>
      </c>
      <c r="J1202">
        <v>1267.1525879000001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788.37555499999996</v>
      </c>
      <c r="B1203" s="1">
        <f>DATE(2012,6,27) + TIME(9,0,47)</f>
        <v>41087.375543981485</v>
      </c>
      <c r="C1203">
        <v>80</v>
      </c>
      <c r="D1203">
        <v>79.950775145999998</v>
      </c>
      <c r="E1203">
        <v>50</v>
      </c>
      <c r="F1203">
        <v>45.789329529</v>
      </c>
      <c r="G1203">
        <v>1383.3833007999999</v>
      </c>
      <c r="H1203">
        <v>1369.4351807</v>
      </c>
      <c r="I1203">
        <v>1286.6401367000001</v>
      </c>
      <c r="J1203">
        <v>1267.0952147999999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789.45909500000005</v>
      </c>
      <c r="B1204" s="1">
        <f>DATE(2012,6,28) + TIME(11,1,5)</f>
        <v>41088.459085648145</v>
      </c>
      <c r="C1204">
        <v>80</v>
      </c>
      <c r="D1204">
        <v>79.950782775999997</v>
      </c>
      <c r="E1204">
        <v>50</v>
      </c>
      <c r="F1204">
        <v>45.724487304999997</v>
      </c>
      <c r="G1204">
        <v>1383.3222656</v>
      </c>
      <c r="H1204">
        <v>1369.3843993999999</v>
      </c>
      <c r="I1204">
        <v>1286.5983887</v>
      </c>
      <c r="J1204">
        <v>1267.036499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790.55052699999999</v>
      </c>
      <c r="B1205" s="1">
        <f>DATE(2012,6,29) + TIME(13,12,45)</f>
        <v>41089.550520833334</v>
      </c>
      <c r="C1205">
        <v>80</v>
      </c>
      <c r="D1205">
        <v>79.950798035000005</v>
      </c>
      <c r="E1205">
        <v>50</v>
      </c>
      <c r="F1205">
        <v>45.659252166999998</v>
      </c>
      <c r="G1205">
        <v>1383.2617187999999</v>
      </c>
      <c r="H1205">
        <v>1369.3341064000001</v>
      </c>
      <c r="I1205">
        <v>1286.5557861</v>
      </c>
      <c r="J1205">
        <v>1266.9761963000001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791.65278499999999</v>
      </c>
      <c r="B1206" s="1">
        <f>DATE(2012,6,30) + TIME(15,40,0)</f>
        <v>41090.652777777781</v>
      </c>
      <c r="C1206">
        <v>80</v>
      </c>
      <c r="D1206">
        <v>79.950813292999996</v>
      </c>
      <c r="E1206">
        <v>50</v>
      </c>
      <c r="F1206">
        <v>45.593521117999998</v>
      </c>
      <c r="G1206">
        <v>1383.2015381000001</v>
      </c>
      <c r="H1206">
        <v>1369.2839355000001</v>
      </c>
      <c r="I1206">
        <v>1286.512207</v>
      </c>
      <c r="J1206">
        <v>1266.9141846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792</v>
      </c>
      <c r="B1207" s="1">
        <f>DATE(2012,7,1) + TIME(0,0,0)</f>
        <v>41091</v>
      </c>
      <c r="C1207">
        <v>80</v>
      </c>
      <c r="D1207">
        <v>79.950775145999998</v>
      </c>
      <c r="E1207">
        <v>50</v>
      </c>
      <c r="F1207">
        <v>45.559455872000001</v>
      </c>
      <c r="G1207">
        <v>1383.1607666</v>
      </c>
      <c r="H1207">
        <v>1369.2512207</v>
      </c>
      <c r="I1207">
        <v>1286.4720459</v>
      </c>
      <c r="J1207">
        <v>1266.8637695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793.11609799999997</v>
      </c>
      <c r="B1208" s="1">
        <f>DATE(2012,7,2) + TIME(2,47,10)</f>
        <v>41092.116087962961</v>
      </c>
      <c r="C1208">
        <v>80</v>
      </c>
      <c r="D1208">
        <v>79.950828552000004</v>
      </c>
      <c r="E1208">
        <v>50</v>
      </c>
      <c r="F1208">
        <v>45.500587463000002</v>
      </c>
      <c r="G1208">
        <v>1383.1192627</v>
      </c>
      <c r="H1208">
        <v>1369.2152100000001</v>
      </c>
      <c r="I1208">
        <v>1286.4515381000001</v>
      </c>
      <c r="J1208">
        <v>1266.8264160000001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794.25535200000002</v>
      </c>
      <c r="B1209" s="1">
        <f>DATE(2012,7,3) + TIME(6,7,42)</f>
        <v>41093.255347222221</v>
      </c>
      <c r="C1209">
        <v>80</v>
      </c>
      <c r="D1209">
        <v>79.950851439999994</v>
      </c>
      <c r="E1209">
        <v>50</v>
      </c>
      <c r="F1209">
        <v>45.436454773000001</v>
      </c>
      <c r="G1209">
        <v>1383.0621338000001</v>
      </c>
      <c r="H1209">
        <v>1369.1673584</v>
      </c>
      <c r="I1209">
        <v>1286.4064940999999</v>
      </c>
      <c r="J1209">
        <v>1266.7623291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795.408637</v>
      </c>
      <c r="B1210" s="1">
        <f>DATE(2012,7,4) + TIME(9,48,26)</f>
        <v>41094.408634259256</v>
      </c>
      <c r="C1210">
        <v>80</v>
      </c>
      <c r="D1210">
        <v>79.950866699000002</v>
      </c>
      <c r="E1210">
        <v>50</v>
      </c>
      <c r="F1210">
        <v>45.369457245</v>
      </c>
      <c r="G1210">
        <v>1383.0026855000001</v>
      </c>
      <c r="H1210">
        <v>1369.1177978999999</v>
      </c>
      <c r="I1210">
        <v>1286.3585204999999</v>
      </c>
      <c r="J1210">
        <v>1266.6939697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796.57928700000002</v>
      </c>
      <c r="B1211" s="1">
        <f>DATE(2012,7,5) + TIME(13,54,10)</f>
        <v>41095.579282407409</v>
      </c>
      <c r="C1211">
        <v>80</v>
      </c>
      <c r="D1211">
        <v>79.950881957999997</v>
      </c>
      <c r="E1211">
        <v>50</v>
      </c>
      <c r="F1211">
        <v>45.300651549999998</v>
      </c>
      <c r="G1211">
        <v>1382.9428711</v>
      </c>
      <c r="H1211">
        <v>1369.0676269999999</v>
      </c>
      <c r="I1211">
        <v>1286.309082</v>
      </c>
      <c r="J1211">
        <v>1266.6228027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797.77058799999998</v>
      </c>
      <c r="B1212" s="1">
        <f>DATE(2012,7,6) + TIME(18,29,38)</f>
        <v>41096.770578703705</v>
      </c>
      <c r="C1212">
        <v>80</v>
      </c>
      <c r="D1212">
        <v>79.950897217000005</v>
      </c>
      <c r="E1212">
        <v>50</v>
      </c>
      <c r="F1212">
        <v>45.230365753000001</v>
      </c>
      <c r="G1212">
        <v>1382.8828125</v>
      </c>
      <c r="H1212">
        <v>1369.0173339999999</v>
      </c>
      <c r="I1212">
        <v>1286.2580565999999</v>
      </c>
      <c r="J1212">
        <v>1266.5490723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798.986043</v>
      </c>
      <c r="B1213" s="1">
        <f>DATE(2012,7,7) + TIME(23,39,54)</f>
        <v>41097.986041666663</v>
      </c>
      <c r="C1213">
        <v>80</v>
      </c>
      <c r="D1213">
        <v>79.950920104999994</v>
      </c>
      <c r="E1213">
        <v>50</v>
      </c>
      <c r="F1213">
        <v>45.158615112</v>
      </c>
      <c r="G1213">
        <v>1382.8223877</v>
      </c>
      <c r="H1213">
        <v>1368.9666748</v>
      </c>
      <c r="I1213">
        <v>1286.2053223</v>
      </c>
      <c r="J1213">
        <v>1266.4724120999999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800.22945100000004</v>
      </c>
      <c r="B1214" s="1">
        <f>DATE(2012,7,9) + TIME(5,30,24)</f>
        <v>41099.229444444441</v>
      </c>
      <c r="C1214">
        <v>80</v>
      </c>
      <c r="D1214">
        <v>79.950942992999998</v>
      </c>
      <c r="E1214">
        <v>50</v>
      </c>
      <c r="F1214">
        <v>45.085258484000001</v>
      </c>
      <c r="G1214">
        <v>1382.7615966999999</v>
      </c>
      <c r="H1214">
        <v>1368.9156493999999</v>
      </c>
      <c r="I1214">
        <v>1286.1505127</v>
      </c>
      <c r="J1214">
        <v>1266.3925781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801.486312</v>
      </c>
      <c r="B1215" s="1">
        <f>DATE(2012,7,10) + TIME(11,40,17)</f>
        <v>41100.486307870371</v>
      </c>
      <c r="C1215">
        <v>80</v>
      </c>
      <c r="D1215">
        <v>79.950958252000007</v>
      </c>
      <c r="E1215">
        <v>50</v>
      </c>
      <c r="F1215">
        <v>45.010532378999997</v>
      </c>
      <c r="G1215">
        <v>1382.7004394999999</v>
      </c>
      <c r="H1215">
        <v>1368.8642577999999</v>
      </c>
      <c r="I1215">
        <v>1286.0936279</v>
      </c>
      <c r="J1215">
        <v>1266.3094481999999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802.74956199999997</v>
      </c>
      <c r="B1216" s="1">
        <f>DATE(2012,7,11) + TIME(17,59,22)</f>
        <v>41101.749560185184</v>
      </c>
      <c r="C1216">
        <v>80</v>
      </c>
      <c r="D1216">
        <v>79.950981139999996</v>
      </c>
      <c r="E1216">
        <v>50</v>
      </c>
      <c r="F1216">
        <v>44.934867859000001</v>
      </c>
      <c r="G1216">
        <v>1382.6394043</v>
      </c>
      <c r="H1216">
        <v>1368.8128661999999</v>
      </c>
      <c r="I1216">
        <v>1286.0352783000001</v>
      </c>
      <c r="J1216">
        <v>1266.2237548999999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804.02264100000002</v>
      </c>
      <c r="B1217" s="1">
        <f>DATE(2012,7,13) + TIME(0,32,36)</f>
        <v>41103.022638888891</v>
      </c>
      <c r="C1217">
        <v>80</v>
      </c>
      <c r="D1217">
        <v>79.951004028</v>
      </c>
      <c r="E1217">
        <v>50</v>
      </c>
      <c r="F1217">
        <v>44.858421325999998</v>
      </c>
      <c r="G1217">
        <v>1382.5787353999999</v>
      </c>
      <c r="H1217">
        <v>1368.7617187999999</v>
      </c>
      <c r="I1217">
        <v>1285.9754639</v>
      </c>
      <c r="J1217">
        <v>1266.1356201000001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805.30294200000003</v>
      </c>
      <c r="B1218" s="1">
        <f>DATE(2012,7,14) + TIME(7,16,14)</f>
        <v>41104.302939814814</v>
      </c>
      <c r="C1218">
        <v>80</v>
      </c>
      <c r="D1218">
        <v>79.951026916999993</v>
      </c>
      <c r="E1218">
        <v>50</v>
      </c>
      <c r="F1218">
        <v>44.781280518000003</v>
      </c>
      <c r="G1218">
        <v>1382.5183105000001</v>
      </c>
      <c r="H1218">
        <v>1368.7108154</v>
      </c>
      <c r="I1218">
        <v>1285.9143065999999</v>
      </c>
      <c r="J1218">
        <v>1266.0451660000001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806.59344399999998</v>
      </c>
      <c r="B1219" s="1">
        <f>DATE(2012,7,15) + TIME(14,14,33)</f>
        <v>41105.5934375</v>
      </c>
      <c r="C1219">
        <v>80</v>
      </c>
      <c r="D1219">
        <v>79.951049804999997</v>
      </c>
      <c r="E1219">
        <v>50</v>
      </c>
      <c r="F1219">
        <v>44.703426360999998</v>
      </c>
      <c r="G1219">
        <v>1382.458374</v>
      </c>
      <c r="H1219">
        <v>1368.6601562000001</v>
      </c>
      <c r="I1219">
        <v>1285.8518065999999</v>
      </c>
      <c r="J1219">
        <v>1265.9522704999999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807.89745700000003</v>
      </c>
      <c r="B1220" s="1">
        <f>DATE(2012,7,16) + TIME(21,32,20)</f>
        <v>41106.897453703707</v>
      </c>
      <c r="C1220">
        <v>80</v>
      </c>
      <c r="D1220">
        <v>79.951072693</v>
      </c>
      <c r="E1220">
        <v>50</v>
      </c>
      <c r="F1220">
        <v>44.624729156000001</v>
      </c>
      <c r="G1220">
        <v>1382.3985596</v>
      </c>
      <c r="H1220">
        <v>1368.6094971</v>
      </c>
      <c r="I1220">
        <v>1285.7878418</v>
      </c>
      <c r="J1220">
        <v>1265.8568115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809.218391</v>
      </c>
      <c r="B1221" s="1">
        <f>DATE(2012,7,18) + TIME(5,14,29)</f>
        <v>41108.218391203707</v>
      </c>
      <c r="C1221">
        <v>80</v>
      </c>
      <c r="D1221">
        <v>79.951095581000004</v>
      </c>
      <c r="E1221">
        <v>50</v>
      </c>
      <c r="F1221">
        <v>44.545009612999998</v>
      </c>
      <c r="G1221">
        <v>1382.3389893000001</v>
      </c>
      <c r="H1221">
        <v>1368.5589600000001</v>
      </c>
      <c r="I1221">
        <v>1285.722168</v>
      </c>
      <c r="J1221">
        <v>1265.7585449000001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810.55982600000004</v>
      </c>
      <c r="B1222" s="1">
        <f>DATE(2012,7,19) + TIME(13,26,8)</f>
        <v>41109.559814814813</v>
      </c>
      <c r="C1222">
        <v>80</v>
      </c>
      <c r="D1222">
        <v>79.951118468999994</v>
      </c>
      <c r="E1222">
        <v>50</v>
      </c>
      <c r="F1222">
        <v>44.464054107999999</v>
      </c>
      <c r="G1222">
        <v>1382.2791748</v>
      </c>
      <c r="H1222">
        <v>1368.5083007999999</v>
      </c>
      <c r="I1222">
        <v>1285.6546631000001</v>
      </c>
      <c r="J1222">
        <v>1265.6571045000001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811.92559400000005</v>
      </c>
      <c r="B1223" s="1">
        <f>DATE(2012,7,20) + TIME(22,12,51)</f>
        <v>41110.92559027778</v>
      </c>
      <c r="C1223">
        <v>80</v>
      </c>
      <c r="D1223">
        <v>79.951148986999996</v>
      </c>
      <c r="E1223">
        <v>50</v>
      </c>
      <c r="F1223">
        <v>44.381641387999998</v>
      </c>
      <c r="G1223">
        <v>1382.2192382999999</v>
      </c>
      <c r="H1223">
        <v>1368.4575195</v>
      </c>
      <c r="I1223">
        <v>1285.5850829999999</v>
      </c>
      <c r="J1223">
        <v>1265.5522461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813.31981099999996</v>
      </c>
      <c r="B1224" s="1">
        <f>DATE(2012,7,22) + TIME(7,40,31)</f>
        <v>41112.319803240738</v>
      </c>
      <c r="C1224">
        <v>80</v>
      </c>
      <c r="D1224">
        <v>79.951171875</v>
      </c>
      <c r="E1224">
        <v>50</v>
      </c>
      <c r="F1224">
        <v>44.297519684000001</v>
      </c>
      <c r="G1224">
        <v>1382.1590576000001</v>
      </c>
      <c r="H1224">
        <v>1368.40625</v>
      </c>
      <c r="I1224">
        <v>1285.5133057</v>
      </c>
      <c r="J1224">
        <v>1265.4434814000001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814.74297899999999</v>
      </c>
      <c r="B1225" s="1">
        <f>DATE(2012,7,23) + TIME(17,49,53)</f>
        <v>41113.742974537039</v>
      </c>
      <c r="C1225">
        <v>80</v>
      </c>
      <c r="D1225">
        <v>79.951202393000003</v>
      </c>
      <c r="E1225">
        <v>50</v>
      </c>
      <c r="F1225">
        <v>44.211521148999999</v>
      </c>
      <c r="G1225">
        <v>1382.0982666</v>
      </c>
      <c r="H1225">
        <v>1368.3544922000001</v>
      </c>
      <c r="I1225">
        <v>1285.4389647999999</v>
      </c>
      <c r="J1225">
        <v>1265.3305664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816.18552999999997</v>
      </c>
      <c r="B1226" s="1">
        <f>DATE(2012,7,25) + TIME(4,27,9)</f>
        <v>41115.185520833336</v>
      </c>
      <c r="C1226">
        <v>80</v>
      </c>
      <c r="D1226">
        <v>79.951232910000002</v>
      </c>
      <c r="E1226">
        <v>50</v>
      </c>
      <c r="F1226">
        <v>44.123771667</v>
      </c>
      <c r="G1226">
        <v>1382.0371094</v>
      </c>
      <c r="H1226">
        <v>1368.3023682</v>
      </c>
      <c r="I1226">
        <v>1285.3620605000001</v>
      </c>
      <c r="J1226">
        <v>1265.2133789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817.63407700000005</v>
      </c>
      <c r="B1227" s="1">
        <f>DATE(2012,7,26) + TIME(15,13,4)</f>
        <v>41116.634074074071</v>
      </c>
      <c r="C1227">
        <v>80</v>
      </c>
      <c r="D1227">
        <v>79.951263428000004</v>
      </c>
      <c r="E1227">
        <v>50</v>
      </c>
      <c r="F1227">
        <v>44.034774779999999</v>
      </c>
      <c r="G1227">
        <v>1381.9759521000001</v>
      </c>
      <c r="H1227">
        <v>1368.2502440999999</v>
      </c>
      <c r="I1227">
        <v>1285.2830810999999</v>
      </c>
      <c r="J1227">
        <v>1265.0925293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819.08895299999995</v>
      </c>
      <c r="B1228" s="1">
        <f>DATE(2012,7,28) + TIME(2,8,5)</f>
        <v>41118.088946759257</v>
      </c>
      <c r="C1228">
        <v>80</v>
      </c>
      <c r="D1228">
        <v>79.951286315999994</v>
      </c>
      <c r="E1228">
        <v>50</v>
      </c>
      <c r="F1228">
        <v>43.944934844999999</v>
      </c>
      <c r="G1228">
        <v>1381.9152832</v>
      </c>
      <c r="H1228">
        <v>1368.1983643000001</v>
      </c>
      <c r="I1228">
        <v>1285.2026367000001</v>
      </c>
      <c r="J1228">
        <v>1264.9689940999999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820.553406</v>
      </c>
      <c r="B1229" s="1">
        <f>DATE(2012,7,29) + TIME(13,16,54)</f>
        <v>41119.553402777776</v>
      </c>
      <c r="C1229">
        <v>80</v>
      </c>
      <c r="D1229">
        <v>79.951316833000007</v>
      </c>
      <c r="E1229">
        <v>50</v>
      </c>
      <c r="F1229">
        <v>43.854339600000003</v>
      </c>
      <c r="G1229">
        <v>1381.8548584</v>
      </c>
      <c r="H1229">
        <v>1368.1467285000001</v>
      </c>
      <c r="I1229">
        <v>1285.1208495999999</v>
      </c>
      <c r="J1229">
        <v>1264.8426514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822.03114400000004</v>
      </c>
      <c r="B1230" s="1">
        <f>DATE(2012,7,31) + TIME(0,44,50)</f>
        <v>41121.031134259261</v>
      </c>
      <c r="C1230">
        <v>80</v>
      </c>
      <c r="D1230">
        <v>79.951347350999995</v>
      </c>
      <c r="E1230">
        <v>50</v>
      </c>
      <c r="F1230">
        <v>43.762889862000002</v>
      </c>
      <c r="G1230">
        <v>1381.7946777</v>
      </c>
      <c r="H1230">
        <v>1368.0952147999999</v>
      </c>
      <c r="I1230">
        <v>1285.0374756000001</v>
      </c>
      <c r="J1230">
        <v>1264.713501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823</v>
      </c>
      <c r="B1231" s="1">
        <f>DATE(2012,8,1) + TIME(0,0,0)</f>
        <v>41122</v>
      </c>
      <c r="C1231">
        <v>80</v>
      </c>
      <c r="D1231">
        <v>79.951347350999995</v>
      </c>
      <c r="E1231">
        <v>50</v>
      </c>
      <c r="F1231">
        <v>43.685478209999999</v>
      </c>
      <c r="G1231">
        <v>1381.7423096</v>
      </c>
      <c r="H1231">
        <v>1368.0509033000001</v>
      </c>
      <c r="I1231">
        <v>1284.9553223</v>
      </c>
      <c r="J1231">
        <v>1264.5898437999999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824.49490700000001</v>
      </c>
      <c r="B1232" s="1">
        <f>DATE(2012,8,2) + TIME(11,52,39)</f>
        <v>41123.494895833333</v>
      </c>
      <c r="C1232">
        <v>80</v>
      </c>
      <c r="D1232">
        <v>79.951400757000002</v>
      </c>
      <c r="E1232">
        <v>50</v>
      </c>
      <c r="F1232">
        <v>43.603668212999999</v>
      </c>
      <c r="G1232">
        <v>1381.6931152</v>
      </c>
      <c r="H1232">
        <v>1368.0079346</v>
      </c>
      <c r="I1232">
        <v>1284.8937988</v>
      </c>
      <c r="J1232">
        <v>1264.487793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826.02751499999999</v>
      </c>
      <c r="B1233" s="1">
        <f>DATE(2012,8,4) + TIME(0,39,37)</f>
        <v>41125.027511574073</v>
      </c>
      <c r="C1233">
        <v>80</v>
      </c>
      <c r="D1233">
        <v>79.951438904</v>
      </c>
      <c r="E1233">
        <v>50</v>
      </c>
      <c r="F1233">
        <v>43.513412475999999</v>
      </c>
      <c r="G1233">
        <v>1381.6351318</v>
      </c>
      <c r="H1233">
        <v>1367.9580077999999</v>
      </c>
      <c r="I1233">
        <v>1284.8077393000001</v>
      </c>
      <c r="J1233">
        <v>1264.3540039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827.58809399999996</v>
      </c>
      <c r="B1234" s="1">
        <f>DATE(2012,8,5) + TIME(14,6,51)</f>
        <v>41126.588090277779</v>
      </c>
      <c r="C1234">
        <v>80</v>
      </c>
      <c r="D1234">
        <v>79.951469420999999</v>
      </c>
      <c r="E1234">
        <v>50</v>
      </c>
      <c r="F1234">
        <v>43.418739318999997</v>
      </c>
      <c r="G1234">
        <v>1381.5751952999999</v>
      </c>
      <c r="H1234">
        <v>1367.9064940999999</v>
      </c>
      <c r="I1234">
        <v>1284.7174072</v>
      </c>
      <c r="J1234">
        <v>1264.2125243999999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829.17956900000001</v>
      </c>
      <c r="B1235" s="1">
        <f>DATE(2012,8,7) + TIME(4,18,34)</f>
        <v>41128.179560185185</v>
      </c>
      <c r="C1235">
        <v>80</v>
      </c>
      <c r="D1235">
        <v>79.951507567999997</v>
      </c>
      <c r="E1235">
        <v>50</v>
      </c>
      <c r="F1235">
        <v>43.321289061999998</v>
      </c>
      <c r="G1235">
        <v>1381.5145264</v>
      </c>
      <c r="H1235">
        <v>1367.8542480000001</v>
      </c>
      <c r="I1235">
        <v>1284.6243896000001</v>
      </c>
      <c r="J1235">
        <v>1264.065918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830.79230600000005</v>
      </c>
      <c r="B1236" s="1">
        <f>DATE(2012,8,8) + TIME(19,0,55)</f>
        <v>41129.792303240742</v>
      </c>
      <c r="C1236">
        <v>80</v>
      </c>
      <c r="D1236">
        <v>79.951538085999999</v>
      </c>
      <c r="E1236">
        <v>50</v>
      </c>
      <c r="F1236">
        <v>43.221832274999997</v>
      </c>
      <c r="G1236">
        <v>1381.4533690999999</v>
      </c>
      <c r="H1236">
        <v>1367.8015137</v>
      </c>
      <c r="I1236">
        <v>1284.5286865</v>
      </c>
      <c r="J1236">
        <v>1263.9143065999999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832.42104300000005</v>
      </c>
      <c r="B1237" s="1">
        <f>DATE(2012,8,10) + TIME(10,6,18)</f>
        <v>41131.421041666668</v>
      </c>
      <c r="C1237">
        <v>80</v>
      </c>
      <c r="D1237">
        <v>79.951576232999997</v>
      </c>
      <c r="E1237">
        <v>50</v>
      </c>
      <c r="F1237">
        <v>43.120990753000001</v>
      </c>
      <c r="G1237">
        <v>1381.3920897999999</v>
      </c>
      <c r="H1237">
        <v>1367.7486572</v>
      </c>
      <c r="I1237">
        <v>1284.4307861</v>
      </c>
      <c r="J1237">
        <v>1263.7586670000001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834.06908799999997</v>
      </c>
      <c r="B1238" s="1">
        <f>DATE(2012,8,12) + TIME(1,39,29)</f>
        <v>41133.069085648145</v>
      </c>
      <c r="C1238">
        <v>80</v>
      </c>
      <c r="D1238">
        <v>79.951614379999995</v>
      </c>
      <c r="E1238">
        <v>50</v>
      </c>
      <c r="F1238">
        <v>43.019081116000002</v>
      </c>
      <c r="G1238">
        <v>1381.3306885</v>
      </c>
      <c r="H1238">
        <v>1367.6955565999999</v>
      </c>
      <c r="I1238">
        <v>1284.3311768000001</v>
      </c>
      <c r="J1238">
        <v>1263.5993652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835.72723699999995</v>
      </c>
      <c r="B1239" s="1">
        <f>DATE(2012,8,13) + TIME(17,27,13)</f>
        <v>41134.727233796293</v>
      </c>
      <c r="C1239">
        <v>80</v>
      </c>
      <c r="D1239">
        <v>79.951652526999993</v>
      </c>
      <c r="E1239">
        <v>50</v>
      </c>
      <c r="F1239">
        <v>42.916397095000001</v>
      </c>
      <c r="G1239">
        <v>1381.2692870999999</v>
      </c>
      <c r="H1239">
        <v>1367.6423339999999</v>
      </c>
      <c r="I1239">
        <v>1284.2297363</v>
      </c>
      <c r="J1239">
        <v>1263.4366454999999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837.39804000000004</v>
      </c>
      <c r="B1240" s="1">
        <f>DATE(2012,8,15) + TIME(9,33,10)</f>
        <v>41136.398032407407</v>
      </c>
      <c r="C1240">
        <v>80</v>
      </c>
      <c r="D1240">
        <v>79.951690674000005</v>
      </c>
      <c r="E1240">
        <v>50</v>
      </c>
      <c r="F1240">
        <v>42.813274384000003</v>
      </c>
      <c r="G1240">
        <v>1381.2081298999999</v>
      </c>
      <c r="H1240">
        <v>1367.5893555</v>
      </c>
      <c r="I1240">
        <v>1284.1270752</v>
      </c>
      <c r="J1240">
        <v>1263.2709961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839.08572000000004</v>
      </c>
      <c r="B1241" s="1">
        <f>DATE(2012,8,17) + TIME(2,3,26)</f>
        <v>41138.085717592592</v>
      </c>
      <c r="C1241">
        <v>80</v>
      </c>
      <c r="D1241">
        <v>79.951728821000003</v>
      </c>
      <c r="E1241">
        <v>50</v>
      </c>
      <c r="F1241">
        <v>42.709770202999998</v>
      </c>
      <c r="G1241">
        <v>1381.1470947</v>
      </c>
      <c r="H1241">
        <v>1367.5362548999999</v>
      </c>
      <c r="I1241">
        <v>1284.0229492000001</v>
      </c>
      <c r="J1241">
        <v>1263.1025391000001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840.79487900000004</v>
      </c>
      <c r="B1242" s="1">
        <f>DATE(2012,8,18) + TIME(19,4,37)</f>
        <v>41139.794872685183</v>
      </c>
      <c r="C1242">
        <v>80</v>
      </c>
      <c r="D1242">
        <v>79.951766968000001</v>
      </c>
      <c r="E1242">
        <v>50</v>
      </c>
      <c r="F1242">
        <v>42.605819701999998</v>
      </c>
      <c r="G1242">
        <v>1381.0859375</v>
      </c>
      <c r="H1242">
        <v>1367.4830322</v>
      </c>
      <c r="I1242">
        <v>1283.9174805</v>
      </c>
      <c r="J1242">
        <v>1262.9310303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842.53028800000004</v>
      </c>
      <c r="B1243" s="1">
        <f>DATE(2012,8,20) + TIME(12,43,36)</f>
        <v>41141.530277777776</v>
      </c>
      <c r="C1243">
        <v>80</v>
      </c>
      <c r="D1243">
        <v>79.951812743999994</v>
      </c>
      <c r="E1243">
        <v>50</v>
      </c>
      <c r="F1243">
        <v>42.501293181999998</v>
      </c>
      <c r="G1243">
        <v>1381.0246582</v>
      </c>
      <c r="H1243">
        <v>1367.4296875</v>
      </c>
      <c r="I1243">
        <v>1283.8104248</v>
      </c>
      <c r="J1243">
        <v>1262.7559814000001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844.29512699999998</v>
      </c>
      <c r="B1244" s="1">
        <f>DATE(2012,8,22) + TIME(7,4,58)</f>
        <v>41143.295115740744</v>
      </c>
      <c r="C1244">
        <v>80</v>
      </c>
      <c r="D1244">
        <v>79.951850891000007</v>
      </c>
      <c r="E1244">
        <v>50</v>
      </c>
      <c r="F1244">
        <v>42.396099091000004</v>
      </c>
      <c r="G1244">
        <v>1380.9630127</v>
      </c>
      <c r="H1244">
        <v>1367.3758545000001</v>
      </c>
      <c r="I1244">
        <v>1283.7014160000001</v>
      </c>
      <c r="J1244">
        <v>1262.5772704999999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846.07053800000006</v>
      </c>
      <c r="B1245" s="1">
        <f>DATE(2012,8,24) + TIME(1,41,34)</f>
        <v>41145.070532407408</v>
      </c>
      <c r="C1245">
        <v>80</v>
      </c>
      <c r="D1245">
        <v>79.951889038000004</v>
      </c>
      <c r="E1245">
        <v>50</v>
      </c>
      <c r="F1245">
        <v>42.290645599000001</v>
      </c>
      <c r="G1245">
        <v>1380.9012451000001</v>
      </c>
      <c r="H1245">
        <v>1367.3218993999999</v>
      </c>
      <c r="I1245">
        <v>1283.5906981999999</v>
      </c>
      <c r="J1245">
        <v>1262.3948975000001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847.86102000000005</v>
      </c>
      <c r="B1246" s="1">
        <f>DATE(2012,8,25) + TIME(20,39,52)</f>
        <v>41146.861018518517</v>
      </c>
      <c r="C1246">
        <v>80</v>
      </c>
      <c r="D1246">
        <v>79.951934813999998</v>
      </c>
      <c r="E1246">
        <v>50</v>
      </c>
      <c r="F1246">
        <v>42.185539245999998</v>
      </c>
      <c r="G1246">
        <v>1380.8394774999999</v>
      </c>
      <c r="H1246">
        <v>1367.2679443</v>
      </c>
      <c r="I1246">
        <v>1283.479126</v>
      </c>
      <c r="J1246">
        <v>1262.2103271000001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849.67135199999996</v>
      </c>
      <c r="B1247" s="1">
        <f>DATE(2012,8,27) + TIME(16,6,44)</f>
        <v>41148.671342592592</v>
      </c>
      <c r="C1247">
        <v>80</v>
      </c>
      <c r="D1247">
        <v>79.951980590999995</v>
      </c>
      <c r="E1247">
        <v>50</v>
      </c>
      <c r="F1247">
        <v>42.080963134999998</v>
      </c>
      <c r="G1247">
        <v>1380.7777100000001</v>
      </c>
      <c r="H1247">
        <v>1367.2137451000001</v>
      </c>
      <c r="I1247">
        <v>1283.3669434000001</v>
      </c>
      <c r="J1247">
        <v>1262.0236815999999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851.50644699999998</v>
      </c>
      <c r="B1248" s="1">
        <f>DATE(2012,8,29) + TIME(12,9,17)</f>
        <v>41150.50644675926</v>
      </c>
      <c r="C1248">
        <v>80</v>
      </c>
      <c r="D1248">
        <v>79.952026367000002</v>
      </c>
      <c r="E1248">
        <v>50</v>
      </c>
      <c r="F1248">
        <v>41.977005005000002</v>
      </c>
      <c r="G1248">
        <v>1380.7158202999999</v>
      </c>
      <c r="H1248">
        <v>1367.1595459</v>
      </c>
      <c r="I1248">
        <v>1283.2537841999999</v>
      </c>
      <c r="J1248">
        <v>1261.8345947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853.37149199999999</v>
      </c>
      <c r="B1249" s="1">
        <f>DATE(2012,8,31) + TIME(8,54,56)</f>
        <v>41152.371481481481</v>
      </c>
      <c r="C1249">
        <v>80</v>
      </c>
      <c r="D1249">
        <v>79.952064514</v>
      </c>
      <c r="E1249">
        <v>50</v>
      </c>
      <c r="F1249">
        <v>41.873733520999998</v>
      </c>
      <c r="G1249">
        <v>1380.6536865</v>
      </c>
      <c r="H1249">
        <v>1367.1048584</v>
      </c>
      <c r="I1249">
        <v>1283.1396483999999</v>
      </c>
      <c r="J1249">
        <v>1261.6429443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854</v>
      </c>
      <c r="B1250" s="1">
        <f>DATE(2012,9,1) + TIME(0,0,0)</f>
        <v>41153</v>
      </c>
      <c r="C1250">
        <v>80</v>
      </c>
      <c r="D1250">
        <v>79.952049255000006</v>
      </c>
      <c r="E1250">
        <v>50</v>
      </c>
      <c r="F1250">
        <v>41.809997559000003</v>
      </c>
      <c r="G1250">
        <v>1380.6121826000001</v>
      </c>
      <c r="H1250">
        <v>1367.0695800999999</v>
      </c>
      <c r="I1250">
        <v>1283.0350341999999</v>
      </c>
      <c r="J1250">
        <v>1261.4793701000001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855.89631999999995</v>
      </c>
      <c r="B1251" s="1">
        <f>DATE(2012,9,2) + TIME(21,30,42)</f>
        <v>41154.896319444444</v>
      </c>
      <c r="C1251">
        <v>80</v>
      </c>
      <c r="D1251">
        <v>79.952133179</v>
      </c>
      <c r="E1251">
        <v>50</v>
      </c>
      <c r="F1251">
        <v>41.728912354000002</v>
      </c>
      <c r="G1251">
        <v>1380.565918</v>
      </c>
      <c r="H1251">
        <v>1367.0274658000001</v>
      </c>
      <c r="I1251">
        <v>1282.9810791</v>
      </c>
      <c r="J1251">
        <v>1261.3723144999999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857.820922</v>
      </c>
      <c r="B1252" s="1">
        <f>DATE(2012,9,4) + TIME(19,42,7)</f>
        <v>41156.820914351854</v>
      </c>
      <c r="C1252">
        <v>80</v>
      </c>
      <c r="D1252">
        <v>79.952178954999994</v>
      </c>
      <c r="E1252">
        <v>50</v>
      </c>
      <c r="F1252">
        <v>41.635013579999999</v>
      </c>
      <c r="G1252">
        <v>1380.5059814000001</v>
      </c>
      <c r="H1252">
        <v>1366.9744873</v>
      </c>
      <c r="I1252">
        <v>1282.8686522999999</v>
      </c>
      <c r="J1252">
        <v>1261.1837158000001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859.76035200000001</v>
      </c>
      <c r="B1253" s="1">
        <f>DATE(2012,9,6) + TIME(18,14,54)</f>
        <v>41158.760347222225</v>
      </c>
      <c r="C1253">
        <v>80</v>
      </c>
      <c r="D1253">
        <v>79.952224731000001</v>
      </c>
      <c r="E1253">
        <v>50</v>
      </c>
      <c r="F1253">
        <v>41.538997649999999</v>
      </c>
      <c r="G1253">
        <v>1380.4436035000001</v>
      </c>
      <c r="H1253">
        <v>1366.9195557</v>
      </c>
      <c r="I1253">
        <v>1282.7531738</v>
      </c>
      <c r="J1253">
        <v>1260.9876709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861.70821000000001</v>
      </c>
      <c r="B1254" s="1">
        <f>DATE(2012,9,8) + TIME(16,59,49)</f>
        <v>41160.70820601852</v>
      </c>
      <c r="C1254">
        <v>80</v>
      </c>
      <c r="D1254">
        <v>79.952270507999998</v>
      </c>
      <c r="E1254">
        <v>50</v>
      </c>
      <c r="F1254">
        <v>41.444896698000001</v>
      </c>
      <c r="G1254">
        <v>1380.3807373</v>
      </c>
      <c r="H1254">
        <v>1366.8640137</v>
      </c>
      <c r="I1254">
        <v>1282.6375731999999</v>
      </c>
      <c r="J1254">
        <v>1260.7900391000001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863.668859</v>
      </c>
      <c r="B1255" s="1">
        <f>DATE(2012,9,10) + TIME(16,3,9)</f>
        <v>41162.668854166666</v>
      </c>
      <c r="C1255">
        <v>80</v>
      </c>
      <c r="D1255">
        <v>79.952316284000005</v>
      </c>
      <c r="E1255">
        <v>50</v>
      </c>
      <c r="F1255">
        <v>41.354381560999997</v>
      </c>
      <c r="G1255">
        <v>1380.3178711</v>
      </c>
      <c r="H1255">
        <v>1366.8083495999999</v>
      </c>
      <c r="I1255">
        <v>1282.5229492000001</v>
      </c>
      <c r="J1255">
        <v>1260.5928954999999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865.64732700000002</v>
      </c>
      <c r="B1256" s="1">
        <f>DATE(2012,9,12) + TIME(15,32,9)</f>
        <v>41164.647326388891</v>
      </c>
      <c r="C1256">
        <v>80</v>
      </c>
      <c r="D1256">
        <v>79.952369689999998</v>
      </c>
      <c r="E1256">
        <v>50</v>
      </c>
      <c r="F1256">
        <v>41.268234253000003</v>
      </c>
      <c r="G1256">
        <v>1380.2551269999999</v>
      </c>
      <c r="H1256">
        <v>1366.7525635</v>
      </c>
      <c r="I1256">
        <v>1282.4093018000001</v>
      </c>
      <c r="J1256">
        <v>1260.3967285000001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867.64884199999995</v>
      </c>
      <c r="B1257" s="1">
        <f>DATE(2012,9,14) + TIME(15,34,19)</f>
        <v>41166.648831018516</v>
      </c>
      <c r="C1257">
        <v>80</v>
      </c>
      <c r="D1257">
        <v>79.952415466000005</v>
      </c>
      <c r="E1257">
        <v>50</v>
      </c>
      <c r="F1257">
        <v>41.187030792000002</v>
      </c>
      <c r="G1257">
        <v>1380.1921387</v>
      </c>
      <c r="H1257">
        <v>1366.6966553</v>
      </c>
      <c r="I1257">
        <v>1282.296875</v>
      </c>
      <c r="J1257">
        <v>1260.2017822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869.67899399999999</v>
      </c>
      <c r="B1258" s="1">
        <f>DATE(2012,9,16) + TIME(16,17,45)</f>
        <v>41168.678993055553</v>
      </c>
      <c r="C1258">
        <v>80</v>
      </c>
      <c r="D1258">
        <v>79.952468871999997</v>
      </c>
      <c r="E1258">
        <v>50</v>
      </c>
      <c r="F1258">
        <v>41.111370086999997</v>
      </c>
      <c r="G1258">
        <v>1380.1289062000001</v>
      </c>
      <c r="H1258">
        <v>1366.6403809000001</v>
      </c>
      <c r="I1258">
        <v>1282.1854248</v>
      </c>
      <c r="J1258">
        <v>1260.0079346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871.73618199999999</v>
      </c>
      <c r="B1259" s="1">
        <f>DATE(2012,9,18) + TIME(17,40,6)</f>
        <v>41170.736180555556</v>
      </c>
      <c r="C1259">
        <v>80</v>
      </c>
      <c r="D1259">
        <v>79.952522278000004</v>
      </c>
      <c r="E1259">
        <v>50</v>
      </c>
      <c r="F1259">
        <v>41.042015075999998</v>
      </c>
      <c r="G1259">
        <v>1380.0651855000001</v>
      </c>
      <c r="H1259">
        <v>1366.5836182</v>
      </c>
      <c r="I1259">
        <v>1282.0750731999999</v>
      </c>
      <c r="J1259">
        <v>1259.8155518000001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873.79560200000003</v>
      </c>
      <c r="B1260" s="1">
        <f>DATE(2012,9,20) + TIME(19,5,39)</f>
        <v>41172.795590277776</v>
      </c>
      <c r="C1260">
        <v>80</v>
      </c>
      <c r="D1260">
        <v>79.952568053999997</v>
      </c>
      <c r="E1260">
        <v>50</v>
      </c>
      <c r="F1260">
        <v>40.980121613000001</v>
      </c>
      <c r="G1260">
        <v>1380.0014647999999</v>
      </c>
      <c r="H1260">
        <v>1366.5267334</v>
      </c>
      <c r="I1260">
        <v>1281.9664307</v>
      </c>
      <c r="J1260">
        <v>1259.6256103999999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875.87109899999996</v>
      </c>
      <c r="B1261" s="1">
        <f>DATE(2012,9,22) + TIME(20,54,22)</f>
        <v>41174.871087962965</v>
      </c>
      <c r="C1261">
        <v>80</v>
      </c>
      <c r="D1261">
        <v>79.952621460000003</v>
      </c>
      <c r="E1261">
        <v>50</v>
      </c>
      <c r="F1261">
        <v>40.926853180000002</v>
      </c>
      <c r="G1261">
        <v>1379.9378661999999</v>
      </c>
      <c r="H1261">
        <v>1366.4698486</v>
      </c>
      <c r="I1261">
        <v>1281.8605957</v>
      </c>
      <c r="J1261">
        <v>1259.4401855000001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877.97312499999998</v>
      </c>
      <c r="B1262" s="1">
        <f>DATE(2012,9,24) + TIME(23,21,18)</f>
        <v>41176.973124999997</v>
      </c>
      <c r="C1262">
        <v>80</v>
      </c>
      <c r="D1262">
        <v>79.952674865999995</v>
      </c>
      <c r="E1262">
        <v>50</v>
      </c>
      <c r="F1262">
        <v>40.882942200000002</v>
      </c>
      <c r="G1262">
        <v>1379.8741454999999</v>
      </c>
      <c r="H1262">
        <v>1366.4127197</v>
      </c>
      <c r="I1262">
        <v>1281.7574463000001</v>
      </c>
      <c r="J1262">
        <v>1259.2592772999999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880.10774000000004</v>
      </c>
      <c r="B1263" s="1">
        <f>DATE(2012,9,27) + TIME(2,35,8)</f>
        <v>41179.107731481483</v>
      </c>
      <c r="C1263">
        <v>80</v>
      </c>
      <c r="D1263">
        <v>79.952728270999998</v>
      </c>
      <c r="E1263">
        <v>50</v>
      </c>
      <c r="F1263">
        <v>40.849227904999999</v>
      </c>
      <c r="G1263">
        <v>1379.8100586</v>
      </c>
      <c r="H1263">
        <v>1366.3553466999999</v>
      </c>
      <c r="I1263">
        <v>1281.6566161999999</v>
      </c>
      <c r="J1263">
        <v>1259.0825195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882.27082199999995</v>
      </c>
      <c r="B1264" s="1">
        <f>DATE(2012,9,29) + TIME(6,29,58)</f>
        <v>41181.270810185182</v>
      </c>
      <c r="C1264">
        <v>80</v>
      </c>
      <c r="D1264">
        <v>79.952781677000004</v>
      </c>
      <c r="E1264">
        <v>50</v>
      </c>
      <c r="F1264">
        <v>40.826786040999998</v>
      </c>
      <c r="G1264">
        <v>1379.7454834</v>
      </c>
      <c r="H1264">
        <v>1366.2973632999999</v>
      </c>
      <c r="I1264">
        <v>1281.5583495999999</v>
      </c>
      <c r="J1264">
        <v>1258.9104004000001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884</v>
      </c>
      <c r="B1265" s="1">
        <f>DATE(2012,10,1) + TIME(0,0,0)</f>
        <v>41183</v>
      </c>
      <c r="C1265">
        <v>80</v>
      </c>
      <c r="D1265">
        <v>79.952819824000002</v>
      </c>
      <c r="E1265">
        <v>50</v>
      </c>
      <c r="F1265">
        <v>40.817481995000001</v>
      </c>
      <c r="G1265">
        <v>1379.6854248</v>
      </c>
      <c r="H1265">
        <v>1366.2436522999999</v>
      </c>
      <c r="I1265">
        <v>1281.4658202999999</v>
      </c>
      <c r="J1265">
        <v>1258.7490233999999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886.18210799999997</v>
      </c>
      <c r="B1266" s="1">
        <f>DATE(2012,10,3) + TIME(4,22,14)</f>
        <v>41185.182106481479</v>
      </c>
      <c r="C1266">
        <v>80</v>
      </c>
      <c r="D1266">
        <v>79.952880859000004</v>
      </c>
      <c r="E1266">
        <v>50</v>
      </c>
      <c r="F1266">
        <v>40.819164276000002</v>
      </c>
      <c r="G1266">
        <v>1379.6270752</v>
      </c>
      <c r="H1266">
        <v>1366.1906738</v>
      </c>
      <c r="I1266">
        <v>1281.3880615</v>
      </c>
      <c r="J1266">
        <v>1258.6137695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888.398325</v>
      </c>
      <c r="B1267" s="1">
        <f>DATE(2012,10,5) + TIME(9,33,35)</f>
        <v>41187.398321759261</v>
      </c>
      <c r="C1267">
        <v>80</v>
      </c>
      <c r="D1267">
        <v>79.952941894999995</v>
      </c>
      <c r="E1267">
        <v>50</v>
      </c>
      <c r="F1267">
        <v>40.834243774000001</v>
      </c>
      <c r="G1267">
        <v>1379.5635986</v>
      </c>
      <c r="H1267">
        <v>1366.1334228999999</v>
      </c>
      <c r="I1267">
        <v>1281.3011475000001</v>
      </c>
      <c r="J1267">
        <v>1258.4639893000001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890.63910899999996</v>
      </c>
      <c r="B1268" s="1">
        <f>DATE(2012,10,7) + TIME(15,20,19)</f>
        <v>41189.639108796298</v>
      </c>
      <c r="C1268">
        <v>80</v>
      </c>
      <c r="D1268">
        <v>79.952995299999998</v>
      </c>
      <c r="E1268">
        <v>50</v>
      </c>
      <c r="F1268">
        <v>40.864261626999998</v>
      </c>
      <c r="G1268">
        <v>1379.4989014</v>
      </c>
      <c r="H1268">
        <v>1366.0750731999999</v>
      </c>
      <c r="I1268">
        <v>1281.2167969</v>
      </c>
      <c r="J1268">
        <v>1258.3194579999999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892.90761899999995</v>
      </c>
      <c r="B1269" s="1">
        <f>DATE(2012,10,9) + TIME(21,46,58)</f>
        <v>41191.90761574074</v>
      </c>
      <c r="C1269">
        <v>80</v>
      </c>
      <c r="D1269">
        <v>79.953056334999999</v>
      </c>
      <c r="E1269">
        <v>50</v>
      </c>
      <c r="F1269">
        <v>40.910163879000002</v>
      </c>
      <c r="G1269">
        <v>1379.4335937999999</v>
      </c>
      <c r="H1269">
        <v>1366.0161132999999</v>
      </c>
      <c r="I1269">
        <v>1281.1359863</v>
      </c>
      <c r="J1269">
        <v>1258.1829834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895.18610999999999</v>
      </c>
      <c r="B1270" s="1">
        <f>DATE(2012,10,12) + TIME(4,27,59)</f>
        <v>41194.186099537037</v>
      </c>
      <c r="C1270">
        <v>80</v>
      </c>
      <c r="D1270">
        <v>79.953109741000006</v>
      </c>
      <c r="E1270">
        <v>50</v>
      </c>
      <c r="F1270">
        <v>40.972553253000001</v>
      </c>
      <c r="G1270">
        <v>1379.3681641000001</v>
      </c>
      <c r="H1270">
        <v>1365.9567870999999</v>
      </c>
      <c r="I1270">
        <v>1281.0592041</v>
      </c>
      <c r="J1270">
        <v>1258.0551757999999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897.46697800000004</v>
      </c>
      <c r="B1271" s="1">
        <f>DATE(2012,10,14) + TIME(11,12,26)</f>
        <v>41196.466967592591</v>
      </c>
      <c r="C1271">
        <v>80</v>
      </c>
      <c r="D1271">
        <v>79.953170775999993</v>
      </c>
      <c r="E1271">
        <v>50</v>
      </c>
      <c r="F1271">
        <v>41.051410675</v>
      </c>
      <c r="G1271">
        <v>1379.3029785000001</v>
      </c>
      <c r="H1271">
        <v>1365.8977050999999</v>
      </c>
      <c r="I1271">
        <v>1280.9871826000001</v>
      </c>
      <c r="J1271">
        <v>1257.9376221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899.75703199999998</v>
      </c>
      <c r="B1272" s="1">
        <f>DATE(2012,10,16) + TIME(18,10,7)</f>
        <v>41198.757025462961</v>
      </c>
      <c r="C1272">
        <v>80</v>
      </c>
      <c r="D1272">
        <v>79.953224182</v>
      </c>
      <c r="E1272">
        <v>50</v>
      </c>
      <c r="F1272">
        <v>41.146469115999999</v>
      </c>
      <c r="G1272">
        <v>1379.2380370999999</v>
      </c>
      <c r="H1272">
        <v>1365.8387451000001</v>
      </c>
      <c r="I1272">
        <v>1280.9200439000001</v>
      </c>
      <c r="J1272">
        <v>1257.8308105000001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902.06687899999997</v>
      </c>
      <c r="B1273" s="1">
        <f>DATE(2012,10,19) + TIME(1,36,18)</f>
        <v>41201.066874999997</v>
      </c>
      <c r="C1273">
        <v>80</v>
      </c>
      <c r="D1273">
        <v>79.953285217000001</v>
      </c>
      <c r="E1273">
        <v>50</v>
      </c>
      <c r="F1273">
        <v>41.257633208999998</v>
      </c>
      <c r="G1273">
        <v>1379.1732178</v>
      </c>
      <c r="H1273">
        <v>1365.7799072</v>
      </c>
      <c r="I1273">
        <v>1280.8575439000001</v>
      </c>
      <c r="J1273">
        <v>1257.7344971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904.40721199999996</v>
      </c>
      <c r="B1274" s="1">
        <f>DATE(2012,10,21) + TIME(9,46,23)</f>
        <v>41203.407210648147</v>
      </c>
      <c r="C1274">
        <v>80</v>
      </c>
      <c r="D1274">
        <v>79.953346252000003</v>
      </c>
      <c r="E1274">
        <v>50</v>
      </c>
      <c r="F1274">
        <v>41.384826660000002</v>
      </c>
      <c r="G1274">
        <v>1379.1085204999999</v>
      </c>
      <c r="H1274">
        <v>1365.7209473</v>
      </c>
      <c r="I1274">
        <v>1280.7994385</v>
      </c>
      <c r="J1274">
        <v>1257.6481934000001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906.78584999999998</v>
      </c>
      <c r="B1275" s="1">
        <f>DATE(2012,10,23) + TIME(18,51,37)</f>
        <v>41205.785844907405</v>
      </c>
      <c r="C1275">
        <v>80</v>
      </c>
      <c r="D1275">
        <v>79.953407287999994</v>
      </c>
      <c r="E1275">
        <v>50</v>
      </c>
      <c r="F1275">
        <v>41.528110503999997</v>
      </c>
      <c r="G1275">
        <v>1379.043457</v>
      </c>
      <c r="H1275">
        <v>1365.6618652</v>
      </c>
      <c r="I1275">
        <v>1280.7456055</v>
      </c>
      <c r="J1275">
        <v>1257.5717772999999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907.99464999999998</v>
      </c>
      <c r="B1276" s="1">
        <f>DATE(2012,10,24) + TIME(23,52,17)</f>
        <v>41206.994641203702</v>
      </c>
      <c r="C1276">
        <v>80</v>
      </c>
      <c r="D1276">
        <v>79.953414917000003</v>
      </c>
      <c r="E1276">
        <v>50</v>
      </c>
      <c r="F1276">
        <v>41.656784058</v>
      </c>
      <c r="G1276">
        <v>1378.9931641000001</v>
      </c>
      <c r="H1276">
        <v>1365.6168213000001</v>
      </c>
      <c r="I1276">
        <v>1280.7071533000001</v>
      </c>
      <c r="J1276">
        <v>1257.5111084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909.20345099999997</v>
      </c>
      <c r="B1277" s="1">
        <f>DATE(2012,10,26) + TIME(4,52,58)</f>
        <v>41208.203449074077</v>
      </c>
      <c r="C1277">
        <v>80</v>
      </c>
      <c r="D1277">
        <v>79.953445435000006</v>
      </c>
      <c r="E1277">
        <v>50</v>
      </c>
      <c r="F1277">
        <v>41.761161803999997</v>
      </c>
      <c r="G1277">
        <v>1378.9537353999999</v>
      </c>
      <c r="H1277">
        <v>1365.5806885</v>
      </c>
      <c r="I1277">
        <v>1280.6793213000001</v>
      </c>
      <c r="J1277">
        <v>1257.4807129000001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910.41225099999997</v>
      </c>
      <c r="B1278" s="1">
        <f>DATE(2012,10,27) + TIME(9,53,38)</f>
        <v>41209.412245370368</v>
      </c>
      <c r="C1278">
        <v>80</v>
      </c>
      <c r="D1278">
        <v>79.953483582000004</v>
      </c>
      <c r="E1278">
        <v>50</v>
      </c>
      <c r="F1278">
        <v>41.857757567999997</v>
      </c>
      <c r="G1278">
        <v>1378.9179687999999</v>
      </c>
      <c r="H1278">
        <v>1365.5478516000001</v>
      </c>
      <c r="I1278">
        <v>1280.6555175999999</v>
      </c>
      <c r="J1278">
        <v>1257.4536132999999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912.82985199999996</v>
      </c>
      <c r="B1279" s="1">
        <f>DATE(2012,10,29) + TIME(19,54,59)</f>
        <v>41211.82984953704</v>
      </c>
      <c r="C1279">
        <v>80</v>
      </c>
      <c r="D1279">
        <v>79.953567504999995</v>
      </c>
      <c r="E1279">
        <v>50</v>
      </c>
      <c r="F1279">
        <v>41.975337981999999</v>
      </c>
      <c r="G1279">
        <v>1378.8724365</v>
      </c>
      <c r="H1279">
        <v>1365.5053711</v>
      </c>
      <c r="I1279">
        <v>1280.6256103999999</v>
      </c>
      <c r="J1279">
        <v>1257.4255370999999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915</v>
      </c>
      <c r="B1280" s="1">
        <f>DATE(2012,11,1) + TIME(0,0,0)</f>
        <v>41214</v>
      </c>
      <c r="C1280">
        <v>80</v>
      </c>
      <c r="D1280">
        <v>79.953613281000003</v>
      </c>
      <c r="E1280">
        <v>50</v>
      </c>
      <c r="F1280">
        <v>42.145812988000003</v>
      </c>
      <c r="G1280">
        <v>1378.8150635</v>
      </c>
      <c r="H1280">
        <v>1365.4533690999999</v>
      </c>
      <c r="I1280">
        <v>1280.5921631000001</v>
      </c>
      <c r="J1280">
        <v>1257.3841553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915.000001</v>
      </c>
      <c r="B1281" s="1">
        <f>DATE(2012,11,1) + TIME(0,0,0)</f>
        <v>41214</v>
      </c>
      <c r="C1281">
        <v>80</v>
      </c>
      <c r="D1281">
        <v>79.953582764000004</v>
      </c>
      <c r="E1281">
        <v>50</v>
      </c>
      <c r="F1281">
        <v>42.145835876</v>
      </c>
      <c r="G1281">
        <v>1365.4433594</v>
      </c>
      <c r="H1281">
        <v>1353.4912108999999</v>
      </c>
      <c r="I1281">
        <v>1303.8341064000001</v>
      </c>
      <c r="J1281">
        <v>1280.6025391000001</v>
      </c>
      <c r="K1281">
        <v>0</v>
      </c>
      <c r="L1281">
        <v>2400</v>
      </c>
      <c r="M1281">
        <v>2400</v>
      </c>
      <c r="N1281">
        <v>0</v>
      </c>
    </row>
    <row r="1282" spans="1:14" x14ac:dyDescent="0.25">
      <c r="A1282">
        <v>915.00000399999999</v>
      </c>
      <c r="B1282" s="1">
        <f>DATE(2012,11,1) + TIME(0,0,0)</f>
        <v>41214</v>
      </c>
      <c r="C1282">
        <v>80</v>
      </c>
      <c r="D1282">
        <v>79.953491210999999</v>
      </c>
      <c r="E1282">
        <v>50</v>
      </c>
      <c r="F1282">
        <v>42.145904541</v>
      </c>
      <c r="G1282">
        <v>1365.4133300999999</v>
      </c>
      <c r="H1282">
        <v>1353.4611815999999</v>
      </c>
      <c r="I1282">
        <v>1303.8636475000001</v>
      </c>
      <c r="J1282">
        <v>1280.6336670000001</v>
      </c>
      <c r="K1282">
        <v>0</v>
      </c>
      <c r="L1282">
        <v>2400</v>
      </c>
      <c r="M1282">
        <v>2400</v>
      </c>
      <c r="N1282">
        <v>0</v>
      </c>
    </row>
    <row r="1283" spans="1:14" x14ac:dyDescent="0.25">
      <c r="A1283">
        <v>915.00001299999997</v>
      </c>
      <c r="B1283" s="1">
        <f>DATE(2012,11,1) + TIME(0,0,1)</f>
        <v>41214.000011574077</v>
      </c>
      <c r="C1283">
        <v>80</v>
      </c>
      <c r="D1283">
        <v>79.953201293999996</v>
      </c>
      <c r="E1283">
        <v>50</v>
      </c>
      <c r="F1283">
        <v>42.146118164000001</v>
      </c>
      <c r="G1283">
        <v>1365.3240966999999</v>
      </c>
      <c r="H1283">
        <v>1353.3718262</v>
      </c>
      <c r="I1283">
        <v>1303.9520264</v>
      </c>
      <c r="J1283">
        <v>1280.7268065999999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915.00004000000001</v>
      </c>
      <c r="B1284" s="1">
        <f>DATE(2012,11,1) + TIME(0,0,3)</f>
        <v>41214.000034722223</v>
      </c>
      <c r="C1284">
        <v>80</v>
      </c>
      <c r="D1284">
        <v>79.952362061000002</v>
      </c>
      <c r="E1284">
        <v>50</v>
      </c>
      <c r="F1284">
        <v>42.146751404</v>
      </c>
      <c r="G1284">
        <v>1365.0612793</v>
      </c>
      <c r="H1284">
        <v>1353.1087646000001</v>
      </c>
      <c r="I1284">
        <v>1304.2145995999999</v>
      </c>
      <c r="J1284">
        <v>1281.0030518000001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915.00012100000004</v>
      </c>
      <c r="B1285" s="1">
        <f>DATE(2012,11,1) + TIME(0,0,10)</f>
        <v>41214.000115740739</v>
      </c>
      <c r="C1285">
        <v>80</v>
      </c>
      <c r="D1285">
        <v>79.949966431000007</v>
      </c>
      <c r="E1285">
        <v>50</v>
      </c>
      <c r="F1285">
        <v>42.148612976000003</v>
      </c>
      <c r="G1285">
        <v>1364.3157959</v>
      </c>
      <c r="H1285">
        <v>1352.3624268000001</v>
      </c>
      <c r="I1285">
        <v>1304.9780272999999</v>
      </c>
      <c r="J1285">
        <v>1281.8051757999999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915.00036399999999</v>
      </c>
      <c r="B1286" s="1">
        <f>DATE(2012,11,1) + TIME(0,0,31)</f>
        <v>41214.000358796293</v>
      </c>
      <c r="C1286">
        <v>80</v>
      </c>
      <c r="D1286">
        <v>79.943801879999995</v>
      </c>
      <c r="E1286">
        <v>50</v>
      </c>
      <c r="F1286">
        <v>42.153930664000001</v>
      </c>
      <c r="G1286">
        <v>1362.3936768000001</v>
      </c>
      <c r="H1286">
        <v>1350.4384766000001</v>
      </c>
      <c r="I1286">
        <v>1307.0776367000001</v>
      </c>
      <c r="J1286">
        <v>1284.0012207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915.00109299999997</v>
      </c>
      <c r="B1287" s="1">
        <f>DATE(2012,11,1) + TIME(0,1,34)</f>
        <v>41214.001087962963</v>
      </c>
      <c r="C1287">
        <v>80</v>
      </c>
      <c r="D1287">
        <v>79.930839539000004</v>
      </c>
      <c r="E1287">
        <v>50</v>
      </c>
      <c r="F1287">
        <v>42.168151854999998</v>
      </c>
      <c r="G1287">
        <v>1358.3603516000001</v>
      </c>
      <c r="H1287">
        <v>1346.4019774999999</v>
      </c>
      <c r="I1287">
        <v>1312.1125488</v>
      </c>
      <c r="J1287">
        <v>1289.2130127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915.00328000000002</v>
      </c>
      <c r="B1288" s="1">
        <f>DATE(2012,11,1) + TIME(0,4,43)</f>
        <v>41214.003275462965</v>
      </c>
      <c r="C1288">
        <v>80</v>
      </c>
      <c r="D1288">
        <v>79.910789489999999</v>
      </c>
      <c r="E1288">
        <v>50</v>
      </c>
      <c r="F1288">
        <v>42.202014923</v>
      </c>
      <c r="G1288">
        <v>1352.1763916</v>
      </c>
      <c r="H1288">
        <v>1340.2159423999999</v>
      </c>
      <c r="I1288">
        <v>1321.4056396000001</v>
      </c>
      <c r="J1288">
        <v>1298.6622314000001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915.00984100000005</v>
      </c>
      <c r="B1289" s="1">
        <f>DATE(2012,11,1) + TIME(0,14,10)</f>
        <v>41214.009837962964</v>
      </c>
      <c r="C1289">
        <v>80</v>
      </c>
      <c r="D1289">
        <v>79.887062072999996</v>
      </c>
      <c r="E1289">
        <v>50</v>
      </c>
      <c r="F1289">
        <v>42.283023833999998</v>
      </c>
      <c r="G1289">
        <v>1345.0566406</v>
      </c>
      <c r="H1289">
        <v>1333.0970459</v>
      </c>
      <c r="I1289">
        <v>1333.8149414</v>
      </c>
      <c r="J1289">
        <v>1311.1295166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915.02952400000004</v>
      </c>
      <c r="B1290" s="1">
        <f>DATE(2012,11,1) + TIME(0,42,30)</f>
        <v>41214.029513888891</v>
      </c>
      <c r="C1290">
        <v>80</v>
      </c>
      <c r="D1290">
        <v>79.861022949000002</v>
      </c>
      <c r="E1290">
        <v>50</v>
      </c>
      <c r="F1290">
        <v>42.490398407000001</v>
      </c>
      <c r="G1290">
        <v>1337.8151855000001</v>
      </c>
      <c r="H1290">
        <v>1325.8580322</v>
      </c>
      <c r="I1290">
        <v>1347.0922852000001</v>
      </c>
      <c r="J1290">
        <v>1324.4893798999999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915.079296</v>
      </c>
      <c r="B1291" s="1">
        <f>DATE(2012,11,1) + TIME(1,54,11)</f>
        <v>41214.079293981478</v>
      </c>
      <c r="C1291">
        <v>80</v>
      </c>
      <c r="D1291">
        <v>79.832664489999999</v>
      </c>
      <c r="E1291">
        <v>50</v>
      </c>
      <c r="F1291">
        <v>42.956638335999997</v>
      </c>
      <c r="G1291">
        <v>1331.1610106999999</v>
      </c>
      <c r="H1291">
        <v>1319.1884766000001</v>
      </c>
      <c r="I1291">
        <v>1359.2381591999999</v>
      </c>
      <c r="J1291">
        <v>1336.8294678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915.13253999999995</v>
      </c>
      <c r="B1292" s="1">
        <f>DATE(2012,11,1) + TIME(3,10,51)</f>
        <v>41214.132534722223</v>
      </c>
      <c r="C1292">
        <v>80</v>
      </c>
      <c r="D1292">
        <v>79.812316894999995</v>
      </c>
      <c r="E1292">
        <v>50</v>
      </c>
      <c r="F1292">
        <v>43.415443420000003</v>
      </c>
      <c r="G1292">
        <v>1327.3121338000001</v>
      </c>
      <c r="H1292">
        <v>1315.3062743999999</v>
      </c>
      <c r="I1292">
        <v>1366.1263428</v>
      </c>
      <c r="J1292">
        <v>1343.8824463000001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915.18885499999999</v>
      </c>
      <c r="B1293" s="1">
        <f>DATE(2012,11,1) + TIME(4,31,57)</f>
        <v>41214.188854166663</v>
      </c>
      <c r="C1293">
        <v>80</v>
      </c>
      <c r="D1293">
        <v>79.794998168999996</v>
      </c>
      <c r="E1293">
        <v>50</v>
      </c>
      <c r="F1293">
        <v>43.864738463999998</v>
      </c>
      <c r="G1293">
        <v>1324.6099853999999</v>
      </c>
      <c r="H1293">
        <v>1312.5617675999999</v>
      </c>
      <c r="I1293">
        <v>1370.8138428</v>
      </c>
      <c r="J1293">
        <v>1348.7218018000001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915.24830799999995</v>
      </c>
      <c r="B1294" s="1">
        <f>DATE(2012,11,1) + TIME(5,57,33)</f>
        <v>41214.248298611114</v>
      </c>
      <c r="C1294">
        <v>80</v>
      </c>
      <c r="D1294">
        <v>79.779006957999997</v>
      </c>
      <c r="E1294">
        <v>50</v>
      </c>
      <c r="F1294">
        <v>44.303821564000003</v>
      </c>
      <c r="G1294">
        <v>1322.4967041</v>
      </c>
      <c r="H1294">
        <v>1310.4036865</v>
      </c>
      <c r="I1294">
        <v>1374.3457031</v>
      </c>
      <c r="J1294">
        <v>1352.3959961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915.31115</v>
      </c>
      <c r="B1295" s="1">
        <f>DATE(2012,11,1) + TIME(7,28,3)</f>
        <v>41214.311145833337</v>
      </c>
      <c r="C1295">
        <v>80</v>
      </c>
      <c r="D1295">
        <v>79.763626099000007</v>
      </c>
      <c r="E1295">
        <v>50</v>
      </c>
      <c r="F1295">
        <v>44.732379913000003</v>
      </c>
      <c r="G1295">
        <v>1320.7364502</v>
      </c>
      <c r="H1295">
        <v>1308.6004639</v>
      </c>
      <c r="I1295">
        <v>1377.1735839999999</v>
      </c>
      <c r="J1295">
        <v>1355.3587646000001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915.37773400000003</v>
      </c>
      <c r="B1296" s="1">
        <f>DATE(2012,11,1) + TIME(9,3,56)</f>
        <v>41214.37773148148</v>
      </c>
      <c r="C1296">
        <v>80</v>
      </c>
      <c r="D1296">
        <v>79.748443604000002</v>
      </c>
      <c r="E1296">
        <v>50</v>
      </c>
      <c r="F1296">
        <v>45.150127411</v>
      </c>
      <c r="G1296">
        <v>1319.2117920000001</v>
      </c>
      <c r="H1296">
        <v>1307.0371094</v>
      </c>
      <c r="I1296">
        <v>1379.5279541</v>
      </c>
      <c r="J1296">
        <v>1357.8415527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915.44850299999996</v>
      </c>
      <c r="B1297" s="1">
        <f>DATE(2012,11,1) + TIME(10,45,50)</f>
        <v>41214.448495370372</v>
      </c>
      <c r="C1297">
        <v>80</v>
      </c>
      <c r="D1297">
        <v>79.733215332</v>
      </c>
      <c r="E1297">
        <v>50</v>
      </c>
      <c r="F1297">
        <v>45.556735992</v>
      </c>
      <c r="G1297">
        <v>1317.8570557</v>
      </c>
      <c r="H1297">
        <v>1305.6483154</v>
      </c>
      <c r="I1297">
        <v>1381.5413818</v>
      </c>
      <c r="J1297">
        <v>1359.9780272999999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915.524</v>
      </c>
      <c r="B1298" s="1">
        <f>DATE(2012,11,1) + TIME(12,34,33)</f>
        <v>41214.523993055554</v>
      </c>
      <c r="C1298">
        <v>80</v>
      </c>
      <c r="D1298">
        <v>79.717758179</v>
      </c>
      <c r="E1298">
        <v>50</v>
      </c>
      <c r="F1298">
        <v>45.951820374</v>
      </c>
      <c r="G1298">
        <v>1316.6307373</v>
      </c>
      <c r="H1298">
        <v>1304.3927002</v>
      </c>
      <c r="I1298">
        <v>1383.2979736</v>
      </c>
      <c r="J1298">
        <v>1361.8525391000001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915.60489199999995</v>
      </c>
      <c r="B1299" s="1">
        <f>DATE(2012,11,1) + TIME(14,31,2)</f>
        <v>41214.604884259257</v>
      </c>
      <c r="C1299">
        <v>80</v>
      </c>
      <c r="D1299">
        <v>79.701904296999999</v>
      </c>
      <c r="E1299">
        <v>50</v>
      </c>
      <c r="F1299">
        <v>46.334953308000003</v>
      </c>
      <c r="G1299">
        <v>1315.5051269999999</v>
      </c>
      <c r="H1299">
        <v>1303.2419434000001</v>
      </c>
      <c r="I1299">
        <v>1384.854126</v>
      </c>
      <c r="J1299">
        <v>1363.5220947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915.69199700000001</v>
      </c>
      <c r="B1300" s="1">
        <f>DATE(2012,11,1) + TIME(16,36,28)</f>
        <v>41214.691990740743</v>
      </c>
      <c r="C1300">
        <v>80</v>
      </c>
      <c r="D1300">
        <v>79.685493468999994</v>
      </c>
      <c r="E1300">
        <v>50</v>
      </c>
      <c r="F1300">
        <v>46.705631255999997</v>
      </c>
      <c r="G1300">
        <v>1314.4603271000001</v>
      </c>
      <c r="H1300">
        <v>1302.1757812000001</v>
      </c>
      <c r="I1300">
        <v>1386.2502440999999</v>
      </c>
      <c r="J1300">
        <v>1365.0270995999999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915.786337</v>
      </c>
      <c r="B1301" s="1">
        <f>DATE(2012,11,1) + TIME(18,52,19)</f>
        <v>41214.78633101852</v>
      </c>
      <c r="C1301">
        <v>80</v>
      </c>
      <c r="D1301">
        <v>79.668365479000002</v>
      </c>
      <c r="E1301">
        <v>50</v>
      </c>
      <c r="F1301">
        <v>47.063282012999998</v>
      </c>
      <c r="G1301">
        <v>1313.4810791</v>
      </c>
      <c r="H1301">
        <v>1301.1785889</v>
      </c>
      <c r="I1301">
        <v>1387.5159911999999</v>
      </c>
      <c r="J1301">
        <v>1366.3975829999999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915.88919799999996</v>
      </c>
      <c r="B1302" s="1">
        <f>DATE(2012,11,1) + TIME(21,20,26)</f>
        <v>41214.889189814814</v>
      </c>
      <c r="C1302">
        <v>80</v>
      </c>
      <c r="D1302">
        <v>79.650337218999994</v>
      </c>
      <c r="E1302">
        <v>50</v>
      </c>
      <c r="F1302">
        <v>47.407234191999997</v>
      </c>
      <c r="G1302">
        <v>1312.5556641000001</v>
      </c>
      <c r="H1302">
        <v>1300.2381591999999</v>
      </c>
      <c r="I1302">
        <v>1388.6741943</v>
      </c>
      <c r="J1302">
        <v>1367.6564940999999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916.00221899999997</v>
      </c>
      <c r="B1303" s="1">
        <f>DATE(2012,11,2) + TIME(0,3,11)</f>
        <v>41215.002210648148</v>
      </c>
      <c r="C1303">
        <v>80</v>
      </c>
      <c r="D1303">
        <v>79.631179810000006</v>
      </c>
      <c r="E1303">
        <v>50</v>
      </c>
      <c r="F1303">
        <v>47.736671448000003</v>
      </c>
      <c r="G1303">
        <v>1311.6745605000001</v>
      </c>
      <c r="H1303">
        <v>1299.3443603999999</v>
      </c>
      <c r="I1303">
        <v>1389.7430420000001</v>
      </c>
      <c r="J1303">
        <v>1368.8217772999999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916.12759900000003</v>
      </c>
      <c r="B1304" s="1">
        <f>DATE(2012,11,2) + TIME(3,3,44)</f>
        <v>41215.127592592595</v>
      </c>
      <c r="C1304">
        <v>80</v>
      </c>
      <c r="D1304">
        <v>79.610641478999995</v>
      </c>
      <c r="E1304">
        <v>50</v>
      </c>
      <c r="F1304">
        <v>48.05078125</v>
      </c>
      <c r="G1304">
        <v>1310.8292236</v>
      </c>
      <c r="H1304">
        <v>1298.4881591999999</v>
      </c>
      <c r="I1304">
        <v>1390.7370605000001</v>
      </c>
      <c r="J1304">
        <v>1369.9080810999999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916.26827300000002</v>
      </c>
      <c r="B1305" s="1">
        <f>DATE(2012,11,2) + TIME(6,26,18)</f>
        <v>41215.268263888887</v>
      </c>
      <c r="C1305">
        <v>80</v>
      </c>
      <c r="D1305">
        <v>79.588356017999999</v>
      </c>
      <c r="E1305">
        <v>50</v>
      </c>
      <c r="F1305">
        <v>48.348514557000001</v>
      </c>
      <c r="G1305">
        <v>1310.0124512</v>
      </c>
      <c r="H1305">
        <v>1297.6618652</v>
      </c>
      <c r="I1305">
        <v>1391.668457</v>
      </c>
      <c r="J1305">
        <v>1370.9273682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916.42830800000002</v>
      </c>
      <c r="B1306" s="1">
        <f>DATE(2012,11,2) + TIME(10,16,45)</f>
        <v>41215.428298611114</v>
      </c>
      <c r="C1306">
        <v>80</v>
      </c>
      <c r="D1306">
        <v>79.563865661999998</v>
      </c>
      <c r="E1306">
        <v>50</v>
      </c>
      <c r="F1306">
        <v>48.628627776999998</v>
      </c>
      <c r="G1306">
        <v>1309.2171631000001</v>
      </c>
      <c r="H1306">
        <v>1296.8583983999999</v>
      </c>
      <c r="I1306">
        <v>1392.5474853999999</v>
      </c>
      <c r="J1306">
        <v>1371.8896483999999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916.61354900000003</v>
      </c>
      <c r="B1307" s="1">
        <f>DATE(2012,11,2) + TIME(14,43,30)</f>
        <v>41215.613541666666</v>
      </c>
      <c r="C1307">
        <v>80</v>
      </c>
      <c r="D1307">
        <v>79.536552428999997</v>
      </c>
      <c r="E1307">
        <v>50</v>
      </c>
      <c r="F1307">
        <v>48.889598845999998</v>
      </c>
      <c r="G1307">
        <v>1308.4370117000001</v>
      </c>
      <c r="H1307">
        <v>1296.0708007999999</v>
      </c>
      <c r="I1307">
        <v>1393.3823242000001</v>
      </c>
      <c r="J1307">
        <v>1372.8029785000001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916.72279100000003</v>
      </c>
      <c r="B1308" s="1">
        <f>DATE(2012,11,2) + TIME(17,20,49)</f>
        <v>41215.72278935185</v>
      </c>
      <c r="C1308">
        <v>80</v>
      </c>
      <c r="D1308">
        <v>79.519104003999999</v>
      </c>
      <c r="E1308">
        <v>50</v>
      </c>
      <c r="F1308">
        <v>49.024234772</v>
      </c>
      <c r="G1308">
        <v>1308.0172118999999</v>
      </c>
      <c r="H1308">
        <v>1295.6477050999999</v>
      </c>
      <c r="I1308">
        <v>1393.8070068</v>
      </c>
      <c r="J1308">
        <v>1373.2659911999999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916.94127700000001</v>
      </c>
      <c r="B1309" s="1">
        <f>DATE(2012,11,2) + TIME(22,35,26)</f>
        <v>41215.94127314815</v>
      </c>
      <c r="C1309">
        <v>80</v>
      </c>
      <c r="D1309">
        <v>79.488540649000001</v>
      </c>
      <c r="E1309">
        <v>50</v>
      </c>
      <c r="F1309">
        <v>49.233634948999999</v>
      </c>
      <c r="G1309">
        <v>1307.3153076000001</v>
      </c>
      <c r="H1309">
        <v>1294.9393310999999</v>
      </c>
      <c r="I1309">
        <v>1394.5300293</v>
      </c>
      <c r="J1309">
        <v>1374.0559082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917.16090699999995</v>
      </c>
      <c r="B1310" s="1">
        <f>DATE(2012,11,3) + TIME(3,51,42)</f>
        <v>41216.160902777781</v>
      </c>
      <c r="C1310">
        <v>80</v>
      </c>
      <c r="D1310">
        <v>79.457763671999999</v>
      </c>
      <c r="E1310">
        <v>50</v>
      </c>
      <c r="F1310">
        <v>49.397090912000003</v>
      </c>
      <c r="G1310">
        <v>1306.7149658000001</v>
      </c>
      <c r="H1310">
        <v>1294.3341064000001</v>
      </c>
      <c r="I1310">
        <v>1395.1123047000001</v>
      </c>
      <c r="J1310">
        <v>1374.6893310999999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917.38691100000005</v>
      </c>
      <c r="B1311" s="1">
        <f>DATE(2012,11,3) + TIME(9,17,9)</f>
        <v>41216.38690972222</v>
      </c>
      <c r="C1311">
        <v>80</v>
      </c>
      <c r="D1311">
        <v>79.426284789999997</v>
      </c>
      <c r="E1311">
        <v>50</v>
      </c>
      <c r="F1311">
        <v>49.526885986000003</v>
      </c>
      <c r="G1311">
        <v>1306.1885986</v>
      </c>
      <c r="H1311">
        <v>1293.8034668</v>
      </c>
      <c r="I1311">
        <v>1395.6020507999999</v>
      </c>
      <c r="J1311">
        <v>1375.2215576000001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917.62129100000004</v>
      </c>
      <c r="B1312" s="1">
        <f>DATE(2012,11,3) + TIME(14,54,39)</f>
        <v>41216.62128472222</v>
      </c>
      <c r="C1312">
        <v>80</v>
      </c>
      <c r="D1312">
        <v>79.393920898000005</v>
      </c>
      <c r="E1312">
        <v>50</v>
      </c>
      <c r="F1312">
        <v>49.629894256999997</v>
      </c>
      <c r="G1312">
        <v>1305.7231445</v>
      </c>
      <c r="H1312">
        <v>1293.3342285000001</v>
      </c>
      <c r="I1312">
        <v>1396.0168457</v>
      </c>
      <c r="J1312">
        <v>1375.6716309000001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917.86645899999996</v>
      </c>
      <c r="B1313" s="1">
        <f>DATE(2012,11,3) + TIME(20,47,42)</f>
        <v>41216.86645833333</v>
      </c>
      <c r="C1313">
        <v>80</v>
      </c>
      <c r="D1313">
        <v>79.360458374000004</v>
      </c>
      <c r="E1313">
        <v>50</v>
      </c>
      <c r="F1313">
        <v>49.711494446000003</v>
      </c>
      <c r="G1313">
        <v>1305.3083495999999</v>
      </c>
      <c r="H1313">
        <v>1292.9160156</v>
      </c>
      <c r="I1313">
        <v>1396.3691406</v>
      </c>
      <c r="J1313">
        <v>1376.0535889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918.125092</v>
      </c>
      <c r="B1314" s="1">
        <f>DATE(2012,11,4) + TIME(3,0,7)</f>
        <v>41217.125081018516</v>
      </c>
      <c r="C1314">
        <v>80</v>
      </c>
      <c r="D1314">
        <v>79.325622558999996</v>
      </c>
      <c r="E1314">
        <v>50</v>
      </c>
      <c r="F1314">
        <v>49.775852202999999</v>
      </c>
      <c r="G1314">
        <v>1304.9365233999999</v>
      </c>
      <c r="H1314">
        <v>1292.5410156</v>
      </c>
      <c r="I1314">
        <v>1396.6677245999999</v>
      </c>
      <c r="J1314">
        <v>1376.3771973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918.40031999999997</v>
      </c>
      <c r="B1315" s="1">
        <f>DATE(2012,11,4) + TIME(9,36,27)</f>
        <v>41217.400312500002</v>
      </c>
      <c r="C1315">
        <v>80</v>
      </c>
      <c r="D1315">
        <v>79.289100646999998</v>
      </c>
      <c r="E1315">
        <v>50</v>
      </c>
      <c r="F1315">
        <v>49.826267242</v>
      </c>
      <c r="G1315">
        <v>1304.6021728999999</v>
      </c>
      <c r="H1315">
        <v>1292.2034911999999</v>
      </c>
      <c r="I1315">
        <v>1396.9189452999999</v>
      </c>
      <c r="J1315">
        <v>1376.6499022999999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918.69587899999999</v>
      </c>
      <c r="B1316" s="1">
        <f>DATE(2012,11,4) + TIME(16,42,3)</f>
        <v>41217.695868055554</v>
      </c>
      <c r="C1316">
        <v>80</v>
      </c>
      <c r="D1316">
        <v>79.250534058</v>
      </c>
      <c r="E1316">
        <v>50</v>
      </c>
      <c r="F1316">
        <v>49.865386962999999</v>
      </c>
      <c r="G1316">
        <v>1304.3004149999999</v>
      </c>
      <c r="H1316">
        <v>1291.8988036999999</v>
      </c>
      <c r="I1316">
        <v>1397.1273193</v>
      </c>
      <c r="J1316">
        <v>1376.8769531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919.016572</v>
      </c>
      <c r="B1317" s="1">
        <f>DATE(2012,11,5) + TIME(0,23,51)</f>
        <v>41218.016562500001</v>
      </c>
      <c r="C1317">
        <v>80</v>
      </c>
      <c r="D1317">
        <v>79.209457396999994</v>
      </c>
      <c r="E1317">
        <v>50</v>
      </c>
      <c r="F1317">
        <v>49.895381927000003</v>
      </c>
      <c r="G1317">
        <v>1304.027832</v>
      </c>
      <c r="H1317">
        <v>1291.6232910000001</v>
      </c>
      <c r="I1317">
        <v>1397.2965088000001</v>
      </c>
      <c r="J1317">
        <v>1377.0626221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919.36821599999996</v>
      </c>
      <c r="B1318" s="1">
        <f>DATE(2012,11,5) + TIME(8,50,13)</f>
        <v>41218.368206018517</v>
      </c>
      <c r="C1318">
        <v>80</v>
      </c>
      <c r="D1318">
        <v>79.165313721000004</v>
      </c>
      <c r="E1318">
        <v>50</v>
      </c>
      <c r="F1318">
        <v>49.918022155999999</v>
      </c>
      <c r="G1318">
        <v>1303.7814940999999</v>
      </c>
      <c r="H1318">
        <v>1291.3741454999999</v>
      </c>
      <c r="I1318">
        <v>1397.4285889</v>
      </c>
      <c r="J1318">
        <v>1377.2095947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919.75078900000005</v>
      </c>
      <c r="B1319" s="1">
        <f>DATE(2012,11,5) + TIME(18,1,8)</f>
        <v>41218.750787037039</v>
      </c>
      <c r="C1319">
        <v>80</v>
      </c>
      <c r="D1319">
        <v>79.118019103999998</v>
      </c>
      <c r="E1319">
        <v>50</v>
      </c>
      <c r="F1319">
        <v>49.934558868000003</v>
      </c>
      <c r="G1319">
        <v>1303.5623779</v>
      </c>
      <c r="H1319">
        <v>1291.1520995999999</v>
      </c>
      <c r="I1319">
        <v>1397.5228271000001</v>
      </c>
      <c r="J1319">
        <v>1377.317749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920.17223899999999</v>
      </c>
      <c r="B1320" s="1">
        <f>DATE(2012,11,6) + TIME(4,8,1)</f>
        <v>41219.172233796293</v>
      </c>
      <c r="C1320">
        <v>80</v>
      </c>
      <c r="D1320">
        <v>79.066879271999994</v>
      </c>
      <c r="E1320">
        <v>50</v>
      </c>
      <c r="F1320">
        <v>49.946437836000001</v>
      </c>
      <c r="G1320">
        <v>1303.3673096</v>
      </c>
      <c r="H1320">
        <v>1290.9541016000001</v>
      </c>
      <c r="I1320">
        <v>1397.5832519999999</v>
      </c>
      <c r="J1320">
        <v>1377.3913574000001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920.62752399999999</v>
      </c>
      <c r="B1321" s="1">
        <f>DATE(2012,11,6) + TIME(15,3,38)</f>
        <v>41219.627523148149</v>
      </c>
      <c r="C1321">
        <v>80</v>
      </c>
      <c r="D1321">
        <v>79.012161254999995</v>
      </c>
      <c r="E1321">
        <v>50</v>
      </c>
      <c r="F1321">
        <v>49.954608917000002</v>
      </c>
      <c r="G1321">
        <v>1303.1975098</v>
      </c>
      <c r="H1321">
        <v>1290.7814940999999</v>
      </c>
      <c r="I1321">
        <v>1397.6097411999999</v>
      </c>
      <c r="J1321">
        <v>1377.4305420000001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921.087895</v>
      </c>
      <c r="B1322" s="1">
        <f>DATE(2012,11,7) + TIME(2,6,34)</f>
        <v>41220.087893518517</v>
      </c>
      <c r="C1322">
        <v>80</v>
      </c>
      <c r="D1322">
        <v>78.956016540999997</v>
      </c>
      <c r="E1322">
        <v>50</v>
      </c>
      <c r="F1322">
        <v>49.959877014</v>
      </c>
      <c r="G1322">
        <v>1303.0574951000001</v>
      </c>
      <c r="H1322">
        <v>1290.6387939000001</v>
      </c>
      <c r="I1322">
        <v>1397.6043701000001</v>
      </c>
      <c r="J1322">
        <v>1377.4378661999999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921.56005700000003</v>
      </c>
      <c r="B1323" s="1">
        <f>DATE(2012,11,7) + TIME(13,26,28)</f>
        <v>41220.560046296298</v>
      </c>
      <c r="C1323">
        <v>80</v>
      </c>
      <c r="D1323">
        <v>78.898429871000005</v>
      </c>
      <c r="E1323">
        <v>50</v>
      </c>
      <c r="F1323">
        <v>49.963317871000001</v>
      </c>
      <c r="G1323">
        <v>1302.9399414</v>
      </c>
      <c r="H1323">
        <v>1290.5184326000001</v>
      </c>
      <c r="I1323">
        <v>1397.5803223</v>
      </c>
      <c r="J1323">
        <v>1377.4256591999999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922.05041300000005</v>
      </c>
      <c r="B1324" s="1">
        <f>DATE(2012,11,8) + TIME(1,12,35)</f>
        <v>41221.050405092596</v>
      </c>
      <c r="C1324">
        <v>80</v>
      </c>
      <c r="D1324">
        <v>78.839111328000001</v>
      </c>
      <c r="E1324">
        <v>50</v>
      </c>
      <c r="F1324">
        <v>49.965587616000001</v>
      </c>
      <c r="G1324">
        <v>1302.8395995999999</v>
      </c>
      <c r="H1324">
        <v>1290.4152832</v>
      </c>
      <c r="I1324">
        <v>1397.5419922000001</v>
      </c>
      <c r="J1324">
        <v>1377.3989257999999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922.56419400000004</v>
      </c>
      <c r="B1325" s="1">
        <f>DATE(2012,11,8) + TIME(13,32,26)</f>
        <v>41221.564189814817</v>
      </c>
      <c r="C1325">
        <v>80</v>
      </c>
      <c r="D1325">
        <v>78.777725219999994</v>
      </c>
      <c r="E1325">
        <v>50</v>
      </c>
      <c r="F1325">
        <v>49.967090607000003</v>
      </c>
      <c r="G1325">
        <v>1302.7524414</v>
      </c>
      <c r="H1325">
        <v>1290.3253173999999</v>
      </c>
      <c r="I1325">
        <v>1397.4925536999999</v>
      </c>
      <c r="J1325">
        <v>1377.3607178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923.09912499999996</v>
      </c>
      <c r="B1326" s="1">
        <f>DATE(2012,11,9) + TIME(2,22,44)</f>
        <v>41222.099120370367</v>
      </c>
      <c r="C1326">
        <v>80</v>
      </c>
      <c r="D1326">
        <v>78.714385985999996</v>
      </c>
      <c r="E1326">
        <v>50</v>
      </c>
      <c r="F1326">
        <v>49.968082428000002</v>
      </c>
      <c r="G1326">
        <v>1302.6763916</v>
      </c>
      <c r="H1326">
        <v>1290.2463379000001</v>
      </c>
      <c r="I1326">
        <v>1397.434082</v>
      </c>
      <c r="J1326">
        <v>1377.3134766000001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923.66143599999998</v>
      </c>
      <c r="B1327" s="1">
        <f>DATE(2012,11,9) + TIME(15,52,28)</f>
        <v>41222.661435185182</v>
      </c>
      <c r="C1327">
        <v>80</v>
      </c>
      <c r="D1327">
        <v>78.648681640999996</v>
      </c>
      <c r="E1327">
        <v>50</v>
      </c>
      <c r="F1327">
        <v>49.968746185000001</v>
      </c>
      <c r="G1327">
        <v>1302.6088867000001</v>
      </c>
      <c r="H1327">
        <v>1290.1756591999999</v>
      </c>
      <c r="I1327">
        <v>1397.369751</v>
      </c>
      <c r="J1327">
        <v>1377.2602539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924.25802899999996</v>
      </c>
      <c r="B1328" s="1">
        <f>DATE(2012,11,10) + TIME(6,11,33)</f>
        <v>41223.258020833331</v>
      </c>
      <c r="C1328">
        <v>80</v>
      </c>
      <c r="D1328">
        <v>78.580078125</v>
      </c>
      <c r="E1328">
        <v>50</v>
      </c>
      <c r="F1328">
        <v>49.969196320000002</v>
      </c>
      <c r="G1328">
        <v>1302.5477295000001</v>
      </c>
      <c r="H1328">
        <v>1290.1113281</v>
      </c>
      <c r="I1328">
        <v>1397.3006591999999</v>
      </c>
      <c r="J1328">
        <v>1377.2023925999999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924.89735700000006</v>
      </c>
      <c r="B1329" s="1">
        <f>DATE(2012,11,10) + TIME(21,32,11)</f>
        <v>41223.897349537037</v>
      </c>
      <c r="C1329">
        <v>80</v>
      </c>
      <c r="D1329">
        <v>78.507888793999996</v>
      </c>
      <c r="E1329">
        <v>50</v>
      </c>
      <c r="F1329">
        <v>49.969505310000002</v>
      </c>
      <c r="G1329">
        <v>1302.4912108999999</v>
      </c>
      <c r="H1329">
        <v>1290.0513916</v>
      </c>
      <c r="I1329">
        <v>1397.2277832</v>
      </c>
      <c r="J1329">
        <v>1377.1409911999999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925.59026700000004</v>
      </c>
      <c r="B1330" s="1">
        <f>DATE(2012,11,11) + TIME(14,9,59)</f>
        <v>41224.590266203704</v>
      </c>
      <c r="C1330">
        <v>80</v>
      </c>
      <c r="D1330">
        <v>78.431221007999994</v>
      </c>
      <c r="E1330">
        <v>50</v>
      </c>
      <c r="F1330">
        <v>49.969726561999998</v>
      </c>
      <c r="G1330">
        <v>1302.4378661999999</v>
      </c>
      <c r="H1330">
        <v>1289.9943848</v>
      </c>
      <c r="I1330">
        <v>1397.1514893000001</v>
      </c>
      <c r="J1330">
        <v>1377.0764160000001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926.30599700000005</v>
      </c>
      <c r="B1331" s="1">
        <f>DATE(2012,11,12) + TIME(7,20,38)</f>
        <v>41225.305995370371</v>
      </c>
      <c r="C1331">
        <v>80</v>
      </c>
      <c r="D1331">
        <v>78.351509093999994</v>
      </c>
      <c r="E1331">
        <v>50</v>
      </c>
      <c r="F1331">
        <v>49.969875336000001</v>
      </c>
      <c r="G1331">
        <v>1302.3879394999999</v>
      </c>
      <c r="H1331">
        <v>1289.9405518000001</v>
      </c>
      <c r="I1331">
        <v>1397.0727539</v>
      </c>
      <c r="J1331">
        <v>1377.0097656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927.03550499999994</v>
      </c>
      <c r="B1332" s="1">
        <f>DATE(2012,11,13) + TIME(0,51,7)</f>
        <v>41226.035497685189</v>
      </c>
      <c r="C1332">
        <v>80</v>
      </c>
      <c r="D1332">
        <v>78.269889832000004</v>
      </c>
      <c r="E1332">
        <v>50</v>
      </c>
      <c r="F1332">
        <v>49.969978333</v>
      </c>
      <c r="G1332">
        <v>1302.3410644999999</v>
      </c>
      <c r="H1332">
        <v>1289.8898925999999</v>
      </c>
      <c r="I1332">
        <v>1396.9956055</v>
      </c>
      <c r="J1332">
        <v>1376.9444579999999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927.78820800000005</v>
      </c>
      <c r="B1333" s="1">
        <f>DATE(2012,11,13) + TIME(18,55,1)</f>
        <v>41226.788206018522</v>
      </c>
      <c r="C1333">
        <v>80</v>
      </c>
      <c r="D1333">
        <v>78.186386107999994</v>
      </c>
      <c r="E1333">
        <v>50</v>
      </c>
      <c r="F1333">
        <v>49.970058440999999</v>
      </c>
      <c r="G1333">
        <v>1302.2966309000001</v>
      </c>
      <c r="H1333">
        <v>1289.8411865</v>
      </c>
      <c r="I1333">
        <v>1396.9212646000001</v>
      </c>
      <c r="J1333">
        <v>1376.8815918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928.57369800000004</v>
      </c>
      <c r="B1334" s="1">
        <f>DATE(2012,11,14) + TIME(13,46,7)</f>
        <v>41227.573692129627</v>
      </c>
      <c r="C1334">
        <v>80</v>
      </c>
      <c r="D1334">
        <v>78.100570679</v>
      </c>
      <c r="E1334">
        <v>50</v>
      </c>
      <c r="F1334">
        <v>49.970115661999998</v>
      </c>
      <c r="G1334">
        <v>1302.2535399999999</v>
      </c>
      <c r="H1334">
        <v>1289.7937012</v>
      </c>
      <c r="I1334">
        <v>1396.8488769999999</v>
      </c>
      <c r="J1334">
        <v>1376.8205565999999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929.395128</v>
      </c>
      <c r="B1335" s="1">
        <f>DATE(2012,11,15) + TIME(9,28,59)</f>
        <v>41228.395127314812</v>
      </c>
      <c r="C1335">
        <v>80</v>
      </c>
      <c r="D1335">
        <v>78.012115479000002</v>
      </c>
      <c r="E1335">
        <v>50</v>
      </c>
      <c r="F1335">
        <v>49.970161437999998</v>
      </c>
      <c r="G1335">
        <v>1302.2108154</v>
      </c>
      <c r="H1335">
        <v>1289.7463379000001</v>
      </c>
      <c r="I1335">
        <v>1396.7779541</v>
      </c>
      <c r="J1335">
        <v>1376.7609863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930.24429099999998</v>
      </c>
      <c r="B1336" s="1">
        <f>DATE(2012,11,16) + TIME(5,51,46)</f>
        <v>41229.24428240741</v>
      </c>
      <c r="C1336">
        <v>80</v>
      </c>
      <c r="D1336">
        <v>77.921318053999997</v>
      </c>
      <c r="E1336">
        <v>50</v>
      </c>
      <c r="F1336">
        <v>49.970199585000003</v>
      </c>
      <c r="G1336">
        <v>1302.168457</v>
      </c>
      <c r="H1336">
        <v>1289.6989745999999</v>
      </c>
      <c r="I1336">
        <v>1396.708374</v>
      </c>
      <c r="J1336">
        <v>1376.7026367000001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931.13094000000001</v>
      </c>
      <c r="B1337" s="1">
        <f>DATE(2012,11,17) + TIME(3,8,33)</f>
        <v>41230.130937499998</v>
      </c>
      <c r="C1337">
        <v>80</v>
      </c>
      <c r="D1337">
        <v>77.827888489000003</v>
      </c>
      <c r="E1337">
        <v>50</v>
      </c>
      <c r="F1337">
        <v>49.970230102999999</v>
      </c>
      <c r="G1337">
        <v>1302.1258545000001</v>
      </c>
      <c r="H1337">
        <v>1289.6512451000001</v>
      </c>
      <c r="I1337">
        <v>1396.640625</v>
      </c>
      <c r="J1337">
        <v>1376.6461182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932.06575199999997</v>
      </c>
      <c r="B1338" s="1">
        <f>DATE(2012,11,18) + TIME(1,34,40)</f>
        <v>41231.065740740742</v>
      </c>
      <c r="C1338">
        <v>80</v>
      </c>
      <c r="D1338">
        <v>77.731178283999995</v>
      </c>
      <c r="E1338">
        <v>50</v>
      </c>
      <c r="F1338">
        <v>49.970260619999998</v>
      </c>
      <c r="G1338">
        <v>1302.0825195</v>
      </c>
      <c r="H1338">
        <v>1289.6022949000001</v>
      </c>
      <c r="I1338">
        <v>1396.5740966999999</v>
      </c>
      <c r="J1338">
        <v>1376.5906981999999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933.04757800000004</v>
      </c>
      <c r="B1339" s="1">
        <f>DATE(2012,11,19) + TIME(1,8,30)</f>
        <v>41232.047569444447</v>
      </c>
      <c r="C1339">
        <v>80</v>
      </c>
      <c r="D1339">
        <v>77.630935668999996</v>
      </c>
      <c r="E1339">
        <v>50</v>
      </c>
      <c r="F1339">
        <v>49.970283508000001</v>
      </c>
      <c r="G1339">
        <v>1302.0379639</v>
      </c>
      <c r="H1339">
        <v>1289.5517577999999</v>
      </c>
      <c r="I1339">
        <v>1396.5081786999999</v>
      </c>
      <c r="J1339">
        <v>1376.5360106999999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934.055206</v>
      </c>
      <c r="B1340" s="1">
        <f>DATE(2012,11,20) + TIME(1,19,29)</f>
        <v>41233.055196759262</v>
      </c>
      <c r="C1340">
        <v>80</v>
      </c>
      <c r="D1340">
        <v>77.528045653999996</v>
      </c>
      <c r="E1340">
        <v>50</v>
      </c>
      <c r="F1340">
        <v>49.970306395999998</v>
      </c>
      <c r="G1340">
        <v>1301.9921875</v>
      </c>
      <c r="H1340">
        <v>1289.4996338000001</v>
      </c>
      <c r="I1340">
        <v>1396.4431152</v>
      </c>
      <c r="J1340">
        <v>1376.4821777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935.10260600000004</v>
      </c>
      <c r="B1341" s="1">
        <f>DATE(2012,11,21) + TIME(2,27,45)</f>
        <v>41234.10260416667</v>
      </c>
      <c r="C1341">
        <v>80</v>
      </c>
      <c r="D1341">
        <v>77.422599792</v>
      </c>
      <c r="E1341">
        <v>50</v>
      </c>
      <c r="F1341">
        <v>49.970325469999999</v>
      </c>
      <c r="G1341">
        <v>1301.9451904</v>
      </c>
      <c r="H1341">
        <v>1289.4459228999999</v>
      </c>
      <c r="I1341">
        <v>1396.3798827999999</v>
      </c>
      <c r="J1341">
        <v>1376.4300536999999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936.20455500000003</v>
      </c>
      <c r="B1342" s="1">
        <f>DATE(2012,11,22) + TIME(4,54,33)</f>
        <v>41235.204548611109</v>
      </c>
      <c r="C1342">
        <v>80</v>
      </c>
      <c r="D1342">
        <v>77.313896178999997</v>
      </c>
      <c r="E1342">
        <v>50</v>
      </c>
      <c r="F1342">
        <v>49.970348358000003</v>
      </c>
      <c r="G1342">
        <v>1301.8966064000001</v>
      </c>
      <c r="H1342">
        <v>1289.3901367000001</v>
      </c>
      <c r="I1342">
        <v>1396.317749</v>
      </c>
      <c r="J1342">
        <v>1376.3789062000001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937.34404800000004</v>
      </c>
      <c r="B1343" s="1">
        <f>DATE(2012,11,23) + TIME(8,15,25)</f>
        <v>41236.344039351854</v>
      </c>
      <c r="C1343">
        <v>80</v>
      </c>
      <c r="D1343">
        <v>77.202194214000002</v>
      </c>
      <c r="E1343">
        <v>50</v>
      </c>
      <c r="F1343">
        <v>49.970371245999999</v>
      </c>
      <c r="G1343">
        <v>1301.8459473</v>
      </c>
      <c r="H1343">
        <v>1289.331543</v>
      </c>
      <c r="I1343">
        <v>1396.2559814000001</v>
      </c>
      <c r="J1343">
        <v>1376.328125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938.51309300000003</v>
      </c>
      <c r="B1344" s="1">
        <f>DATE(2012,11,24) + TIME(12,18,51)</f>
        <v>41237.513090277775</v>
      </c>
      <c r="C1344">
        <v>80</v>
      </c>
      <c r="D1344">
        <v>77.088249207000004</v>
      </c>
      <c r="E1344">
        <v>50</v>
      </c>
      <c r="F1344">
        <v>49.970394134999999</v>
      </c>
      <c r="G1344">
        <v>1301.7933350000001</v>
      </c>
      <c r="H1344">
        <v>1289.2706298999999</v>
      </c>
      <c r="I1344">
        <v>1396.1954346</v>
      </c>
      <c r="J1344">
        <v>1376.2784423999999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939.72467700000004</v>
      </c>
      <c r="B1345" s="1">
        <f>DATE(2012,11,25) + TIME(17,23,32)</f>
        <v>41238.724675925929</v>
      </c>
      <c r="C1345">
        <v>80</v>
      </c>
      <c r="D1345">
        <v>76.972061156999999</v>
      </c>
      <c r="E1345">
        <v>50</v>
      </c>
      <c r="F1345">
        <v>49.970413207999997</v>
      </c>
      <c r="G1345">
        <v>1301.7390137</v>
      </c>
      <c r="H1345">
        <v>1289.2073975000001</v>
      </c>
      <c r="I1345">
        <v>1396.1363524999999</v>
      </c>
      <c r="J1345">
        <v>1376.2299805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940.99286099999995</v>
      </c>
      <c r="B1346" s="1">
        <f>DATE(2012,11,26) + TIME(23,49,43)</f>
        <v>41239.992858796293</v>
      </c>
      <c r="C1346">
        <v>80</v>
      </c>
      <c r="D1346">
        <v>76.852951050000001</v>
      </c>
      <c r="E1346">
        <v>50</v>
      </c>
      <c r="F1346">
        <v>49.970439911</v>
      </c>
      <c r="G1346">
        <v>1301.6821289</v>
      </c>
      <c r="H1346">
        <v>1289.1408690999999</v>
      </c>
      <c r="I1346">
        <v>1396.0780029</v>
      </c>
      <c r="J1346">
        <v>1376.182251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942.30787499999997</v>
      </c>
      <c r="B1347" s="1">
        <f>DATE(2012,11,28) + TIME(7,23,20)</f>
        <v>41241.307870370372</v>
      </c>
      <c r="C1347">
        <v>80</v>
      </c>
      <c r="D1347">
        <v>76.730789185000006</v>
      </c>
      <c r="E1347">
        <v>50</v>
      </c>
      <c r="F1347">
        <v>49.970462799000003</v>
      </c>
      <c r="G1347">
        <v>1301.6223144999999</v>
      </c>
      <c r="H1347">
        <v>1289.0706786999999</v>
      </c>
      <c r="I1347">
        <v>1396.0198975000001</v>
      </c>
      <c r="J1347">
        <v>1376.1347656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943.66178500000001</v>
      </c>
      <c r="B1348" s="1">
        <f>DATE(2012,11,29) + TIME(15,52,58)</f>
        <v>41242.661782407406</v>
      </c>
      <c r="C1348">
        <v>80</v>
      </c>
      <c r="D1348">
        <v>76.606079101999995</v>
      </c>
      <c r="E1348">
        <v>50</v>
      </c>
      <c r="F1348">
        <v>49.970489502</v>
      </c>
      <c r="G1348">
        <v>1301.5596923999999</v>
      </c>
      <c r="H1348">
        <v>1288.9969481999999</v>
      </c>
      <c r="I1348">
        <v>1395.9624022999999</v>
      </c>
      <c r="J1348">
        <v>1376.0877685999999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945</v>
      </c>
      <c r="B1349" s="1">
        <f>DATE(2012,12,1) + TIME(0,0,0)</f>
        <v>41244</v>
      </c>
      <c r="C1349">
        <v>80</v>
      </c>
      <c r="D1349">
        <v>76.481140136999997</v>
      </c>
      <c r="E1349">
        <v>50</v>
      </c>
      <c r="F1349">
        <v>49.970512390000003</v>
      </c>
      <c r="G1349">
        <v>1301.494751</v>
      </c>
      <c r="H1349">
        <v>1288.9201660000001</v>
      </c>
      <c r="I1349">
        <v>1395.9060059000001</v>
      </c>
      <c r="J1349">
        <v>1376.0417480000001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946.41063799999995</v>
      </c>
      <c r="B1350" s="1">
        <f>DATE(2012,12,2) + TIME(9,51,19)</f>
        <v>41245.410636574074</v>
      </c>
      <c r="C1350">
        <v>80</v>
      </c>
      <c r="D1350">
        <v>76.355087280000006</v>
      </c>
      <c r="E1350">
        <v>50</v>
      </c>
      <c r="F1350">
        <v>49.970542907999999</v>
      </c>
      <c r="G1350">
        <v>1301.4284668</v>
      </c>
      <c r="H1350">
        <v>1288.8413086</v>
      </c>
      <c r="I1350">
        <v>1395.8524170000001</v>
      </c>
      <c r="J1350">
        <v>1375.9979248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947.936329</v>
      </c>
      <c r="B1351" s="1">
        <f>DATE(2012,12,3) + TIME(22,28,18)</f>
        <v>41246.936319444445</v>
      </c>
      <c r="C1351">
        <v>80</v>
      </c>
      <c r="D1351">
        <v>76.224403381000002</v>
      </c>
      <c r="E1351">
        <v>50</v>
      </c>
      <c r="F1351">
        <v>49.970573424999998</v>
      </c>
      <c r="G1351">
        <v>1301.3577881000001</v>
      </c>
      <c r="H1351">
        <v>1288.7568358999999</v>
      </c>
      <c r="I1351">
        <v>1395.7982178</v>
      </c>
      <c r="J1351">
        <v>1375.9536132999999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949.49400700000001</v>
      </c>
      <c r="B1352" s="1">
        <f>DATE(2012,12,5) + TIME(11,51,22)</f>
        <v>41248.494004629632</v>
      </c>
      <c r="C1352">
        <v>80</v>
      </c>
      <c r="D1352">
        <v>76.089233398000005</v>
      </c>
      <c r="E1352">
        <v>50</v>
      </c>
      <c r="F1352">
        <v>49.970600128000001</v>
      </c>
      <c r="G1352">
        <v>1301.28125</v>
      </c>
      <c r="H1352">
        <v>1288.6651611</v>
      </c>
      <c r="I1352">
        <v>1395.7423096</v>
      </c>
      <c r="J1352">
        <v>1375.9079589999999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951.09394099999997</v>
      </c>
      <c r="B1353" s="1">
        <f>DATE(2012,12,7) + TIME(2,15,16)</f>
        <v>41250.093935185185</v>
      </c>
      <c r="C1353">
        <v>80</v>
      </c>
      <c r="D1353">
        <v>75.951675414999997</v>
      </c>
      <c r="E1353">
        <v>50</v>
      </c>
      <c r="F1353">
        <v>49.970634459999999</v>
      </c>
      <c r="G1353">
        <v>1301.2011719</v>
      </c>
      <c r="H1353">
        <v>1288.5686035000001</v>
      </c>
      <c r="I1353">
        <v>1395.6875</v>
      </c>
      <c r="J1353">
        <v>1375.8632812000001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952.74269600000002</v>
      </c>
      <c r="B1354" s="1">
        <f>DATE(2012,12,8) + TIME(17,49,28)</f>
        <v>41251.742685185185</v>
      </c>
      <c r="C1354">
        <v>80</v>
      </c>
      <c r="D1354">
        <v>75.812057495000005</v>
      </c>
      <c r="E1354">
        <v>50</v>
      </c>
      <c r="F1354">
        <v>49.970664978000002</v>
      </c>
      <c r="G1354">
        <v>1301.1173096</v>
      </c>
      <c r="H1354">
        <v>1288.4670410000001</v>
      </c>
      <c r="I1354">
        <v>1395.6335449000001</v>
      </c>
      <c r="J1354">
        <v>1375.8190918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954.46274900000003</v>
      </c>
      <c r="B1355" s="1">
        <f>DATE(2012,12,10) + TIME(11,6,21)</f>
        <v>41253.462743055556</v>
      </c>
      <c r="C1355">
        <v>80</v>
      </c>
      <c r="D1355">
        <v>75.669754028</v>
      </c>
      <c r="E1355">
        <v>50</v>
      </c>
      <c r="F1355">
        <v>49.970699310000001</v>
      </c>
      <c r="G1355">
        <v>1301.0290527</v>
      </c>
      <c r="H1355">
        <v>1288.3594971</v>
      </c>
      <c r="I1355">
        <v>1395.5799560999999</v>
      </c>
      <c r="J1355">
        <v>1375.7753906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956.27951199999995</v>
      </c>
      <c r="B1356" s="1">
        <f>DATE(2012,12,12) + TIME(6,42,29)</f>
        <v>41255.279502314814</v>
      </c>
      <c r="C1356">
        <v>80</v>
      </c>
      <c r="D1356">
        <v>75.523368834999999</v>
      </c>
      <c r="E1356">
        <v>50</v>
      </c>
      <c r="F1356">
        <v>49.970737456999998</v>
      </c>
      <c r="G1356">
        <v>1300.9350586</v>
      </c>
      <c r="H1356">
        <v>1288.2443848</v>
      </c>
      <c r="I1356">
        <v>1395.5263672000001</v>
      </c>
      <c r="J1356">
        <v>1375.7315673999999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958.14421100000004</v>
      </c>
      <c r="B1357" s="1">
        <f>DATE(2012,12,14) + TIME(3,27,39)</f>
        <v>41257.144201388888</v>
      </c>
      <c r="C1357">
        <v>80</v>
      </c>
      <c r="D1357">
        <v>75.372970581000004</v>
      </c>
      <c r="E1357">
        <v>50</v>
      </c>
      <c r="F1357">
        <v>49.970775604000004</v>
      </c>
      <c r="G1357">
        <v>1300.8341064000001</v>
      </c>
      <c r="H1357">
        <v>1288.1203613</v>
      </c>
      <c r="I1357">
        <v>1395.472168</v>
      </c>
      <c r="J1357">
        <v>1375.6871338000001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960.04175499999997</v>
      </c>
      <c r="B1358" s="1">
        <f>DATE(2012,12,16) + TIME(1,0,7)</f>
        <v>41259.041747685187</v>
      </c>
      <c r="C1358">
        <v>80</v>
      </c>
      <c r="D1358">
        <v>75.220581054999997</v>
      </c>
      <c r="E1358">
        <v>50</v>
      </c>
      <c r="F1358">
        <v>49.970813751000001</v>
      </c>
      <c r="G1358">
        <v>1300.7280272999999</v>
      </c>
      <c r="H1358">
        <v>1287.9892577999999</v>
      </c>
      <c r="I1358">
        <v>1395.4185791</v>
      </c>
      <c r="J1358">
        <v>1375.6433105000001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961.99270100000001</v>
      </c>
      <c r="B1359" s="1">
        <f>DATE(2012,12,17) + TIME(23,49,29)</f>
        <v>41260.992696759262</v>
      </c>
      <c r="C1359">
        <v>80</v>
      </c>
      <c r="D1359">
        <v>75.066856384000005</v>
      </c>
      <c r="E1359">
        <v>50</v>
      </c>
      <c r="F1359">
        <v>49.970855712999999</v>
      </c>
      <c r="G1359">
        <v>1300.6171875</v>
      </c>
      <c r="H1359">
        <v>1287.8514404</v>
      </c>
      <c r="I1359">
        <v>1395.3662108999999</v>
      </c>
      <c r="J1359">
        <v>1375.6002197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963.98596599999996</v>
      </c>
      <c r="B1360" s="1">
        <f>DATE(2012,12,19) + TIME(23,39,47)</f>
        <v>41262.985960648148</v>
      </c>
      <c r="C1360">
        <v>80</v>
      </c>
      <c r="D1360">
        <v>74.911651610999996</v>
      </c>
      <c r="E1360">
        <v>50</v>
      </c>
      <c r="F1360">
        <v>49.970897675000003</v>
      </c>
      <c r="G1360">
        <v>1300.5006103999999</v>
      </c>
      <c r="H1360">
        <v>1287.7056885</v>
      </c>
      <c r="I1360">
        <v>1395.3143310999999</v>
      </c>
      <c r="J1360">
        <v>1375.5576172000001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966.02084000000002</v>
      </c>
      <c r="B1361" s="1">
        <f>DATE(2012,12,22) + TIME(0,30,0)</f>
        <v>41265.020833333336</v>
      </c>
      <c r="C1361">
        <v>80</v>
      </c>
      <c r="D1361">
        <v>74.755226135000001</v>
      </c>
      <c r="E1361">
        <v>50</v>
      </c>
      <c r="F1361">
        <v>49.970939635999997</v>
      </c>
      <c r="G1361">
        <v>1300.3785399999999</v>
      </c>
      <c r="H1361">
        <v>1287.5523682</v>
      </c>
      <c r="I1361">
        <v>1395.2631836</v>
      </c>
      <c r="J1361">
        <v>1375.515625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968.08417499999996</v>
      </c>
      <c r="B1362" s="1">
        <f>DATE(2012,12,24) + TIME(2,1,12)</f>
        <v>41267.084166666667</v>
      </c>
      <c r="C1362">
        <v>80</v>
      </c>
      <c r="D1362">
        <v>74.598007202000005</v>
      </c>
      <c r="E1362">
        <v>50</v>
      </c>
      <c r="F1362">
        <v>49.970981598000002</v>
      </c>
      <c r="G1362">
        <v>1300.2508545000001</v>
      </c>
      <c r="H1362">
        <v>1287.3911132999999</v>
      </c>
      <c r="I1362">
        <v>1395.2128906</v>
      </c>
      <c r="J1362">
        <v>1375.4743652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970.16857100000004</v>
      </c>
      <c r="B1363" s="1">
        <f>DATE(2012,12,26) + TIME(4,2,44)</f>
        <v>41269.168564814812</v>
      </c>
      <c r="C1363">
        <v>80</v>
      </c>
      <c r="D1363">
        <v>74.440643311000002</v>
      </c>
      <c r="E1363">
        <v>50</v>
      </c>
      <c r="F1363">
        <v>49.971027374000002</v>
      </c>
      <c r="G1363">
        <v>1300.1180420000001</v>
      </c>
      <c r="H1363">
        <v>1287.2224120999999</v>
      </c>
      <c r="I1363">
        <v>1395.1636963000001</v>
      </c>
      <c r="J1363">
        <v>1375.4338379000001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972.27791200000001</v>
      </c>
      <c r="B1364" s="1">
        <f>DATE(2012,12,28) + TIME(6,40,11)</f>
        <v>41271.277905092589</v>
      </c>
      <c r="C1364">
        <v>80</v>
      </c>
      <c r="D1364">
        <v>74.283439635999997</v>
      </c>
      <c r="E1364">
        <v>50</v>
      </c>
      <c r="F1364">
        <v>49.971069335999999</v>
      </c>
      <c r="G1364">
        <v>1299.9803466999999</v>
      </c>
      <c r="H1364">
        <v>1287.0467529</v>
      </c>
      <c r="I1364">
        <v>1395.1157227000001</v>
      </c>
      <c r="J1364">
        <v>1375.3941649999999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974.41626499999995</v>
      </c>
      <c r="B1365" s="1">
        <f>DATE(2012,12,30) + TIME(9,59,25)</f>
        <v>41273.416261574072</v>
      </c>
      <c r="C1365">
        <v>80</v>
      </c>
      <c r="D1365">
        <v>74.126197814999998</v>
      </c>
      <c r="E1365">
        <v>50</v>
      </c>
      <c r="F1365">
        <v>49.971115112</v>
      </c>
      <c r="G1365">
        <v>1299.8375243999999</v>
      </c>
      <c r="H1365">
        <v>1286.8635254000001</v>
      </c>
      <c r="I1365">
        <v>1395.0687256000001</v>
      </c>
      <c r="J1365">
        <v>1375.3553466999999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976</v>
      </c>
      <c r="B1366" s="1">
        <f>DATE(2013,1,1) + TIME(0,0,0)</f>
        <v>41275</v>
      </c>
      <c r="C1366">
        <v>80</v>
      </c>
      <c r="D1366">
        <v>73.983078003000003</v>
      </c>
      <c r="E1366">
        <v>50</v>
      </c>
      <c r="F1366">
        <v>49.971141815000003</v>
      </c>
      <c r="G1366">
        <v>1299.6949463000001</v>
      </c>
      <c r="H1366">
        <v>1286.6805420000001</v>
      </c>
      <c r="I1366">
        <v>1395.0240478999999</v>
      </c>
      <c r="J1366">
        <v>1375.3186035000001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978.16744200000005</v>
      </c>
      <c r="B1367" s="1">
        <f>DATE(2013,1,3) + TIME(4,1,6)</f>
        <v>41277.167430555557</v>
      </c>
      <c r="C1367">
        <v>80</v>
      </c>
      <c r="D1367">
        <v>73.845779418999996</v>
      </c>
      <c r="E1367">
        <v>50</v>
      </c>
      <c r="F1367">
        <v>49.971195221000002</v>
      </c>
      <c r="G1367">
        <v>1299.5718993999999</v>
      </c>
      <c r="H1367">
        <v>1286.5195312000001</v>
      </c>
      <c r="I1367">
        <v>1394.9886475000001</v>
      </c>
      <c r="J1367">
        <v>1375.2890625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980.376981</v>
      </c>
      <c r="B1368" s="1">
        <f>DATE(2013,1,5) + TIME(9,2,51)</f>
        <v>41279.376979166664</v>
      </c>
      <c r="C1368">
        <v>80</v>
      </c>
      <c r="D1368">
        <v>73.693870544000006</v>
      </c>
      <c r="E1368">
        <v>50</v>
      </c>
      <c r="F1368">
        <v>49.971240997000002</v>
      </c>
      <c r="G1368">
        <v>1299.4183350000001</v>
      </c>
      <c r="H1368">
        <v>1286.3206786999999</v>
      </c>
      <c r="I1368">
        <v>1394.9449463000001</v>
      </c>
      <c r="J1368">
        <v>1375.2528076000001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982.61659399999996</v>
      </c>
      <c r="B1369" s="1">
        <f>DATE(2013,1,7) + TIME(14,47,53)</f>
        <v>41281.616585648146</v>
      </c>
      <c r="C1369">
        <v>80</v>
      </c>
      <c r="D1369">
        <v>73.536926269999995</v>
      </c>
      <c r="E1369">
        <v>50</v>
      </c>
      <c r="F1369">
        <v>49.971290588000002</v>
      </c>
      <c r="G1369">
        <v>1299.2554932</v>
      </c>
      <c r="H1369">
        <v>1286.1085204999999</v>
      </c>
      <c r="I1369">
        <v>1394.9011230000001</v>
      </c>
      <c r="J1369">
        <v>1375.2164307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984.89088100000004</v>
      </c>
      <c r="B1370" s="1">
        <f>DATE(2013,1,9) + TIME(21,22,52)</f>
        <v>41283.890879629631</v>
      </c>
      <c r="C1370">
        <v>80</v>
      </c>
      <c r="D1370">
        <v>73.377822875999996</v>
      </c>
      <c r="E1370">
        <v>50</v>
      </c>
      <c r="F1370">
        <v>49.971336364999999</v>
      </c>
      <c r="G1370">
        <v>1299.0856934000001</v>
      </c>
      <c r="H1370">
        <v>1285.8861084</v>
      </c>
      <c r="I1370">
        <v>1394.8580322</v>
      </c>
      <c r="J1370">
        <v>1375.1805420000001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987.20429799999999</v>
      </c>
      <c r="B1371" s="1">
        <f>DATE(2013,1,12) + TIME(4,54,11)</f>
        <v>41286.204293981478</v>
      </c>
      <c r="C1371">
        <v>80</v>
      </c>
      <c r="D1371">
        <v>73.216979980000005</v>
      </c>
      <c r="E1371">
        <v>50</v>
      </c>
      <c r="F1371">
        <v>49.971385955999999</v>
      </c>
      <c r="G1371">
        <v>1298.9090576000001</v>
      </c>
      <c r="H1371">
        <v>1285.6536865</v>
      </c>
      <c r="I1371">
        <v>1394.8155518000001</v>
      </c>
      <c r="J1371">
        <v>1375.1451416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989.54657399999996</v>
      </c>
      <c r="B1372" s="1">
        <f>DATE(2013,1,14) + TIME(13,7,3)</f>
        <v>41288.5465625</v>
      </c>
      <c r="C1372">
        <v>80</v>
      </c>
      <c r="D1372">
        <v>73.054428100999999</v>
      </c>
      <c r="E1372">
        <v>50</v>
      </c>
      <c r="F1372">
        <v>49.971435546999999</v>
      </c>
      <c r="G1372">
        <v>1298.7252197</v>
      </c>
      <c r="H1372">
        <v>1285.4108887</v>
      </c>
      <c r="I1372">
        <v>1394.7735596</v>
      </c>
      <c r="J1372">
        <v>1375.1101074000001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991.91009599999995</v>
      </c>
      <c r="B1373" s="1">
        <f>DATE(2013,1,16) + TIME(21,50,32)</f>
        <v>41290.910092592596</v>
      </c>
      <c r="C1373">
        <v>80</v>
      </c>
      <c r="D1373">
        <v>72.890495299999998</v>
      </c>
      <c r="E1373">
        <v>50</v>
      </c>
      <c r="F1373">
        <v>49.971485137999998</v>
      </c>
      <c r="G1373">
        <v>1298.534668</v>
      </c>
      <c r="H1373">
        <v>1285.1582031</v>
      </c>
      <c r="I1373">
        <v>1394.7320557</v>
      </c>
      <c r="J1373">
        <v>1375.0755615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994.30007000000001</v>
      </c>
      <c r="B1374" s="1">
        <f>DATE(2013,1,19) + TIME(7,12,6)</f>
        <v>41293.300069444442</v>
      </c>
      <c r="C1374">
        <v>80</v>
      </c>
      <c r="D1374">
        <v>72.725250243999994</v>
      </c>
      <c r="E1374">
        <v>50</v>
      </c>
      <c r="F1374">
        <v>49.971538543999998</v>
      </c>
      <c r="G1374">
        <v>1298.3378906</v>
      </c>
      <c r="H1374">
        <v>1284.8961182</v>
      </c>
      <c r="I1374">
        <v>1394.6914062000001</v>
      </c>
      <c r="J1374">
        <v>1375.0415039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996.72148500000003</v>
      </c>
      <c r="B1375" s="1">
        <f>DATE(2013,1,21) + TIME(17,18,56)</f>
        <v>41295.72148148148</v>
      </c>
      <c r="C1375">
        <v>80</v>
      </c>
      <c r="D1375">
        <v>72.558265685999999</v>
      </c>
      <c r="E1375">
        <v>50</v>
      </c>
      <c r="F1375">
        <v>49.971588134999998</v>
      </c>
      <c r="G1375">
        <v>1298.1343993999999</v>
      </c>
      <c r="H1375">
        <v>1284.6240233999999</v>
      </c>
      <c r="I1375">
        <v>1394.6513672000001</v>
      </c>
      <c r="J1375">
        <v>1375.0078125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999.17120699999998</v>
      </c>
      <c r="B1376" s="1">
        <f>DATE(2013,1,24) + TIME(4,6,32)</f>
        <v>41298.171203703707</v>
      </c>
      <c r="C1376">
        <v>80</v>
      </c>
      <c r="D1376">
        <v>72.389091492000006</v>
      </c>
      <c r="E1376">
        <v>50</v>
      </c>
      <c r="F1376">
        <v>49.971641540999997</v>
      </c>
      <c r="G1376">
        <v>1297.9239502</v>
      </c>
      <c r="H1376">
        <v>1284.3415527</v>
      </c>
      <c r="I1376">
        <v>1394.6116943</v>
      </c>
      <c r="J1376">
        <v>1374.9746094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1001.651837</v>
      </c>
      <c r="B1377" s="1">
        <f>DATE(2013,1,26) + TIME(15,38,38)</f>
        <v>41300.651828703703</v>
      </c>
      <c r="C1377">
        <v>80</v>
      </c>
      <c r="D1377">
        <v>72.217453003000003</v>
      </c>
      <c r="E1377">
        <v>50</v>
      </c>
      <c r="F1377">
        <v>49.971691131999997</v>
      </c>
      <c r="G1377">
        <v>1297.7062988</v>
      </c>
      <c r="H1377">
        <v>1284.0485839999999</v>
      </c>
      <c r="I1377">
        <v>1394.5726318</v>
      </c>
      <c r="J1377">
        <v>1374.9417725000001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1004.168325</v>
      </c>
      <c r="B1378" s="1">
        <f>DATE(2013,1,29) + TIME(4,2,23)</f>
        <v>41303.168321759258</v>
      </c>
      <c r="C1378">
        <v>80</v>
      </c>
      <c r="D1378">
        <v>72.042846679999997</v>
      </c>
      <c r="E1378">
        <v>50</v>
      </c>
      <c r="F1378">
        <v>49.971744536999999</v>
      </c>
      <c r="G1378">
        <v>1297.4814452999999</v>
      </c>
      <c r="H1378">
        <v>1283.7446289</v>
      </c>
      <c r="I1378">
        <v>1394.5339355000001</v>
      </c>
      <c r="J1378">
        <v>1374.9091797000001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1006.7255270000001</v>
      </c>
      <c r="B1379" s="1">
        <f>DATE(2013,1,31) + TIME(17,24,45)</f>
        <v>41305.72552083333</v>
      </c>
      <c r="C1379">
        <v>80</v>
      </c>
      <c r="D1379">
        <v>71.864624023000005</v>
      </c>
      <c r="E1379">
        <v>50</v>
      </c>
      <c r="F1379">
        <v>49.971797942999999</v>
      </c>
      <c r="G1379">
        <v>1297.2485352000001</v>
      </c>
      <c r="H1379">
        <v>1283.4289550999999</v>
      </c>
      <c r="I1379">
        <v>1394.4956055</v>
      </c>
      <c r="J1379">
        <v>1374.8768310999999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1007</v>
      </c>
      <c r="B1380" s="1">
        <f>DATE(2013,2,1) + TIME(0,0,0)</f>
        <v>41306</v>
      </c>
      <c r="C1380">
        <v>80</v>
      </c>
      <c r="D1380">
        <v>71.802841186999999</v>
      </c>
      <c r="E1380">
        <v>50</v>
      </c>
      <c r="F1380">
        <v>49.971786498999997</v>
      </c>
      <c r="G1380">
        <v>1297.078125</v>
      </c>
      <c r="H1380">
        <v>1283.2003173999999</v>
      </c>
      <c r="I1380">
        <v>1394.4729004000001</v>
      </c>
      <c r="J1380">
        <v>1374.8585204999999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1009.600814</v>
      </c>
      <c r="B1381" s="1">
        <f>DATE(2013,2,3) + TIME(14,25,10)</f>
        <v>41308.600810185184</v>
      </c>
      <c r="C1381">
        <v>80</v>
      </c>
      <c r="D1381">
        <v>71.652297974000007</v>
      </c>
      <c r="E1381">
        <v>50</v>
      </c>
      <c r="F1381">
        <v>49.971858978</v>
      </c>
      <c r="G1381">
        <v>1296.9694824000001</v>
      </c>
      <c r="H1381">
        <v>1283.0472411999999</v>
      </c>
      <c r="I1381">
        <v>1394.4521483999999</v>
      </c>
      <c r="J1381">
        <v>1374.8400879000001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1012.233825</v>
      </c>
      <c r="B1382" s="1">
        <f>DATE(2013,2,6) + TIME(5,36,42)</f>
        <v>41311.233819444446</v>
      </c>
      <c r="C1382">
        <v>80</v>
      </c>
      <c r="D1382">
        <v>71.472404479999994</v>
      </c>
      <c r="E1382">
        <v>50</v>
      </c>
      <c r="F1382">
        <v>49.971912383999999</v>
      </c>
      <c r="G1382">
        <v>1296.7282714999999</v>
      </c>
      <c r="H1382">
        <v>1282.7191161999999</v>
      </c>
      <c r="I1382">
        <v>1394.4156493999999</v>
      </c>
      <c r="J1382">
        <v>1374.8092041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1014.896217</v>
      </c>
      <c r="B1383" s="1">
        <f>DATE(2013,2,8) + TIME(21,30,33)</f>
        <v>41313.896215277775</v>
      </c>
      <c r="C1383">
        <v>80</v>
      </c>
      <c r="D1383">
        <v>71.281806946000003</v>
      </c>
      <c r="E1383">
        <v>50</v>
      </c>
      <c r="F1383">
        <v>49.971969604000002</v>
      </c>
      <c r="G1383">
        <v>1296.4716797000001</v>
      </c>
      <c r="H1383">
        <v>1282.3679199000001</v>
      </c>
      <c r="I1383">
        <v>1394.3782959</v>
      </c>
      <c r="J1383">
        <v>1374.7775879000001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1017.592113</v>
      </c>
      <c r="B1384" s="1">
        <f>DATE(2013,2,11) + TIME(14,12,38)</f>
        <v>41316.592106481483</v>
      </c>
      <c r="C1384">
        <v>80</v>
      </c>
      <c r="D1384">
        <v>71.084716796999999</v>
      </c>
      <c r="E1384">
        <v>50</v>
      </c>
      <c r="F1384">
        <v>49.972023010000001</v>
      </c>
      <c r="G1384">
        <v>1296.2059326000001</v>
      </c>
      <c r="H1384">
        <v>1282.0028076000001</v>
      </c>
      <c r="I1384">
        <v>1394.3411865</v>
      </c>
      <c r="J1384">
        <v>1374.7460937999999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1020.322711</v>
      </c>
      <c r="B1385" s="1">
        <f>DATE(2013,2,14) + TIME(7,44,42)</f>
        <v>41319.322708333333</v>
      </c>
      <c r="C1385">
        <v>80</v>
      </c>
      <c r="D1385">
        <v>70.881507873999993</v>
      </c>
      <c r="E1385">
        <v>50</v>
      </c>
      <c r="F1385">
        <v>49.972080231</v>
      </c>
      <c r="G1385">
        <v>1295.9318848</v>
      </c>
      <c r="H1385">
        <v>1281.6248779</v>
      </c>
      <c r="I1385">
        <v>1394.3043213000001</v>
      </c>
      <c r="J1385">
        <v>1374.7147216999999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1023.093377</v>
      </c>
      <c r="B1386" s="1">
        <f>DATE(2013,2,17) + TIME(2,14,27)</f>
        <v>41322.093368055554</v>
      </c>
      <c r="C1386">
        <v>80</v>
      </c>
      <c r="D1386">
        <v>70.671691894999995</v>
      </c>
      <c r="E1386">
        <v>50</v>
      </c>
      <c r="F1386">
        <v>49.972137451000002</v>
      </c>
      <c r="G1386">
        <v>1295.6495361</v>
      </c>
      <c r="H1386">
        <v>1281.2341309000001</v>
      </c>
      <c r="I1386">
        <v>1394.2677002</v>
      </c>
      <c r="J1386">
        <v>1374.6835937999999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1025.9010679999999</v>
      </c>
      <c r="B1387" s="1">
        <f>DATE(2013,2,19) + TIME(21,37,32)</f>
        <v>41324.901064814818</v>
      </c>
      <c r="C1387">
        <v>80</v>
      </c>
      <c r="D1387">
        <v>70.454498290999993</v>
      </c>
      <c r="E1387">
        <v>50</v>
      </c>
      <c r="F1387">
        <v>49.972194672000001</v>
      </c>
      <c r="G1387">
        <v>1295.3583983999999</v>
      </c>
      <c r="H1387">
        <v>1280.8302002</v>
      </c>
      <c r="I1387">
        <v>1394.2313231999999</v>
      </c>
      <c r="J1387">
        <v>1374.6524658000001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1028.7325880000001</v>
      </c>
      <c r="B1388" s="1">
        <f>DATE(2013,2,22) + TIME(17,34,55)</f>
        <v>41327.732581018521</v>
      </c>
      <c r="C1388">
        <v>80</v>
      </c>
      <c r="D1388">
        <v>70.229621886999993</v>
      </c>
      <c r="E1388">
        <v>50</v>
      </c>
      <c r="F1388">
        <v>49.972251892000003</v>
      </c>
      <c r="G1388">
        <v>1295.0588379000001</v>
      </c>
      <c r="H1388">
        <v>1280.4132079999999</v>
      </c>
      <c r="I1388">
        <v>1394.1949463000001</v>
      </c>
      <c r="J1388">
        <v>1374.6214600000001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1031.5940639999999</v>
      </c>
      <c r="B1389" s="1">
        <f>DATE(2013,2,25) + TIME(14,15,27)</f>
        <v>41330.5940625</v>
      </c>
      <c r="C1389">
        <v>80</v>
      </c>
      <c r="D1389">
        <v>69.997154236</v>
      </c>
      <c r="E1389">
        <v>50</v>
      </c>
      <c r="F1389">
        <v>49.972309113000001</v>
      </c>
      <c r="G1389">
        <v>1294.7519531</v>
      </c>
      <c r="H1389">
        <v>1279.9846190999999</v>
      </c>
      <c r="I1389">
        <v>1394.1589355000001</v>
      </c>
      <c r="J1389">
        <v>1374.5905762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1034.4913340000001</v>
      </c>
      <c r="B1390" s="1">
        <f>DATE(2013,2,28) + TIME(11,47,31)</f>
        <v>41333.491331018522</v>
      </c>
      <c r="C1390">
        <v>80</v>
      </c>
      <c r="D1390">
        <v>69.755912781000006</v>
      </c>
      <c r="E1390">
        <v>50</v>
      </c>
      <c r="F1390">
        <v>49.972366332999997</v>
      </c>
      <c r="G1390">
        <v>1294.4375</v>
      </c>
      <c r="H1390">
        <v>1279.5439452999999</v>
      </c>
      <c r="I1390">
        <v>1394.1230469</v>
      </c>
      <c r="J1390">
        <v>1374.5596923999999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1035</v>
      </c>
      <c r="B1391" s="1">
        <f>DATE(2013,3,1) + TIME(0,0,0)</f>
        <v>41334</v>
      </c>
      <c r="C1391">
        <v>80</v>
      </c>
      <c r="D1391">
        <v>69.62828064</v>
      </c>
      <c r="E1391">
        <v>50</v>
      </c>
      <c r="F1391">
        <v>49.972362517999997</v>
      </c>
      <c r="G1391">
        <v>1294.1767577999999</v>
      </c>
      <c r="H1391">
        <v>1279.1893310999999</v>
      </c>
      <c r="I1391">
        <v>1394.0987548999999</v>
      </c>
      <c r="J1391">
        <v>1374.5395507999999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1037.9388389999999</v>
      </c>
      <c r="B1392" s="1">
        <f>DATE(2013,3,3) + TIME(22,31,55)</f>
        <v>41336.938831018517</v>
      </c>
      <c r="C1392">
        <v>80</v>
      </c>
      <c r="D1392">
        <v>69.442138671999999</v>
      </c>
      <c r="E1392">
        <v>50</v>
      </c>
      <c r="F1392">
        <v>49.972438812</v>
      </c>
      <c r="G1392">
        <v>1294.0374756000001</v>
      </c>
      <c r="H1392">
        <v>1278.9766846</v>
      </c>
      <c r="I1392">
        <v>1394.0794678</v>
      </c>
      <c r="J1392">
        <v>1374.5222168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1040.934315</v>
      </c>
      <c r="B1393" s="1">
        <f>DATE(2013,3,6) + TIME(22,25,24)</f>
        <v>41339.934305555558</v>
      </c>
      <c r="C1393">
        <v>80</v>
      </c>
      <c r="D1393">
        <v>69.192222595000004</v>
      </c>
      <c r="E1393">
        <v>50</v>
      </c>
      <c r="F1393">
        <v>49.972496032999999</v>
      </c>
      <c r="G1393">
        <v>1293.7215576000001</v>
      </c>
      <c r="H1393">
        <v>1278.534668</v>
      </c>
      <c r="I1393">
        <v>1394.0449219</v>
      </c>
      <c r="J1393">
        <v>1374.4924315999999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1043.9738359999999</v>
      </c>
      <c r="B1394" s="1">
        <f>DATE(2013,3,9) + TIME(23,22,19)</f>
        <v>41342.97383101852</v>
      </c>
      <c r="C1394">
        <v>80</v>
      </c>
      <c r="D1394">
        <v>68.918235779</v>
      </c>
      <c r="E1394">
        <v>50</v>
      </c>
      <c r="F1394">
        <v>49.972557068</v>
      </c>
      <c r="G1394">
        <v>1293.3825684000001</v>
      </c>
      <c r="H1394">
        <v>1278.0557861</v>
      </c>
      <c r="I1394">
        <v>1394.0091553</v>
      </c>
      <c r="J1394">
        <v>1374.4615478999999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1047.055885</v>
      </c>
      <c r="B1395" s="1">
        <f>DATE(2013,3,13) + TIME(1,20,28)</f>
        <v>41346.055879629632</v>
      </c>
      <c r="C1395">
        <v>80</v>
      </c>
      <c r="D1395">
        <v>68.628852843999994</v>
      </c>
      <c r="E1395">
        <v>50</v>
      </c>
      <c r="F1395">
        <v>49.972618103000002</v>
      </c>
      <c r="G1395">
        <v>1293.0321045000001</v>
      </c>
      <c r="H1395">
        <v>1277.5584716999999</v>
      </c>
      <c r="I1395">
        <v>1393.9730225000001</v>
      </c>
      <c r="J1395">
        <v>1374.4304199000001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1050.186721</v>
      </c>
      <c r="B1396" s="1">
        <f>DATE(2013,3,16) + TIME(4,28,52)</f>
        <v>41349.186712962961</v>
      </c>
      <c r="C1396">
        <v>80</v>
      </c>
      <c r="D1396">
        <v>68.325119018999999</v>
      </c>
      <c r="E1396">
        <v>50</v>
      </c>
      <c r="F1396">
        <v>49.972679137999997</v>
      </c>
      <c r="G1396">
        <v>1292.6726074000001</v>
      </c>
      <c r="H1396">
        <v>1277.0463867000001</v>
      </c>
      <c r="I1396">
        <v>1393.9368896000001</v>
      </c>
      <c r="J1396">
        <v>1374.3990478999999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1053.371513</v>
      </c>
      <c r="B1397" s="1">
        <f>DATE(2013,3,19) + TIME(8,54,58)</f>
        <v>41352.371504629627</v>
      </c>
      <c r="C1397">
        <v>80</v>
      </c>
      <c r="D1397">
        <v>68.006118774000001</v>
      </c>
      <c r="E1397">
        <v>50</v>
      </c>
      <c r="F1397">
        <v>49.972740172999998</v>
      </c>
      <c r="G1397">
        <v>1292.3038329999999</v>
      </c>
      <c r="H1397">
        <v>1276.5194091999999</v>
      </c>
      <c r="I1397">
        <v>1393.9005127</v>
      </c>
      <c r="J1397">
        <v>1374.3674315999999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1056.6011149999999</v>
      </c>
      <c r="B1398" s="1">
        <f>DATE(2013,3,22) + TIME(14,25,36)</f>
        <v>41355.601111111115</v>
      </c>
      <c r="C1398">
        <v>80</v>
      </c>
      <c r="D1398">
        <v>67.670837402000004</v>
      </c>
      <c r="E1398">
        <v>50</v>
      </c>
      <c r="F1398">
        <v>49.972801208</v>
      </c>
      <c r="G1398">
        <v>1291.9257812000001</v>
      </c>
      <c r="H1398">
        <v>1275.9771728999999</v>
      </c>
      <c r="I1398">
        <v>1393.8638916</v>
      </c>
      <c r="J1398">
        <v>1374.3354492000001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1059.873709</v>
      </c>
      <c r="B1399" s="1">
        <f>DATE(2013,3,25) + TIME(20,58,8)</f>
        <v>41358.873703703706</v>
      </c>
      <c r="C1399">
        <v>80</v>
      </c>
      <c r="D1399">
        <v>67.319091796999999</v>
      </c>
      <c r="E1399">
        <v>50</v>
      </c>
      <c r="F1399">
        <v>49.972866058000001</v>
      </c>
      <c r="G1399">
        <v>1291.5393065999999</v>
      </c>
      <c r="H1399">
        <v>1275.4211425999999</v>
      </c>
      <c r="I1399">
        <v>1393.8269043</v>
      </c>
      <c r="J1399">
        <v>1374.3033447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1063.1966420000001</v>
      </c>
      <c r="B1400" s="1">
        <f>DATE(2013,3,29) + TIME(4,43,9)</f>
        <v>41362.196631944447</v>
      </c>
      <c r="C1400">
        <v>80</v>
      </c>
      <c r="D1400">
        <v>66.950302124000004</v>
      </c>
      <c r="E1400">
        <v>50</v>
      </c>
      <c r="F1400">
        <v>49.972927093999999</v>
      </c>
      <c r="G1400">
        <v>1291.1451416</v>
      </c>
      <c r="H1400">
        <v>1274.8519286999999</v>
      </c>
      <c r="I1400">
        <v>1393.7897949000001</v>
      </c>
      <c r="J1400">
        <v>1374.2707519999999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1066</v>
      </c>
      <c r="B1401" s="1">
        <f>DATE(2013,4,1) + TIME(0,0,0)</f>
        <v>41365</v>
      </c>
      <c r="C1401">
        <v>80</v>
      </c>
      <c r="D1401">
        <v>66.576622009000005</v>
      </c>
      <c r="E1401">
        <v>50</v>
      </c>
      <c r="F1401">
        <v>49.972976684999999</v>
      </c>
      <c r="G1401">
        <v>1290.7479248</v>
      </c>
      <c r="H1401">
        <v>1274.2784423999999</v>
      </c>
      <c r="I1401">
        <v>1393.7535399999999</v>
      </c>
      <c r="J1401">
        <v>1374.2391356999999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1069.380866</v>
      </c>
      <c r="B1402" s="1">
        <f>DATE(2013,4,4) + TIME(9,8,26)</f>
        <v>41368.380856481483</v>
      </c>
      <c r="C1402">
        <v>80</v>
      </c>
      <c r="D1402">
        <v>66.217445373999993</v>
      </c>
      <c r="E1402">
        <v>50</v>
      </c>
      <c r="F1402">
        <v>49.973045349000003</v>
      </c>
      <c r="G1402">
        <v>1290.3934326000001</v>
      </c>
      <c r="H1402">
        <v>1273.7578125</v>
      </c>
      <c r="I1402">
        <v>1393.7202147999999</v>
      </c>
      <c r="J1402">
        <v>1374.2095947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1072.889289</v>
      </c>
      <c r="B1403" s="1">
        <f>DATE(2013,4,7) + TIME(21,20,34)</f>
        <v>41371.889282407406</v>
      </c>
      <c r="C1403">
        <v>80</v>
      </c>
      <c r="D1403">
        <v>65.805419921999999</v>
      </c>
      <c r="E1403">
        <v>50</v>
      </c>
      <c r="F1403">
        <v>49.973110198999997</v>
      </c>
      <c r="G1403">
        <v>1289.9876709</v>
      </c>
      <c r="H1403">
        <v>1273.1677245999999</v>
      </c>
      <c r="I1403">
        <v>1393.6826172000001</v>
      </c>
      <c r="J1403">
        <v>1374.1766356999999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1076.453203</v>
      </c>
      <c r="B1404" s="1">
        <f>DATE(2013,4,11) + TIME(10,52,36)</f>
        <v>41375.453194444446</v>
      </c>
      <c r="C1404">
        <v>80</v>
      </c>
      <c r="D1404">
        <v>65.360931395999998</v>
      </c>
      <c r="E1404">
        <v>50</v>
      </c>
      <c r="F1404">
        <v>49.973175048999998</v>
      </c>
      <c r="G1404">
        <v>1289.5616454999999</v>
      </c>
      <c r="H1404">
        <v>1272.5446777</v>
      </c>
      <c r="I1404">
        <v>1393.6436768000001</v>
      </c>
      <c r="J1404">
        <v>1374.1422118999999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1080.082999</v>
      </c>
      <c r="B1405" s="1">
        <f>DATE(2013,4,15) + TIME(1,59,31)</f>
        <v>41379.082997685182</v>
      </c>
      <c r="C1405">
        <v>80</v>
      </c>
      <c r="D1405">
        <v>64.893386840999995</v>
      </c>
      <c r="E1405">
        <v>50</v>
      </c>
      <c r="F1405">
        <v>49.973239898999999</v>
      </c>
      <c r="G1405">
        <v>1289.1265868999999</v>
      </c>
      <c r="H1405">
        <v>1271.9050293</v>
      </c>
      <c r="I1405">
        <v>1393.604126</v>
      </c>
      <c r="J1405">
        <v>1374.1071777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1083.788785</v>
      </c>
      <c r="B1406" s="1">
        <f>DATE(2013,4,18) + TIME(18,55,50)</f>
        <v>41382.788773148146</v>
      </c>
      <c r="C1406">
        <v>80</v>
      </c>
      <c r="D1406">
        <v>64.403480529999996</v>
      </c>
      <c r="E1406">
        <v>50</v>
      </c>
      <c r="F1406">
        <v>49.973308563000003</v>
      </c>
      <c r="G1406">
        <v>1288.6833495999999</v>
      </c>
      <c r="H1406">
        <v>1271.2507324000001</v>
      </c>
      <c r="I1406">
        <v>1393.5638428</v>
      </c>
      <c r="J1406">
        <v>1374.0714111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1087.581563</v>
      </c>
      <c r="B1407" s="1">
        <f>DATE(2013,4,22) + TIME(13,57,27)</f>
        <v>41386.581562500003</v>
      </c>
      <c r="C1407">
        <v>80</v>
      </c>
      <c r="D1407">
        <v>63.889812468999999</v>
      </c>
      <c r="E1407">
        <v>50</v>
      </c>
      <c r="F1407">
        <v>49.973377227999997</v>
      </c>
      <c r="G1407">
        <v>1288.2316894999999</v>
      </c>
      <c r="H1407">
        <v>1270.5814209</v>
      </c>
      <c r="I1407">
        <v>1393.5227050999999</v>
      </c>
      <c r="J1407">
        <v>1374.0347899999999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1091.4585999999999</v>
      </c>
      <c r="B1408" s="1">
        <f>DATE(2013,4,26) + TIME(11,0,23)</f>
        <v>41390.458599537036</v>
      </c>
      <c r="C1408">
        <v>80</v>
      </c>
      <c r="D1408">
        <v>63.351417542</v>
      </c>
      <c r="E1408">
        <v>50</v>
      </c>
      <c r="F1408">
        <v>49.973445892000001</v>
      </c>
      <c r="G1408">
        <v>1287.7713623</v>
      </c>
      <c r="H1408">
        <v>1269.8964844</v>
      </c>
      <c r="I1408">
        <v>1393.4805908000001</v>
      </c>
      <c r="J1408">
        <v>1373.9971923999999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1095.418586</v>
      </c>
      <c r="B1409" s="1">
        <f>DATE(2013,4,30) + TIME(10,2,45)</f>
        <v>41394.418576388889</v>
      </c>
      <c r="C1409">
        <v>80</v>
      </c>
      <c r="D1409">
        <v>62.788681029999999</v>
      </c>
      <c r="E1409">
        <v>50</v>
      </c>
      <c r="F1409">
        <v>49.973518372000001</v>
      </c>
      <c r="G1409">
        <v>1287.3032227000001</v>
      </c>
      <c r="H1409">
        <v>1269.1971435999999</v>
      </c>
      <c r="I1409">
        <v>1393.4375</v>
      </c>
      <c r="J1409">
        <v>1373.9586182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1096</v>
      </c>
      <c r="B1410" s="1">
        <f>DATE(2013,5,1) + TIME(0,0,0)</f>
        <v>41395</v>
      </c>
      <c r="C1410">
        <v>80</v>
      </c>
      <c r="D1410">
        <v>62.472858428999999</v>
      </c>
      <c r="E1410">
        <v>50</v>
      </c>
      <c r="F1410">
        <v>49.973510742000002</v>
      </c>
      <c r="G1410">
        <v>1286.8962402</v>
      </c>
      <c r="H1410">
        <v>1268.6405029</v>
      </c>
      <c r="I1410">
        <v>1393.4135742000001</v>
      </c>
      <c r="J1410">
        <v>1373.9379882999999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1096.0000010000001</v>
      </c>
      <c r="B1411" s="1">
        <f>DATE(2013,5,1) + TIME(0,0,0)</f>
        <v>41395</v>
      </c>
      <c r="C1411">
        <v>80</v>
      </c>
      <c r="D1411">
        <v>62.472908019999998</v>
      </c>
      <c r="E1411">
        <v>50</v>
      </c>
      <c r="F1411">
        <v>49.973495483000001</v>
      </c>
      <c r="G1411">
        <v>1305.7281493999999</v>
      </c>
      <c r="H1411">
        <v>1286.9078368999999</v>
      </c>
      <c r="I1411">
        <v>1373.9282227000001</v>
      </c>
      <c r="J1411">
        <v>1355.0628661999999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1096.000004</v>
      </c>
      <c r="B1412" s="1">
        <f>DATE(2013,5,1) + TIME(0,0,0)</f>
        <v>41395</v>
      </c>
      <c r="C1412">
        <v>80</v>
      </c>
      <c r="D1412">
        <v>62.473064422999997</v>
      </c>
      <c r="E1412">
        <v>50</v>
      </c>
      <c r="F1412">
        <v>49.973449707</v>
      </c>
      <c r="G1412">
        <v>1305.7585449000001</v>
      </c>
      <c r="H1412">
        <v>1286.9425048999999</v>
      </c>
      <c r="I1412">
        <v>1373.8988036999999</v>
      </c>
      <c r="J1412">
        <v>1355.0334473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1096.0000130000001</v>
      </c>
      <c r="B1413" s="1">
        <f>DATE(2013,5,1) + TIME(0,0,1)</f>
        <v>41395.000011574077</v>
      </c>
      <c r="C1413">
        <v>80</v>
      </c>
      <c r="D1413">
        <v>62.473529816000003</v>
      </c>
      <c r="E1413">
        <v>50</v>
      </c>
      <c r="F1413">
        <v>49.973312378000003</v>
      </c>
      <c r="G1413">
        <v>1305.8492432</v>
      </c>
      <c r="H1413">
        <v>1287.0458983999999</v>
      </c>
      <c r="I1413">
        <v>1373.8107910000001</v>
      </c>
      <c r="J1413">
        <v>1354.9454346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1096.0000399999999</v>
      </c>
      <c r="B1414" s="1">
        <f>DATE(2013,5,1) + TIME(0,0,3)</f>
        <v>41395.000034722223</v>
      </c>
      <c r="C1414">
        <v>80</v>
      </c>
      <c r="D1414">
        <v>62.474910735999998</v>
      </c>
      <c r="E1414">
        <v>50</v>
      </c>
      <c r="F1414">
        <v>49.972896575999997</v>
      </c>
      <c r="G1414">
        <v>1306.1177978999999</v>
      </c>
      <c r="H1414">
        <v>1287.3511963000001</v>
      </c>
      <c r="I1414">
        <v>1373.5504149999999</v>
      </c>
      <c r="J1414">
        <v>1354.6846923999999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1096.000121</v>
      </c>
      <c r="B1415" s="1">
        <f>DATE(2013,5,1) + TIME(0,0,10)</f>
        <v>41395.000115740739</v>
      </c>
      <c r="C1415">
        <v>80</v>
      </c>
      <c r="D1415">
        <v>62.478958130000002</v>
      </c>
      <c r="E1415">
        <v>50</v>
      </c>
      <c r="F1415">
        <v>49.971702575999998</v>
      </c>
      <c r="G1415">
        <v>1306.8917236</v>
      </c>
      <c r="H1415">
        <v>1288.2252197</v>
      </c>
      <c r="I1415">
        <v>1372.7972411999999</v>
      </c>
      <c r="J1415">
        <v>1353.9310303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1096.000364</v>
      </c>
      <c r="B1416" s="1">
        <f>DATE(2013,5,1) + TIME(0,0,31)</f>
        <v>41395.000358796293</v>
      </c>
      <c r="C1416">
        <v>80</v>
      </c>
      <c r="D1416">
        <v>62.490345001000001</v>
      </c>
      <c r="E1416">
        <v>50</v>
      </c>
      <c r="F1416">
        <v>49.968475341999998</v>
      </c>
      <c r="G1416">
        <v>1308.9680175999999</v>
      </c>
      <c r="H1416">
        <v>1290.5307617000001</v>
      </c>
      <c r="I1416">
        <v>1370.7597656</v>
      </c>
      <c r="J1416">
        <v>1351.8919678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1096.0010930000001</v>
      </c>
      <c r="B1417" s="1">
        <f>DATE(2013,5,1) + TIME(0,1,34)</f>
        <v>41395.001087962963</v>
      </c>
      <c r="C1417">
        <v>80</v>
      </c>
      <c r="D1417">
        <v>62.520183563000003</v>
      </c>
      <c r="E1417">
        <v>50</v>
      </c>
      <c r="F1417">
        <v>49.961006165000001</v>
      </c>
      <c r="G1417">
        <v>1313.6966553</v>
      </c>
      <c r="H1417">
        <v>1295.6004639</v>
      </c>
      <c r="I1417">
        <v>1366.0489502</v>
      </c>
      <c r="J1417">
        <v>1347.1778564000001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1096.0032799999999</v>
      </c>
      <c r="B1418" s="1">
        <f>DATE(2013,5,1) + TIME(0,4,43)</f>
        <v>41395.003275462965</v>
      </c>
      <c r="C1418">
        <v>80</v>
      </c>
      <c r="D1418">
        <v>62.593730927000003</v>
      </c>
      <c r="E1418">
        <v>50</v>
      </c>
      <c r="F1418">
        <v>49.947872162000003</v>
      </c>
      <c r="G1418">
        <v>1321.8085937999999</v>
      </c>
      <c r="H1418">
        <v>1303.9072266000001</v>
      </c>
      <c r="I1418">
        <v>1357.8157959</v>
      </c>
      <c r="J1418">
        <v>1338.940918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1096.0098410000001</v>
      </c>
      <c r="B1419" s="1">
        <f>DATE(2013,5,1) + TIME(0,14,10)</f>
        <v>41395.009837962964</v>
      </c>
      <c r="C1419">
        <v>80</v>
      </c>
      <c r="D1419">
        <v>62.779880523999999</v>
      </c>
      <c r="E1419">
        <v>50</v>
      </c>
      <c r="F1419">
        <v>49.930881499999998</v>
      </c>
      <c r="G1419">
        <v>1331.9720459</v>
      </c>
      <c r="H1419">
        <v>1314.0332031</v>
      </c>
      <c r="I1419">
        <v>1347.3637695</v>
      </c>
      <c r="J1419">
        <v>1328.4881591999999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1096.029524</v>
      </c>
      <c r="B1420" s="1">
        <f>DATE(2013,5,1) + TIME(0,42,30)</f>
        <v>41395.029513888891</v>
      </c>
      <c r="C1420">
        <v>80</v>
      </c>
      <c r="D1420">
        <v>63.282077788999999</v>
      </c>
      <c r="E1420">
        <v>50</v>
      </c>
      <c r="F1420">
        <v>49.912193297999998</v>
      </c>
      <c r="G1420">
        <v>1342.5319824000001</v>
      </c>
      <c r="H1420">
        <v>1324.5878906</v>
      </c>
      <c r="I1420">
        <v>1336.4227295000001</v>
      </c>
      <c r="J1420">
        <v>1317.5504149999999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1096.054756</v>
      </c>
      <c r="B1421" s="1">
        <f>DATE(2013,5,1) + TIME(1,18,50)</f>
        <v>41395.054745370369</v>
      </c>
      <c r="C1421">
        <v>80</v>
      </c>
      <c r="D1421">
        <v>63.889579773000001</v>
      </c>
      <c r="E1421">
        <v>50</v>
      </c>
      <c r="F1421">
        <v>49.899642944</v>
      </c>
      <c r="G1421">
        <v>1349.0036620999999</v>
      </c>
      <c r="H1421">
        <v>1331.1239014</v>
      </c>
      <c r="I1421">
        <v>1329.6918945</v>
      </c>
      <c r="J1421">
        <v>1310.8233643000001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1096.08096</v>
      </c>
      <c r="B1422" s="1">
        <f>DATE(2013,5,1) + TIME(1,56,34)</f>
        <v>41395.080949074072</v>
      </c>
      <c r="C1422">
        <v>80</v>
      </c>
      <c r="D1422">
        <v>64.493263244999994</v>
      </c>
      <c r="E1422">
        <v>50</v>
      </c>
      <c r="F1422">
        <v>49.890735626000001</v>
      </c>
      <c r="G1422">
        <v>1353.1444091999999</v>
      </c>
      <c r="H1422">
        <v>1335.3476562000001</v>
      </c>
      <c r="I1422">
        <v>1325.3729248</v>
      </c>
      <c r="J1422">
        <v>1306.5069579999999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1096.10796</v>
      </c>
      <c r="B1423" s="1">
        <f>DATE(2013,5,1) + TIME(2,35,27)</f>
        <v>41395.107951388891</v>
      </c>
      <c r="C1423">
        <v>80</v>
      </c>
      <c r="D1423">
        <v>65.090377808</v>
      </c>
      <c r="E1423">
        <v>50</v>
      </c>
      <c r="F1423">
        <v>49.883563995000003</v>
      </c>
      <c r="G1423">
        <v>1356.1524658000001</v>
      </c>
      <c r="H1423">
        <v>1338.4477539</v>
      </c>
      <c r="I1423">
        <v>1322.2235106999999</v>
      </c>
      <c r="J1423">
        <v>1303.3585204999999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1096.135702</v>
      </c>
      <c r="B1424" s="1">
        <f>DATE(2013,5,1) + TIME(3,15,24)</f>
        <v>41395.135694444441</v>
      </c>
      <c r="C1424">
        <v>80</v>
      </c>
      <c r="D1424">
        <v>65.679786682</v>
      </c>
      <c r="E1424">
        <v>50</v>
      </c>
      <c r="F1424">
        <v>49.877365112</v>
      </c>
      <c r="G1424">
        <v>1358.5124512</v>
      </c>
      <c r="H1424">
        <v>1340.9036865</v>
      </c>
      <c r="I1424">
        <v>1319.7442627</v>
      </c>
      <c r="J1424">
        <v>1300.878418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1096.1641790000001</v>
      </c>
      <c r="B1425" s="1">
        <f>DATE(2013,5,1) + TIME(3,56,25)</f>
        <v>41395.164178240739</v>
      </c>
      <c r="C1425">
        <v>80</v>
      </c>
      <c r="D1425">
        <v>66.260673522999994</v>
      </c>
      <c r="E1425">
        <v>50</v>
      </c>
      <c r="F1425">
        <v>49.871768951</v>
      </c>
      <c r="G1425">
        <v>1360.4586182</v>
      </c>
      <c r="H1425">
        <v>1342.9472656</v>
      </c>
      <c r="I1425">
        <v>1317.6929932</v>
      </c>
      <c r="J1425">
        <v>1298.8245850000001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1096.1934000000001</v>
      </c>
      <c r="B1426" s="1">
        <f>DATE(2013,5,1) + TIME(4,38,29)</f>
        <v>41395.193391203706</v>
      </c>
      <c r="C1426">
        <v>80</v>
      </c>
      <c r="D1426">
        <v>66.832527161000002</v>
      </c>
      <c r="E1426">
        <v>50</v>
      </c>
      <c r="F1426">
        <v>49.866565704000003</v>
      </c>
      <c r="G1426">
        <v>1362.1192627</v>
      </c>
      <c r="H1426">
        <v>1344.7053223</v>
      </c>
      <c r="I1426">
        <v>1315.9364014</v>
      </c>
      <c r="J1426">
        <v>1297.0639647999999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1096.2233799999999</v>
      </c>
      <c r="B1427" s="1">
        <f>DATE(2013,5,1) + TIME(5,21,40)</f>
        <v>41395.223379629628</v>
      </c>
      <c r="C1427">
        <v>80</v>
      </c>
      <c r="D1427">
        <v>67.394851685000006</v>
      </c>
      <c r="E1427">
        <v>50</v>
      </c>
      <c r="F1427">
        <v>49.861633300999998</v>
      </c>
      <c r="G1427">
        <v>1363.5711670000001</v>
      </c>
      <c r="H1427">
        <v>1346.2541504000001</v>
      </c>
      <c r="I1427">
        <v>1314.3944091999999</v>
      </c>
      <c r="J1427">
        <v>1295.5164795000001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1096.254152</v>
      </c>
      <c r="B1428" s="1">
        <f>DATE(2013,5,1) + TIME(6,5,58)</f>
        <v>41395.254143518519</v>
      </c>
      <c r="C1428">
        <v>80</v>
      </c>
      <c r="D1428">
        <v>67.947441100999995</v>
      </c>
      <c r="E1428">
        <v>50</v>
      </c>
      <c r="F1428">
        <v>49.856887817</v>
      </c>
      <c r="G1428">
        <v>1364.8645019999999</v>
      </c>
      <c r="H1428">
        <v>1347.6429443</v>
      </c>
      <c r="I1428">
        <v>1313.0147704999999</v>
      </c>
      <c r="J1428">
        <v>1294.1301269999999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1096.28575</v>
      </c>
      <c r="B1429" s="1">
        <f>DATE(2013,5,1) + TIME(6,51,28)</f>
        <v>41395.285740740743</v>
      </c>
      <c r="C1429">
        <v>80</v>
      </c>
      <c r="D1429">
        <v>68.490028381000002</v>
      </c>
      <c r="E1429">
        <v>50</v>
      </c>
      <c r="F1429">
        <v>49.852275847999998</v>
      </c>
      <c r="G1429">
        <v>1366.0328368999999</v>
      </c>
      <c r="H1429">
        <v>1348.9051514</v>
      </c>
      <c r="I1429">
        <v>1311.762207</v>
      </c>
      <c r="J1429">
        <v>1292.8701172000001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1096.318213</v>
      </c>
      <c r="B1430" s="1">
        <f>DATE(2013,5,1) + TIME(7,38,13)</f>
        <v>41395.318206018521</v>
      </c>
      <c r="C1430">
        <v>80</v>
      </c>
      <c r="D1430">
        <v>69.022377014</v>
      </c>
      <c r="E1430">
        <v>50</v>
      </c>
      <c r="F1430">
        <v>49.847755432</v>
      </c>
      <c r="G1430">
        <v>1367.0998535000001</v>
      </c>
      <c r="H1430">
        <v>1350.0642089999999</v>
      </c>
      <c r="I1430">
        <v>1310.6119385</v>
      </c>
      <c r="J1430">
        <v>1291.7116699000001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1096.351584</v>
      </c>
      <c r="B1431" s="1">
        <f>DATE(2013,5,1) + TIME(8,26,16)</f>
        <v>41395.351574074077</v>
      </c>
      <c r="C1431">
        <v>80</v>
      </c>
      <c r="D1431">
        <v>69.544273376000007</v>
      </c>
      <c r="E1431">
        <v>50</v>
      </c>
      <c r="F1431">
        <v>49.843296051000003</v>
      </c>
      <c r="G1431">
        <v>1368.0830077999999</v>
      </c>
      <c r="H1431">
        <v>1351.1374512</v>
      </c>
      <c r="I1431">
        <v>1309.5458983999999</v>
      </c>
      <c r="J1431">
        <v>1290.637207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1096.3859110000001</v>
      </c>
      <c r="B1432" s="1">
        <f>DATE(2013,5,1) + TIME(9,15,42)</f>
        <v>41395.38590277778</v>
      </c>
      <c r="C1432">
        <v>80</v>
      </c>
      <c r="D1432">
        <v>70.055458068999997</v>
      </c>
      <c r="E1432">
        <v>50</v>
      </c>
      <c r="F1432">
        <v>49.838871001999998</v>
      </c>
      <c r="G1432">
        <v>1368.9954834</v>
      </c>
      <c r="H1432">
        <v>1352.1378173999999</v>
      </c>
      <c r="I1432">
        <v>1308.5505370999999</v>
      </c>
      <c r="J1432">
        <v>1289.6330565999999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1096.4212480000001</v>
      </c>
      <c r="B1433" s="1">
        <f>DATE(2013,5,1) + TIME(10,6,35)</f>
        <v>41395.421238425923</v>
      </c>
      <c r="C1433">
        <v>80</v>
      </c>
      <c r="D1433">
        <v>70.555480957</v>
      </c>
      <c r="E1433">
        <v>50</v>
      </c>
      <c r="F1433">
        <v>49.834465027</v>
      </c>
      <c r="G1433">
        <v>1369.8476562000001</v>
      </c>
      <c r="H1433">
        <v>1353.0755615</v>
      </c>
      <c r="I1433">
        <v>1307.6152344</v>
      </c>
      <c r="J1433">
        <v>1288.6892089999999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1096.4576509999999</v>
      </c>
      <c r="B1434" s="1">
        <f>DATE(2013,5,1) + TIME(10,59,1)</f>
        <v>41395.457650462966</v>
      </c>
      <c r="C1434">
        <v>80</v>
      </c>
      <c r="D1434">
        <v>71.044448853000006</v>
      </c>
      <c r="E1434">
        <v>50</v>
      </c>
      <c r="F1434">
        <v>49.830055237000003</v>
      </c>
      <c r="G1434">
        <v>1370.6473389</v>
      </c>
      <c r="H1434">
        <v>1353.9586182</v>
      </c>
      <c r="I1434">
        <v>1306.7320557</v>
      </c>
      <c r="J1434">
        <v>1287.7973632999999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1096.4951840000001</v>
      </c>
      <c r="B1435" s="1">
        <f>DATE(2013,5,1) + TIME(11,53,3)</f>
        <v>41395.495173611111</v>
      </c>
      <c r="C1435">
        <v>80</v>
      </c>
      <c r="D1435">
        <v>71.522178650000001</v>
      </c>
      <c r="E1435">
        <v>50</v>
      </c>
      <c r="F1435">
        <v>49.825630187999998</v>
      </c>
      <c r="G1435">
        <v>1371.4011230000001</v>
      </c>
      <c r="H1435">
        <v>1354.7937012</v>
      </c>
      <c r="I1435">
        <v>1305.8941649999999</v>
      </c>
      <c r="J1435">
        <v>1286.9510498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1096.533919</v>
      </c>
      <c r="B1436" s="1">
        <f>DATE(2013,5,1) + TIME(12,48,50)</f>
        <v>41395.533912037034</v>
      </c>
      <c r="C1436">
        <v>80</v>
      </c>
      <c r="D1436">
        <v>71.988510132000002</v>
      </c>
      <c r="E1436">
        <v>50</v>
      </c>
      <c r="F1436">
        <v>49.821178435999997</v>
      </c>
      <c r="G1436">
        <v>1372.114624</v>
      </c>
      <c r="H1436">
        <v>1355.5859375</v>
      </c>
      <c r="I1436">
        <v>1305.0961914</v>
      </c>
      <c r="J1436">
        <v>1286.1450195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1096.5739470000001</v>
      </c>
      <c r="B1437" s="1">
        <f>DATE(2013,5,1) + TIME(13,46,29)</f>
        <v>41395.573946759258</v>
      </c>
      <c r="C1437">
        <v>80</v>
      </c>
      <c r="D1437">
        <v>72.443435668999996</v>
      </c>
      <c r="E1437">
        <v>50</v>
      </c>
      <c r="F1437">
        <v>49.816684723000002</v>
      </c>
      <c r="G1437">
        <v>1372.7923584</v>
      </c>
      <c r="H1437">
        <v>1356.3404541</v>
      </c>
      <c r="I1437">
        <v>1304.3336182</v>
      </c>
      <c r="J1437">
        <v>1285.3746338000001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1096.6153440000001</v>
      </c>
      <c r="B1438" s="1">
        <f>DATE(2013,5,1) + TIME(14,46,5)</f>
        <v>41395.615335648145</v>
      </c>
      <c r="C1438">
        <v>80</v>
      </c>
      <c r="D1438">
        <v>72.886665343999994</v>
      </c>
      <c r="E1438">
        <v>50</v>
      </c>
      <c r="F1438">
        <v>49.812137604</v>
      </c>
      <c r="G1438">
        <v>1373.4381103999999</v>
      </c>
      <c r="H1438">
        <v>1357.0606689000001</v>
      </c>
      <c r="I1438">
        <v>1303.6027832</v>
      </c>
      <c r="J1438">
        <v>1284.6362305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1096.658201</v>
      </c>
      <c r="B1439" s="1">
        <f>DATE(2013,5,1) + TIME(15,47,48)</f>
        <v>41395.658194444448</v>
      </c>
      <c r="C1439">
        <v>80</v>
      </c>
      <c r="D1439">
        <v>73.317985535000005</v>
      </c>
      <c r="E1439">
        <v>50</v>
      </c>
      <c r="F1439">
        <v>49.807525634999998</v>
      </c>
      <c r="G1439">
        <v>1374.0550536999999</v>
      </c>
      <c r="H1439">
        <v>1357.7497559000001</v>
      </c>
      <c r="I1439">
        <v>1302.9005127</v>
      </c>
      <c r="J1439">
        <v>1283.9267577999999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1096.7026209999999</v>
      </c>
      <c r="B1440" s="1">
        <f>DATE(2013,5,1) + TIME(16,51,46)</f>
        <v>41395.702615740738</v>
      </c>
      <c r="C1440">
        <v>80</v>
      </c>
      <c r="D1440">
        <v>73.737236022999994</v>
      </c>
      <c r="E1440">
        <v>50</v>
      </c>
      <c r="F1440">
        <v>49.802837371999999</v>
      </c>
      <c r="G1440">
        <v>1374.6461182</v>
      </c>
      <c r="H1440">
        <v>1358.4108887</v>
      </c>
      <c r="I1440">
        <v>1302.223999</v>
      </c>
      <c r="J1440">
        <v>1283.2434082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1096.7487209999999</v>
      </c>
      <c r="B1441" s="1">
        <f>DATE(2013,5,1) + TIME(17,58,9)</f>
        <v>41395.748715277776</v>
      </c>
      <c r="C1441">
        <v>80</v>
      </c>
      <c r="D1441">
        <v>74.144248962000006</v>
      </c>
      <c r="E1441">
        <v>50</v>
      </c>
      <c r="F1441">
        <v>49.798061371000003</v>
      </c>
      <c r="G1441">
        <v>1375.2137451000001</v>
      </c>
      <c r="H1441">
        <v>1359.0462646000001</v>
      </c>
      <c r="I1441">
        <v>1301.5709228999999</v>
      </c>
      <c r="J1441">
        <v>1282.5837402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1096.7966280000001</v>
      </c>
      <c r="B1442" s="1">
        <f>DATE(2013,5,1) + TIME(19,7,8)</f>
        <v>41395.796620370369</v>
      </c>
      <c r="C1442">
        <v>80</v>
      </c>
      <c r="D1442">
        <v>74.538864136000001</v>
      </c>
      <c r="E1442">
        <v>50</v>
      </c>
      <c r="F1442">
        <v>49.793186188</v>
      </c>
      <c r="G1442">
        <v>1375.7600098</v>
      </c>
      <c r="H1442">
        <v>1359.6582031</v>
      </c>
      <c r="I1442">
        <v>1300.9392089999999</v>
      </c>
      <c r="J1442">
        <v>1281.9458007999999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1096.846489</v>
      </c>
      <c r="B1443" s="1">
        <f>DATE(2013,5,1) + TIME(20,18,56)</f>
        <v>41395.84648148148</v>
      </c>
      <c r="C1443">
        <v>80</v>
      </c>
      <c r="D1443">
        <v>74.920928954999994</v>
      </c>
      <c r="E1443">
        <v>50</v>
      </c>
      <c r="F1443">
        <v>49.788200377999999</v>
      </c>
      <c r="G1443">
        <v>1376.2869873</v>
      </c>
      <c r="H1443">
        <v>1360.2487793</v>
      </c>
      <c r="I1443">
        <v>1300.3269043</v>
      </c>
      <c r="J1443">
        <v>1281.3275146000001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1096.8984640000001</v>
      </c>
      <c r="B1444" s="1">
        <f>DATE(2013,5,1) + TIME(21,33,47)</f>
        <v>41395.898460648146</v>
      </c>
      <c r="C1444">
        <v>80</v>
      </c>
      <c r="D1444">
        <v>75.290069579999994</v>
      </c>
      <c r="E1444">
        <v>50</v>
      </c>
      <c r="F1444">
        <v>49.783084869</v>
      </c>
      <c r="G1444">
        <v>1376.7963867000001</v>
      </c>
      <c r="H1444">
        <v>1360.8197021000001</v>
      </c>
      <c r="I1444">
        <v>1299.7324219</v>
      </c>
      <c r="J1444">
        <v>1280.7274170000001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1096.952738</v>
      </c>
      <c r="B1445" s="1">
        <f>DATE(2013,5,1) + TIME(22,51,56)</f>
        <v>41395.952731481484</v>
      </c>
      <c r="C1445">
        <v>80</v>
      </c>
      <c r="D1445">
        <v>75.646270752000007</v>
      </c>
      <c r="E1445">
        <v>50</v>
      </c>
      <c r="F1445">
        <v>49.777828217</v>
      </c>
      <c r="G1445">
        <v>1377.2897949000001</v>
      </c>
      <c r="H1445">
        <v>1361.3724365</v>
      </c>
      <c r="I1445">
        <v>1299.1540527</v>
      </c>
      <c r="J1445">
        <v>1280.1436768000001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1097.009519</v>
      </c>
      <c r="B1446" s="1">
        <f>DATE(2013,5,2) + TIME(0,13,42)</f>
        <v>41396.009513888886</v>
      </c>
      <c r="C1446">
        <v>80</v>
      </c>
      <c r="D1446">
        <v>75.989433289000004</v>
      </c>
      <c r="E1446">
        <v>50</v>
      </c>
      <c r="F1446">
        <v>49.772415160999998</v>
      </c>
      <c r="G1446">
        <v>1377.7685547000001</v>
      </c>
      <c r="H1446">
        <v>1361.9085693</v>
      </c>
      <c r="I1446">
        <v>1298.5908202999999</v>
      </c>
      <c r="J1446">
        <v>1279.5753173999999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1097.0690589999999</v>
      </c>
      <c r="B1447" s="1">
        <f>DATE(2013,5,2) + TIME(1,39,26)</f>
        <v>41396.069050925929</v>
      </c>
      <c r="C1447">
        <v>80</v>
      </c>
      <c r="D1447">
        <v>76.319480896000002</v>
      </c>
      <c r="E1447">
        <v>50</v>
      </c>
      <c r="F1447">
        <v>49.766822814999998</v>
      </c>
      <c r="G1447">
        <v>1378.2341309000001</v>
      </c>
      <c r="H1447">
        <v>1362.4295654</v>
      </c>
      <c r="I1447">
        <v>1298.0410156</v>
      </c>
      <c r="J1447">
        <v>1279.0206298999999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1097.1316489999999</v>
      </c>
      <c r="B1448" s="1">
        <f>DATE(2013,5,2) + TIME(3,9,34)</f>
        <v>41396.131643518522</v>
      </c>
      <c r="C1448">
        <v>80</v>
      </c>
      <c r="D1448">
        <v>76.636314392000003</v>
      </c>
      <c r="E1448">
        <v>50</v>
      </c>
      <c r="F1448">
        <v>49.761028289999999</v>
      </c>
      <c r="G1448">
        <v>1378.6877440999999</v>
      </c>
      <c r="H1448">
        <v>1362.9367675999999</v>
      </c>
      <c r="I1448">
        <v>1297.5035399999999</v>
      </c>
      <c r="J1448">
        <v>1278.4785156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1097.1975749999999</v>
      </c>
      <c r="B1449" s="1">
        <f>DATE(2013,5,2) + TIME(4,44,30)</f>
        <v>41396.197569444441</v>
      </c>
      <c r="C1449">
        <v>80</v>
      </c>
      <c r="D1449">
        <v>76.939628600999995</v>
      </c>
      <c r="E1449">
        <v>50</v>
      </c>
      <c r="F1449">
        <v>49.755016327</v>
      </c>
      <c r="G1449">
        <v>1379.130249</v>
      </c>
      <c r="H1449">
        <v>1363.4310303</v>
      </c>
      <c r="I1449">
        <v>1296.9775391000001</v>
      </c>
      <c r="J1449">
        <v>1277.9481201000001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1097.2672050000001</v>
      </c>
      <c r="B1450" s="1">
        <f>DATE(2013,5,2) + TIME(6,24,46)</f>
        <v>41396.267199074071</v>
      </c>
      <c r="C1450">
        <v>80</v>
      </c>
      <c r="D1450">
        <v>77.229270935000002</v>
      </c>
      <c r="E1450">
        <v>50</v>
      </c>
      <c r="F1450">
        <v>49.748756409000002</v>
      </c>
      <c r="G1450">
        <v>1379.5628661999999</v>
      </c>
      <c r="H1450">
        <v>1363.9133300999999</v>
      </c>
      <c r="I1450">
        <v>1296.4621582</v>
      </c>
      <c r="J1450">
        <v>1277.4285889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1097.340966</v>
      </c>
      <c r="B1451" s="1">
        <f>DATE(2013,5,2) + TIME(8,10,59)</f>
        <v>41396.340960648151</v>
      </c>
      <c r="C1451">
        <v>80</v>
      </c>
      <c r="D1451">
        <v>77.505081176999994</v>
      </c>
      <c r="E1451">
        <v>50</v>
      </c>
      <c r="F1451">
        <v>49.742221831999998</v>
      </c>
      <c r="G1451">
        <v>1379.9863281</v>
      </c>
      <c r="H1451">
        <v>1364.3847656</v>
      </c>
      <c r="I1451">
        <v>1295.956543</v>
      </c>
      <c r="J1451">
        <v>1276.9188231999999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1097.4193620000001</v>
      </c>
      <c r="B1452" s="1">
        <f>DATE(2013,5,2) + TIME(10,3,52)</f>
        <v>41396.419351851851</v>
      </c>
      <c r="C1452">
        <v>80</v>
      </c>
      <c r="D1452">
        <v>77.766899108999993</v>
      </c>
      <c r="E1452">
        <v>50</v>
      </c>
      <c r="F1452">
        <v>49.735374450999998</v>
      </c>
      <c r="G1452">
        <v>1380.4017334</v>
      </c>
      <c r="H1452">
        <v>1364.8463135</v>
      </c>
      <c r="I1452">
        <v>1295.4597168</v>
      </c>
      <c r="J1452">
        <v>1276.4180908000001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1097.5029790000001</v>
      </c>
      <c r="B1453" s="1">
        <f>DATE(2013,5,2) + TIME(12,4,17)</f>
        <v>41396.502974537034</v>
      </c>
      <c r="C1453">
        <v>80</v>
      </c>
      <c r="D1453">
        <v>78.014518738000007</v>
      </c>
      <c r="E1453">
        <v>50</v>
      </c>
      <c r="F1453">
        <v>49.728176116999997</v>
      </c>
      <c r="G1453">
        <v>1380.8098144999999</v>
      </c>
      <c r="H1453">
        <v>1365.2988281</v>
      </c>
      <c r="I1453">
        <v>1294.9710693</v>
      </c>
      <c r="J1453">
        <v>1275.9256591999999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1097.5925589999999</v>
      </c>
      <c r="B1454" s="1">
        <f>DATE(2013,5,2) + TIME(14,13,17)</f>
        <v>41396.592557870368</v>
      </c>
      <c r="C1454">
        <v>80</v>
      </c>
      <c r="D1454">
        <v>78.247856139999996</v>
      </c>
      <c r="E1454">
        <v>50</v>
      </c>
      <c r="F1454">
        <v>49.720573424999998</v>
      </c>
      <c r="G1454">
        <v>1381.2115478999999</v>
      </c>
      <c r="H1454">
        <v>1365.7431641000001</v>
      </c>
      <c r="I1454">
        <v>1294.4898682</v>
      </c>
      <c r="J1454">
        <v>1275.4407959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1097.6889839999999</v>
      </c>
      <c r="B1455" s="1">
        <f>DATE(2013,5,2) + TIME(16,32,8)</f>
        <v>41396.688981481479</v>
      </c>
      <c r="C1455">
        <v>80</v>
      </c>
      <c r="D1455">
        <v>78.466751099000007</v>
      </c>
      <c r="E1455">
        <v>50</v>
      </c>
      <c r="F1455">
        <v>49.712512969999999</v>
      </c>
      <c r="G1455">
        <v>1381.6075439000001</v>
      </c>
      <c r="H1455">
        <v>1366.1802978999999</v>
      </c>
      <c r="I1455">
        <v>1294.0153809000001</v>
      </c>
      <c r="J1455">
        <v>1274.9627685999999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1097.7933479999999</v>
      </c>
      <c r="B1456" s="1">
        <f>DATE(2013,5,2) + TIME(19,2,25)</f>
        <v>41396.793344907404</v>
      </c>
      <c r="C1456">
        <v>80</v>
      </c>
      <c r="D1456">
        <v>78.671043396000002</v>
      </c>
      <c r="E1456">
        <v>50</v>
      </c>
      <c r="F1456">
        <v>49.703918457</v>
      </c>
      <c r="G1456">
        <v>1381.9989014</v>
      </c>
      <c r="H1456">
        <v>1366.6110839999999</v>
      </c>
      <c r="I1456">
        <v>1293.5471190999999</v>
      </c>
      <c r="J1456">
        <v>1274.4909668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1097.9070160000001</v>
      </c>
      <c r="B1457" s="1">
        <f>DATE(2013,5,2) + TIME(21,46,6)</f>
        <v>41396.907013888886</v>
      </c>
      <c r="C1457">
        <v>80</v>
      </c>
      <c r="D1457">
        <v>78.860595703000001</v>
      </c>
      <c r="E1457">
        <v>50</v>
      </c>
      <c r="F1457">
        <v>49.694709778000004</v>
      </c>
      <c r="G1457">
        <v>1382.3861084</v>
      </c>
      <c r="H1457">
        <v>1367.0362548999999</v>
      </c>
      <c r="I1457">
        <v>1293.0843506000001</v>
      </c>
      <c r="J1457">
        <v>1274.0247803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1098.024437</v>
      </c>
      <c r="B1458" s="1">
        <f>DATE(2013,5,3) + TIME(0,35,11)</f>
        <v>41397.02443287037</v>
      </c>
      <c r="C1458">
        <v>80</v>
      </c>
      <c r="D1458">
        <v>79.026588439999998</v>
      </c>
      <c r="E1458">
        <v>50</v>
      </c>
      <c r="F1458">
        <v>49.685272216999998</v>
      </c>
      <c r="G1458">
        <v>1382.7491454999999</v>
      </c>
      <c r="H1458">
        <v>1367.4333495999999</v>
      </c>
      <c r="I1458">
        <v>1292.6511230000001</v>
      </c>
      <c r="J1458">
        <v>1273.5883789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1098.142695</v>
      </c>
      <c r="B1459" s="1">
        <f>DATE(2013,5,3) + TIME(3,25,28)</f>
        <v>41397.142685185187</v>
      </c>
      <c r="C1459">
        <v>80</v>
      </c>
      <c r="D1459">
        <v>79.168167113999999</v>
      </c>
      <c r="E1459">
        <v>50</v>
      </c>
      <c r="F1459">
        <v>49.675811768000003</v>
      </c>
      <c r="G1459">
        <v>1383.0808105000001</v>
      </c>
      <c r="H1459">
        <v>1367.7955322</v>
      </c>
      <c r="I1459">
        <v>1292.2551269999999</v>
      </c>
      <c r="J1459">
        <v>1273.1894531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1098.2622759999999</v>
      </c>
      <c r="B1460" s="1">
        <f>DATE(2013,5,3) + TIME(6,17,40)</f>
        <v>41397.26226851852</v>
      </c>
      <c r="C1460">
        <v>80</v>
      </c>
      <c r="D1460">
        <v>79.289215088000006</v>
      </c>
      <c r="E1460">
        <v>50</v>
      </c>
      <c r="F1460">
        <v>49.666297913000001</v>
      </c>
      <c r="G1460">
        <v>1383.3857422000001</v>
      </c>
      <c r="H1460">
        <v>1368.1280518000001</v>
      </c>
      <c r="I1460">
        <v>1291.8916016000001</v>
      </c>
      <c r="J1460">
        <v>1272.8232422000001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1098.382979</v>
      </c>
      <c r="B1461" s="1">
        <f>DATE(2013,5,3) + TIME(9,11,29)</f>
        <v>41397.382974537039</v>
      </c>
      <c r="C1461">
        <v>80</v>
      </c>
      <c r="D1461">
        <v>79.392372131000002</v>
      </c>
      <c r="E1461">
        <v>50</v>
      </c>
      <c r="F1461">
        <v>49.656738281000003</v>
      </c>
      <c r="G1461">
        <v>1383.6660156</v>
      </c>
      <c r="H1461">
        <v>1368.4333495999999</v>
      </c>
      <c r="I1461">
        <v>1291.5583495999999</v>
      </c>
      <c r="J1461">
        <v>1272.4874268000001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1098.5050650000001</v>
      </c>
      <c r="B1462" s="1">
        <f>DATE(2013,5,3) + TIME(12,7,17)</f>
        <v>41397.505057870374</v>
      </c>
      <c r="C1462">
        <v>80</v>
      </c>
      <c r="D1462">
        <v>79.480323791999993</v>
      </c>
      <c r="E1462">
        <v>50</v>
      </c>
      <c r="F1462">
        <v>49.647121429000002</v>
      </c>
      <c r="G1462">
        <v>1383.9241943</v>
      </c>
      <c r="H1462">
        <v>1368.7143555</v>
      </c>
      <c r="I1462">
        <v>1291.2523193</v>
      </c>
      <c r="J1462">
        <v>1272.1790771000001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1098.6288259999999</v>
      </c>
      <c r="B1463" s="1">
        <f>DATE(2013,5,3) + TIME(15,5,30)</f>
        <v>41397.628819444442</v>
      </c>
      <c r="C1463">
        <v>80</v>
      </c>
      <c r="D1463">
        <v>79.555328368999994</v>
      </c>
      <c r="E1463">
        <v>50</v>
      </c>
      <c r="F1463">
        <v>49.637428284000002</v>
      </c>
      <c r="G1463">
        <v>1384.1627197</v>
      </c>
      <c r="H1463">
        <v>1368.9738769999999</v>
      </c>
      <c r="I1463">
        <v>1290.9707031</v>
      </c>
      <c r="J1463">
        <v>1271.8951416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1098.754574</v>
      </c>
      <c r="B1464" s="1">
        <f>DATE(2013,5,3) + TIME(18,6,35)</f>
        <v>41397.754571759258</v>
      </c>
      <c r="C1464">
        <v>80</v>
      </c>
      <c r="D1464">
        <v>79.619285583000007</v>
      </c>
      <c r="E1464">
        <v>50</v>
      </c>
      <c r="F1464">
        <v>49.627635955999999</v>
      </c>
      <c r="G1464">
        <v>1384.3834228999999</v>
      </c>
      <c r="H1464">
        <v>1369.2139893000001</v>
      </c>
      <c r="I1464">
        <v>1290.7111815999999</v>
      </c>
      <c r="J1464">
        <v>1271.6335449000001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1098.882617</v>
      </c>
      <c r="B1465" s="1">
        <f>DATE(2013,5,3) + TIME(21,10,58)</f>
        <v>41397.882615740738</v>
      </c>
      <c r="C1465">
        <v>80</v>
      </c>
      <c r="D1465">
        <v>79.673797606999997</v>
      </c>
      <c r="E1465">
        <v>50</v>
      </c>
      <c r="F1465">
        <v>49.617721558</v>
      </c>
      <c r="G1465">
        <v>1384.5881348</v>
      </c>
      <c r="H1465">
        <v>1369.4366454999999</v>
      </c>
      <c r="I1465">
        <v>1290.4718018000001</v>
      </c>
      <c r="J1465">
        <v>1271.3920897999999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1099.0132249999999</v>
      </c>
      <c r="B1466" s="1">
        <f>DATE(2013,5,4) + TIME(0,19,2)</f>
        <v>41398.01321759259</v>
      </c>
      <c r="C1466">
        <v>80</v>
      </c>
      <c r="D1466">
        <v>79.720199585000003</v>
      </c>
      <c r="E1466">
        <v>50</v>
      </c>
      <c r="F1466">
        <v>49.607673644999998</v>
      </c>
      <c r="G1466">
        <v>1384.7779541</v>
      </c>
      <c r="H1466">
        <v>1369.6433105000001</v>
      </c>
      <c r="I1466">
        <v>1290.2509766000001</v>
      </c>
      <c r="J1466">
        <v>1271.1694336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1099.1467170000001</v>
      </c>
      <c r="B1467" s="1">
        <f>DATE(2013,5,4) + TIME(3,31,16)</f>
        <v>41398.14671296296</v>
      </c>
      <c r="C1467">
        <v>80</v>
      </c>
      <c r="D1467">
        <v>79.759643554999997</v>
      </c>
      <c r="E1467">
        <v>50</v>
      </c>
      <c r="F1467">
        <v>49.597465515000003</v>
      </c>
      <c r="G1467">
        <v>1384.9542236</v>
      </c>
      <c r="H1467">
        <v>1369.8353271000001</v>
      </c>
      <c r="I1467">
        <v>1290.0472411999999</v>
      </c>
      <c r="J1467">
        <v>1270.9638672000001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1099.2834330000001</v>
      </c>
      <c r="B1468" s="1">
        <f>DATE(2013,5,4) + TIME(6,48,8)</f>
        <v>41398.283425925925</v>
      </c>
      <c r="C1468">
        <v>80</v>
      </c>
      <c r="D1468">
        <v>79.793113708000007</v>
      </c>
      <c r="E1468">
        <v>50</v>
      </c>
      <c r="F1468">
        <v>49.587074280000003</v>
      </c>
      <c r="G1468">
        <v>1385.1176757999999</v>
      </c>
      <c r="H1468">
        <v>1370.0136719</v>
      </c>
      <c r="I1468">
        <v>1289.859375</v>
      </c>
      <c r="J1468">
        <v>1270.7742920000001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1099.4237350000001</v>
      </c>
      <c r="B1469" s="1">
        <f>DATE(2013,5,4) + TIME(10,10,10)</f>
        <v>41398.423726851855</v>
      </c>
      <c r="C1469">
        <v>80</v>
      </c>
      <c r="D1469">
        <v>79.821456909000005</v>
      </c>
      <c r="E1469">
        <v>50</v>
      </c>
      <c r="F1469">
        <v>49.576480865000001</v>
      </c>
      <c r="G1469">
        <v>1385.2694091999999</v>
      </c>
      <c r="H1469">
        <v>1370.1795654</v>
      </c>
      <c r="I1469">
        <v>1289.6862793</v>
      </c>
      <c r="J1469">
        <v>1270.5994873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1099.5680159999999</v>
      </c>
      <c r="B1470" s="1">
        <f>DATE(2013,5,4) + TIME(13,37,56)</f>
        <v>41398.568009259259</v>
      </c>
      <c r="C1470">
        <v>80</v>
      </c>
      <c r="D1470">
        <v>79.845397949000002</v>
      </c>
      <c r="E1470">
        <v>50</v>
      </c>
      <c r="F1470">
        <v>49.565658569</v>
      </c>
      <c r="G1470">
        <v>1385.4100341999999</v>
      </c>
      <c r="H1470">
        <v>1370.3338623</v>
      </c>
      <c r="I1470">
        <v>1289.5270995999999</v>
      </c>
      <c r="J1470">
        <v>1270.4385986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1099.716707</v>
      </c>
      <c r="B1471" s="1">
        <f>DATE(2013,5,4) + TIME(17,12,3)</f>
        <v>41398.71670138889</v>
      </c>
      <c r="C1471">
        <v>80</v>
      </c>
      <c r="D1471">
        <v>79.865562439000001</v>
      </c>
      <c r="E1471">
        <v>50</v>
      </c>
      <c r="F1471">
        <v>49.554580688000001</v>
      </c>
      <c r="G1471">
        <v>1385.5401611</v>
      </c>
      <c r="H1471">
        <v>1370.4770507999999</v>
      </c>
      <c r="I1471">
        <v>1289.3807373</v>
      </c>
      <c r="J1471">
        <v>1270.2906493999999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1099.870281</v>
      </c>
      <c r="B1472" s="1">
        <f>DATE(2013,5,4) + TIME(20,53,12)</f>
        <v>41398.87027777778</v>
      </c>
      <c r="C1472">
        <v>80</v>
      </c>
      <c r="D1472">
        <v>79.882499695000007</v>
      </c>
      <c r="E1472">
        <v>50</v>
      </c>
      <c r="F1472">
        <v>49.543212891000003</v>
      </c>
      <c r="G1472">
        <v>1385.6604004000001</v>
      </c>
      <c r="H1472">
        <v>1370.6099853999999</v>
      </c>
      <c r="I1472">
        <v>1289.246582</v>
      </c>
      <c r="J1472">
        <v>1270.1549072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1100.0292669999999</v>
      </c>
      <c r="B1473" s="1">
        <f>DATE(2013,5,5) + TIME(0,42,8)</f>
        <v>41399.02925925926</v>
      </c>
      <c r="C1473">
        <v>80</v>
      </c>
      <c r="D1473">
        <v>79.896667480000005</v>
      </c>
      <c r="E1473">
        <v>50</v>
      </c>
      <c r="F1473">
        <v>49.531528473000002</v>
      </c>
      <c r="G1473">
        <v>1385.7712402</v>
      </c>
      <c r="H1473">
        <v>1370.7331543</v>
      </c>
      <c r="I1473">
        <v>1289.1239014</v>
      </c>
      <c r="J1473">
        <v>1270.0307617000001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1100.19427</v>
      </c>
      <c r="B1474" s="1">
        <f>DATE(2013,5,5) + TIME(4,39,44)</f>
        <v>41399.19425925926</v>
      </c>
      <c r="C1474">
        <v>80</v>
      </c>
      <c r="D1474">
        <v>79.908470154</v>
      </c>
      <c r="E1474">
        <v>50</v>
      </c>
      <c r="F1474">
        <v>49.519481659</v>
      </c>
      <c r="G1474">
        <v>1385.8730469</v>
      </c>
      <c r="H1474">
        <v>1370.8470459</v>
      </c>
      <c r="I1474">
        <v>1289.0120850000001</v>
      </c>
      <c r="J1474">
        <v>1269.9174805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1100.366057</v>
      </c>
      <c r="B1475" s="1">
        <f>DATE(2013,5,5) + TIME(8,47,7)</f>
        <v>41399.366053240738</v>
      </c>
      <c r="C1475">
        <v>80</v>
      </c>
      <c r="D1475">
        <v>79.918273925999998</v>
      </c>
      <c r="E1475">
        <v>50</v>
      </c>
      <c r="F1475">
        <v>49.507034302000001</v>
      </c>
      <c r="G1475">
        <v>1385.9663086</v>
      </c>
      <c r="H1475">
        <v>1370.9522704999999</v>
      </c>
      <c r="I1475">
        <v>1288.9105225000001</v>
      </c>
      <c r="J1475">
        <v>1269.8143310999999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1100.5452889999999</v>
      </c>
      <c r="B1476" s="1">
        <f>DATE(2013,5,5) + TIME(13,5,12)</f>
        <v>41399.545277777775</v>
      </c>
      <c r="C1476">
        <v>80</v>
      </c>
      <c r="D1476">
        <v>79.926361084000007</v>
      </c>
      <c r="E1476">
        <v>50</v>
      </c>
      <c r="F1476">
        <v>49.494136810000001</v>
      </c>
      <c r="G1476">
        <v>1386.0510254000001</v>
      </c>
      <c r="H1476">
        <v>1371.0489502</v>
      </c>
      <c r="I1476">
        <v>1288.8188477000001</v>
      </c>
      <c r="J1476">
        <v>1269.7211914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1100.732847</v>
      </c>
      <c r="B1477" s="1">
        <f>DATE(2013,5,5) + TIME(17,35,18)</f>
        <v>41399.732847222222</v>
      </c>
      <c r="C1477">
        <v>80</v>
      </c>
      <c r="D1477">
        <v>79.933006286999998</v>
      </c>
      <c r="E1477">
        <v>50</v>
      </c>
      <c r="F1477">
        <v>49.480743408000002</v>
      </c>
      <c r="G1477">
        <v>1386.1276855000001</v>
      </c>
      <c r="H1477">
        <v>1371.1373291</v>
      </c>
      <c r="I1477">
        <v>1288.7364502</v>
      </c>
      <c r="J1477">
        <v>1269.6373291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1100.9297489999999</v>
      </c>
      <c r="B1478" s="1">
        <f>DATE(2013,5,5) + TIME(22,18,50)</f>
        <v>41399.929745370369</v>
      </c>
      <c r="C1478">
        <v>80</v>
      </c>
      <c r="D1478">
        <v>79.938430785999998</v>
      </c>
      <c r="E1478">
        <v>50</v>
      </c>
      <c r="F1478">
        <v>49.466789245999998</v>
      </c>
      <c r="G1478">
        <v>1386.1962891000001</v>
      </c>
      <c r="H1478">
        <v>1371.2178954999999</v>
      </c>
      <c r="I1478">
        <v>1288.6629639</v>
      </c>
      <c r="J1478">
        <v>1269.5622559000001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1101.1351910000001</v>
      </c>
      <c r="B1479" s="1">
        <f>DATE(2013,5,6) + TIME(3,14,40)</f>
        <v>41400.135185185187</v>
      </c>
      <c r="C1479">
        <v>80</v>
      </c>
      <c r="D1479">
        <v>79.942794800000001</v>
      </c>
      <c r="E1479">
        <v>50</v>
      </c>
      <c r="F1479">
        <v>49.452312468999999</v>
      </c>
      <c r="G1479">
        <v>1386.2561035000001</v>
      </c>
      <c r="H1479">
        <v>1371.2896728999999</v>
      </c>
      <c r="I1479">
        <v>1288.5985106999999</v>
      </c>
      <c r="J1479">
        <v>1269.4963379000001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1101.349494</v>
      </c>
      <c r="B1480" s="1">
        <f>DATE(2013,5,6) + TIME(8,23,16)</f>
        <v>41400.349490740744</v>
      </c>
      <c r="C1480">
        <v>80</v>
      </c>
      <c r="D1480">
        <v>79.946281432999996</v>
      </c>
      <c r="E1480">
        <v>50</v>
      </c>
      <c r="F1480">
        <v>49.437297821000001</v>
      </c>
      <c r="G1480">
        <v>1386.3074951000001</v>
      </c>
      <c r="H1480">
        <v>1371.3531493999999</v>
      </c>
      <c r="I1480">
        <v>1288.5426024999999</v>
      </c>
      <c r="J1480">
        <v>1269.4389647999999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1101.5735199999999</v>
      </c>
      <c r="B1481" s="1">
        <f>DATE(2013,5,6) + TIME(13,45,52)</f>
        <v>41400.573518518519</v>
      </c>
      <c r="C1481">
        <v>80</v>
      </c>
      <c r="D1481">
        <v>79.949050903</v>
      </c>
      <c r="E1481">
        <v>50</v>
      </c>
      <c r="F1481">
        <v>49.421695708999998</v>
      </c>
      <c r="G1481">
        <v>1386.3509521000001</v>
      </c>
      <c r="H1481">
        <v>1371.4086914</v>
      </c>
      <c r="I1481">
        <v>1288.4946289</v>
      </c>
      <c r="J1481">
        <v>1269.3896483999999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1101.808368</v>
      </c>
      <c r="B1482" s="1">
        <f>DATE(2013,5,6) + TIME(19,24,2)</f>
        <v>41400.808356481481</v>
      </c>
      <c r="C1482">
        <v>80</v>
      </c>
      <c r="D1482">
        <v>79.951240540000001</v>
      </c>
      <c r="E1482">
        <v>50</v>
      </c>
      <c r="F1482">
        <v>49.405441283999998</v>
      </c>
      <c r="G1482">
        <v>1386.3864745999999</v>
      </c>
      <c r="H1482">
        <v>1371.4566649999999</v>
      </c>
      <c r="I1482">
        <v>1288.4542236</v>
      </c>
      <c r="J1482">
        <v>1269.3477783000001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1102.051369</v>
      </c>
      <c r="B1483" s="1">
        <f>DATE(2013,5,7) + TIME(1,13,58)</f>
        <v>41401.051365740743</v>
      </c>
      <c r="C1483">
        <v>80</v>
      </c>
      <c r="D1483">
        <v>79.952941894999995</v>
      </c>
      <c r="E1483">
        <v>50</v>
      </c>
      <c r="F1483">
        <v>49.388671875</v>
      </c>
      <c r="G1483">
        <v>1386.4134521000001</v>
      </c>
      <c r="H1483">
        <v>1371.4959716999999</v>
      </c>
      <c r="I1483">
        <v>1288.4211425999999</v>
      </c>
      <c r="J1483">
        <v>1269.3131103999999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1102.2958209999999</v>
      </c>
      <c r="B1484" s="1">
        <f>DATE(2013,5,7) + TIME(7,5,58)</f>
        <v>41401.295810185184</v>
      </c>
      <c r="C1484">
        <v>80</v>
      </c>
      <c r="D1484">
        <v>79.954231261999993</v>
      </c>
      <c r="E1484">
        <v>50</v>
      </c>
      <c r="F1484">
        <v>49.371746063000003</v>
      </c>
      <c r="G1484">
        <v>1386.4309082</v>
      </c>
      <c r="H1484">
        <v>1371.526001</v>
      </c>
      <c r="I1484">
        <v>1288.3950195</v>
      </c>
      <c r="J1484">
        <v>1269.2856445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1102.5414479999999</v>
      </c>
      <c r="B1485" s="1">
        <f>DATE(2013,5,7) + TIME(12,59,41)</f>
        <v>41401.541446759256</v>
      </c>
      <c r="C1485">
        <v>80</v>
      </c>
      <c r="D1485">
        <v>79.955200195000003</v>
      </c>
      <c r="E1485">
        <v>50</v>
      </c>
      <c r="F1485">
        <v>49.354701996000003</v>
      </c>
      <c r="G1485">
        <v>1386.4411620999999</v>
      </c>
      <c r="H1485">
        <v>1371.5487060999999</v>
      </c>
      <c r="I1485">
        <v>1288.3748779</v>
      </c>
      <c r="J1485">
        <v>1269.2640381000001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1102.788959</v>
      </c>
      <c r="B1486" s="1">
        <f>DATE(2013,5,7) + TIME(18,56,6)</f>
        <v>41401.788958333331</v>
      </c>
      <c r="C1486">
        <v>80</v>
      </c>
      <c r="D1486">
        <v>79.955947875999996</v>
      </c>
      <c r="E1486">
        <v>50</v>
      </c>
      <c r="F1486">
        <v>49.337532043000003</v>
      </c>
      <c r="G1486">
        <v>1386.4456786999999</v>
      </c>
      <c r="H1486">
        <v>1371.5653076000001</v>
      </c>
      <c r="I1486">
        <v>1288.3597411999999</v>
      </c>
      <c r="J1486">
        <v>1269.2474365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1103.0390030000001</v>
      </c>
      <c r="B1487" s="1">
        <f>DATE(2013,5,8) + TIME(0,56,9)</f>
        <v>41402.038993055554</v>
      </c>
      <c r="C1487">
        <v>80</v>
      </c>
      <c r="D1487">
        <v>79.956520080999994</v>
      </c>
      <c r="E1487">
        <v>50</v>
      </c>
      <c r="F1487">
        <v>49.320213318</v>
      </c>
      <c r="G1487">
        <v>1386.4450684000001</v>
      </c>
      <c r="H1487">
        <v>1371.5764160000001</v>
      </c>
      <c r="I1487">
        <v>1288.3486327999999</v>
      </c>
      <c r="J1487">
        <v>1269.2351074000001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1103.292263</v>
      </c>
      <c r="B1488" s="1">
        <f>DATE(2013,5,8) + TIME(7,0,51)</f>
        <v>41402.292256944442</v>
      </c>
      <c r="C1488">
        <v>80</v>
      </c>
      <c r="D1488">
        <v>79.956962584999999</v>
      </c>
      <c r="E1488">
        <v>50</v>
      </c>
      <c r="F1488">
        <v>49.302715302000003</v>
      </c>
      <c r="G1488">
        <v>1386.4398193</v>
      </c>
      <c r="H1488">
        <v>1371.5828856999999</v>
      </c>
      <c r="I1488">
        <v>1288.3410644999999</v>
      </c>
      <c r="J1488">
        <v>1269.2260742000001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1103.5494269999999</v>
      </c>
      <c r="B1489" s="1">
        <f>DATE(2013,5,8) + TIME(13,11,10)</f>
        <v>41402.549421296295</v>
      </c>
      <c r="C1489">
        <v>80</v>
      </c>
      <c r="D1489">
        <v>79.957305907999995</v>
      </c>
      <c r="E1489">
        <v>50</v>
      </c>
      <c r="F1489">
        <v>49.285015106000003</v>
      </c>
      <c r="G1489">
        <v>1386.4304199000001</v>
      </c>
      <c r="H1489">
        <v>1371.5852050999999</v>
      </c>
      <c r="I1489">
        <v>1288.3363036999999</v>
      </c>
      <c r="J1489">
        <v>1269.2198486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1103.811201</v>
      </c>
      <c r="B1490" s="1">
        <f>DATE(2013,5,8) + TIME(19,28,7)</f>
        <v>41402.811192129629</v>
      </c>
      <c r="C1490">
        <v>80</v>
      </c>
      <c r="D1490">
        <v>79.957572936999995</v>
      </c>
      <c r="E1490">
        <v>50</v>
      </c>
      <c r="F1490">
        <v>49.267070769999997</v>
      </c>
      <c r="G1490">
        <v>1386.4172363</v>
      </c>
      <c r="H1490">
        <v>1371.5836182</v>
      </c>
      <c r="I1490">
        <v>1288.3338623</v>
      </c>
      <c r="J1490">
        <v>1269.2159423999999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1104.078319</v>
      </c>
      <c r="B1491" s="1">
        <f>DATE(2013,5,9) + TIME(1,52,46)</f>
        <v>41403.078310185185</v>
      </c>
      <c r="C1491">
        <v>80</v>
      </c>
      <c r="D1491">
        <v>79.957786560000002</v>
      </c>
      <c r="E1491">
        <v>50</v>
      </c>
      <c r="F1491">
        <v>49.248844147</v>
      </c>
      <c r="G1491">
        <v>1386.4006348</v>
      </c>
      <c r="H1491">
        <v>1371.5786132999999</v>
      </c>
      <c r="I1491">
        <v>1288.333374</v>
      </c>
      <c r="J1491">
        <v>1269.2139893000001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1104.3515629999999</v>
      </c>
      <c r="B1492" s="1">
        <f>DATE(2013,5,9) + TIME(8,26,15)</f>
        <v>41403.3515625</v>
      </c>
      <c r="C1492">
        <v>80</v>
      </c>
      <c r="D1492">
        <v>79.957954407000003</v>
      </c>
      <c r="E1492">
        <v>50</v>
      </c>
      <c r="F1492">
        <v>49.230297088999997</v>
      </c>
      <c r="G1492">
        <v>1386.3809814000001</v>
      </c>
      <c r="H1492">
        <v>1371.5703125</v>
      </c>
      <c r="I1492">
        <v>1288.3343506000001</v>
      </c>
      <c r="J1492">
        <v>1269.213501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1104.6317730000001</v>
      </c>
      <c r="B1493" s="1">
        <f>DATE(2013,5,9) + TIME(15,9,45)</f>
        <v>41403.63177083333</v>
      </c>
      <c r="C1493">
        <v>80</v>
      </c>
      <c r="D1493">
        <v>79.958084106000001</v>
      </c>
      <c r="E1493">
        <v>50</v>
      </c>
      <c r="F1493">
        <v>49.211383820000002</v>
      </c>
      <c r="G1493">
        <v>1386.3581543</v>
      </c>
      <c r="H1493">
        <v>1371.559082</v>
      </c>
      <c r="I1493">
        <v>1288.3365478999999</v>
      </c>
      <c r="J1493">
        <v>1269.2142334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1104.919866</v>
      </c>
      <c r="B1494" s="1">
        <f>DATE(2013,5,9) + TIME(22,4,36)</f>
        <v>41403.919861111113</v>
      </c>
      <c r="C1494">
        <v>80</v>
      </c>
      <c r="D1494">
        <v>79.958190918</v>
      </c>
      <c r="E1494">
        <v>50</v>
      </c>
      <c r="F1494">
        <v>49.192043304000002</v>
      </c>
      <c r="G1494">
        <v>1386.3326416</v>
      </c>
      <c r="H1494">
        <v>1371.5451660000001</v>
      </c>
      <c r="I1494">
        <v>1288.3397216999999</v>
      </c>
      <c r="J1494">
        <v>1269.2158202999999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1105.2169469999999</v>
      </c>
      <c r="B1495" s="1">
        <f>DATE(2013,5,10) + TIME(5,12,24)</f>
        <v>41404.216944444444</v>
      </c>
      <c r="C1495">
        <v>80</v>
      </c>
      <c r="D1495">
        <v>79.958274841000005</v>
      </c>
      <c r="E1495">
        <v>50</v>
      </c>
      <c r="F1495">
        <v>49.172225951999998</v>
      </c>
      <c r="G1495">
        <v>1386.3043213000001</v>
      </c>
      <c r="H1495">
        <v>1371.5284423999999</v>
      </c>
      <c r="I1495">
        <v>1288.3436279</v>
      </c>
      <c r="J1495">
        <v>1269.2181396000001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1105.5241940000001</v>
      </c>
      <c r="B1496" s="1">
        <f>DATE(2013,5,10) + TIME(12,34,50)</f>
        <v>41404.524189814816</v>
      </c>
      <c r="C1496">
        <v>80</v>
      </c>
      <c r="D1496">
        <v>79.958335876000007</v>
      </c>
      <c r="E1496">
        <v>50</v>
      </c>
      <c r="F1496">
        <v>49.151855468999997</v>
      </c>
      <c r="G1496">
        <v>1386.2734375</v>
      </c>
      <c r="H1496">
        <v>1371.5093993999999</v>
      </c>
      <c r="I1496">
        <v>1288.3479004000001</v>
      </c>
      <c r="J1496">
        <v>1269.2209473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1105.8427770000001</v>
      </c>
      <c r="B1497" s="1">
        <f>DATE(2013,5,10) + TIME(20,13,35)</f>
        <v>41404.842766203707</v>
      </c>
      <c r="C1497">
        <v>80</v>
      </c>
      <c r="D1497">
        <v>79.958389281999999</v>
      </c>
      <c r="E1497">
        <v>50</v>
      </c>
      <c r="F1497">
        <v>49.130874634000001</v>
      </c>
      <c r="G1497">
        <v>1386.2397461</v>
      </c>
      <c r="H1497">
        <v>1371.487793</v>
      </c>
      <c r="I1497">
        <v>1288.3526611</v>
      </c>
      <c r="J1497">
        <v>1269.2238769999999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1106.1698249999999</v>
      </c>
      <c r="B1498" s="1">
        <f>DATE(2013,5,11) + TIME(4,4,32)</f>
        <v>41405.169814814813</v>
      </c>
      <c r="C1498">
        <v>80</v>
      </c>
      <c r="D1498">
        <v>79.958427428999997</v>
      </c>
      <c r="E1498">
        <v>50</v>
      </c>
      <c r="F1498">
        <v>49.109397887999997</v>
      </c>
      <c r="G1498">
        <v>1386.2034911999999</v>
      </c>
      <c r="H1498">
        <v>1371.463501</v>
      </c>
      <c r="I1498">
        <v>1288.3572998</v>
      </c>
      <c r="J1498">
        <v>1269.2268065999999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1106.5055729999999</v>
      </c>
      <c r="B1499" s="1">
        <f>DATE(2013,5,11) + TIME(12,8,1)</f>
        <v>41405.505567129629</v>
      </c>
      <c r="C1499">
        <v>80</v>
      </c>
      <c r="D1499">
        <v>79.958457946999999</v>
      </c>
      <c r="E1499">
        <v>50</v>
      </c>
      <c r="F1499">
        <v>49.087421417000002</v>
      </c>
      <c r="G1499">
        <v>1386.1650391000001</v>
      </c>
      <c r="H1499">
        <v>1371.4372559000001</v>
      </c>
      <c r="I1499">
        <v>1288.3618164</v>
      </c>
      <c r="J1499">
        <v>1269.2296143000001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1106.851048</v>
      </c>
      <c r="B1500" s="1">
        <f>DATE(2013,5,11) + TIME(20,25,30)</f>
        <v>41405.851041666669</v>
      </c>
      <c r="C1500">
        <v>80</v>
      </c>
      <c r="D1500">
        <v>79.958473205999994</v>
      </c>
      <c r="E1500">
        <v>50</v>
      </c>
      <c r="F1500">
        <v>49.064907073999997</v>
      </c>
      <c r="G1500">
        <v>1386.1246338000001</v>
      </c>
      <c r="H1500">
        <v>1371.4090576000001</v>
      </c>
      <c r="I1500">
        <v>1288.3662108999999</v>
      </c>
      <c r="J1500">
        <v>1269.2321777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1107.207371</v>
      </c>
      <c r="B1501" s="1">
        <f>DATE(2013,5,12) + TIME(4,58,36)</f>
        <v>41406.207361111112</v>
      </c>
      <c r="C1501">
        <v>80</v>
      </c>
      <c r="D1501">
        <v>79.958488463999998</v>
      </c>
      <c r="E1501">
        <v>50</v>
      </c>
      <c r="F1501">
        <v>49.041797637999998</v>
      </c>
      <c r="G1501">
        <v>1386.0822754000001</v>
      </c>
      <c r="H1501">
        <v>1371.3791504000001</v>
      </c>
      <c r="I1501">
        <v>1288.3701172000001</v>
      </c>
      <c r="J1501">
        <v>1269.234375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1107.575971</v>
      </c>
      <c r="B1502" s="1">
        <f>DATE(2013,5,12) + TIME(13,49,23)</f>
        <v>41406.575960648152</v>
      </c>
      <c r="C1502">
        <v>80</v>
      </c>
      <c r="D1502">
        <v>79.958496093999997</v>
      </c>
      <c r="E1502">
        <v>50</v>
      </c>
      <c r="F1502">
        <v>49.018028258999998</v>
      </c>
      <c r="G1502">
        <v>1386.0380858999999</v>
      </c>
      <c r="H1502">
        <v>1371.3474120999999</v>
      </c>
      <c r="I1502">
        <v>1288.3737793</v>
      </c>
      <c r="J1502">
        <v>1269.2359618999999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1107.9582359999999</v>
      </c>
      <c r="B1503" s="1">
        <f>DATE(2013,5,12) + TIME(22,59,51)</f>
        <v>41406.958229166667</v>
      </c>
      <c r="C1503">
        <v>80</v>
      </c>
      <c r="D1503">
        <v>79.958503723000007</v>
      </c>
      <c r="E1503">
        <v>50</v>
      </c>
      <c r="F1503">
        <v>48.993526459000002</v>
      </c>
      <c r="G1503">
        <v>1385.9919434000001</v>
      </c>
      <c r="H1503">
        <v>1371.3138428</v>
      </c>
      <c r="I1503">
        <v>1288.3768310999999</v>
      </c>
      <c r="J1503">
        <v>1269.2369385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1108.3445280000001</v>
      </c>
      <c r="B1504" s="1">
        <f>DATE(2013,5,13) + TIME(8,16,7)</f>
        <v>41407.344525462962</v>
      </c>
      <c r="C1504">
        <v>80</v>
      </c>
      <c r="D1504">
        <v>79.958496093999997</v>
      </c>
      <c r="E1504">
        <v>50</v>
      </c>
      <c r="F1504">
        <v>48.968696594000001</v>
      </c>
      <c r="G1504">
        <v>1385.9437256000001</v>
      </c>
      <c r="H1504">
        <v>1371.2785644999999</v>
      </c>
      <c r="I1504">
        <v>1288.3790283000001</v>
      </c>
      <c r="J1504">
        <v>1269.2371826000001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1108.7354660000001</v>
      </c>
      <c r="B1505" s="1">
        <f>DATE(2013,5,13) + TIME(17,39,4)</f>
        <v>41407.735462962963</v>
      </c>
      <c r="C1505">
        <v>80</v>
      </c>
      <c r="D1505">
        <v>79.958496093999997</v>
      </c>
      <c r="E1505">
        <v>50</v>
      </c>
      <c r="F1505">
        <v>48.943565368999998</v>
      </c>
      <c r="G1505">
        <v>1385.8948975000001</v>
      </c>
      <c r="H1505">
        <v>1371.2423096</v>
      </c>
      <c r="I1505">
        <v>1288.3804932</v>
      </c>
      <c r="J1505">
        <v>1269.2366943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1109.1304190000001</v>
      </c>
      <c r="B1506" s="1">
        <f>DATE(2013,5,14) + TIME(3,7,48)</f>
        <v>41408.130416666667</v>
      </c>
      <c r="C1506">
        <v>80</v>
      </c>
      <c r="D1506">
        <v>79.958488463999998</v>
      </c>
      <c r="E1506">
        <v>50</v>
      </c>
      <c r="F1506">
        <v>48.918197632000002</v>
      </c>
      <c r="G1506">
        <v>1385.8454589999999</v>
      </c>
      <c r="H1506">
        <v>1371.2054443</v>
      </c>
      <c r="I1506">
        <v>1288.3813477000001</v>
      </c>
      <c r="J1506">
        <v>1269.2353516000001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1109.529894</v>
      </c>
      <c r="B1507" s="1">
        <f>DATE(2013,5,14) + TIME(12,43,2)</f>
        <v>41408.52988425926</v>
      </c>
      <c r="C1507">
        <v>80</v>
      </c>
      <c r="D1507">
        <v>79.958480835000003</v>
      </c>
      <c r="E1507">
        <v>50</v>
      </c>
      <c r="F1507">
        <v>48.892597197999997</v>
      </c>
      <c r="G1507">
        <v>1385.7956543</v>
      </c>
      <c r="H1507">
        <v>1371.1680908000001</v>
      </c>
      <c r="I1507">
        <v>1288.3814697</v>
      </c>
      <c r="J1507">
        <v>1269.2332764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1109.934438</v>
      </c>
      <c r="B1508" s="1">
        <f>DATE(2013,5,14) + TIME(22,25,35)</f>
        <v>41408.934432870374</v>
      </c>
      <c r="C1508">
        <v>80</v>
      </c>
      <c r="D1508">
        <v>79.958465575999995</v>
      </c>
      <c r="E1508">
        <v>50</v>
      </c>
      <c r="F1508">
        <v>48.866760253999999</v>
      </c>
      <c r="G1508">
        <v>1385.7454834</v>
      </c>
      <c r="H1508">
        <v>1371.130249</v>
      </c>
      <c r="I1508">
        <v>1288.3808594</v>
      </c>
      <c r="J1508">
        <v>1269.2305908000001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1110.3451359999999</v>
      </c>
      <c r="B1509" s="1">
        <f>DATE(2013,5,15) + TIME(8,16,59)</f>
        <v>41409.345127314817</v>
      </c>
      <c r="C1509">
        <v>80</v>
      </c>
      <c r="D1509">
        <v>79.958457946999999</v>
      </c>
      <c r="E1509">
        <v>50</v>
      </c>
      <c r="F1509">
        <v>48.840644836000003</v>
      </c>
      <c r="G1509">
        <v>1385.6950684000001</v>
      </c>
      <c r="H1509">
        <v>1371.0920410000001</v>
      </c>
      <c r="I1509">
        <v>1288.3797606999999</v>
      </c>
      <c r="J1509">
        <v>1269.2271728999999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1110.7631120000001</v>
      </c>
      <c r="B1510" s="1">
        <f>DATE(2013,5,15) + TIME(18,18,52)</f>
        <v>41409.763101851851</v>
      </c>
      <c r="C1510">
        <v>80</v>
      </c>
      <c r="D1510">
        <v>79.958442688000005</v>
      </c>
      <c r="E1510">
        <v>50</v>
      </c>
      <c r="F1510">
        <v>48.814208983999997</v>
      </c>
      <c r="G1510">
        <v>1385.6441649999999</v>
      </c>
      <c r="H1510">
        <v>1371.0533447</v>
      </c>
      <c r="I1510">
        <v>1288.3779297000001</v>
      </c>
      <c r="J1510">
        <v>1269.2231445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1111.1895460000001</v>
      </c>
      <c r="B1511" s="1">
        <f>DATE(2013,5,16) + TIME(4,32,56)</f>
        <v>41410.18953703704</v>
      </c>
      <c r="C1511">
        <v>80</v>
      </c>
      <c r="D1511">
        <v>79.958427428999997</v>
      </c>
      <c r="E1511">
        <v>50</v>
      </c>
      <c r="F1511">
        <v>48.787395476999997</v>
      </c>
      <c r="G1511">
        <v>1385.5928954999999</v>
      </c>
      <c r="H1511">
        <v>1371.0141602000001</v>
      </c>
      <c r="I1511">
        <v>1288.3754882999999</v>
      </c>
      <c r="J1511">
        <v>1269.2182617000001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1111.6256940000001</v>
      </c>
      <c r="B1512" s="1">
        <f>DATE(2013,5,16) + TIME(15,0,59)</f>
        <v>41410.62568287037</v>
      </c>
      <c r="C1512">
        <v>80</v>
      </c>
      <c r="D1512">
        <v>79.958412170000003</v>
      </c>
      <c r="E1512">
        <v>50</v>
      </c>
      <c r="F1512">
        <v>48.760143280000001</v>
      </c>
      <c r="G1512">
        <v>1385.5410156</v>
      </c>
      <c r="H1512">
        <v>1370.9743652</v>
      </c>
      <c r="I1512">
        <v>1288.3724365</v>
      </c>
      <c r="J1512">
        <v>1269.2127685999999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1112.0729220000001</v>
      </c>
      <c r="B1513" s="1">
        <f>DATE(2013,5,17) + TIME(1,45,0)</f>
        <v>41411.072916666664</v>
      </c>
      <c r="C1513">
        <v>80</v>
      </c>
      <c r="D1513">
        <v>79.958404540999993</v>
      </c>
      <c r="E1513">
        <v>50</v>
      </c>
      <c r="F1513">
        <v>48.732379913000003</v>
      </c>
      <c r="G1513">
        <v>1385.4886475000001</v>
      </c>
      <c r="H1513">
        <v>1370.934082</v>
      </c>
      <c r="I1513">
        <v>1288.3686522999999</v>
      </c>
      <c r="J1513">
        <v>1269.2066649999999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1112.532731</v>
      </c>
      <c r="B1514" s="1">
        <f>DATE(2013,5,17) + TIME(12,47,7)</f>
        <v>41411.532719907409</v>
      </c>
      <c r="C1514">
        <v>80</v>
      </c>
      <c r="D1514">
        <v>79.958389281999999</v>
      </c>
      <c r="E1514">
        <v>50</v>
      </c>
      <c r="F1514">
        <v>48.704029083000002</v>
      </c>
      <c r="G1514">
        <v>1385.4354248</v>
      </c>
      <c r="H1514">
        <v>1370.8930664</v>
      </c>
      <c r="I1514">
        <v>1288.3643798999999</v>
      </c>
      <c r="J1514">
        <v>1269.1998291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1113.0070049999999</v>
      </c>
      <c r="B1515" s="1">
        <f>DATE(2013,5,18) + TIME(0,10,5)</f>
        <v>41412.007002314815</v>
      </c>
      <c r="C1515">
        <v>80</v>
      </c>
      <c r="D1515">
        <v>79.958374023000005</v>
      </c>
      <c r="E1515">
        <v>50</v>
      </c>
      <c r="F1515">
        <v>48.674999237000002</v>
      </c>
      <c r="G1515">
        <v>1385.3813477000001</v>
      </c>
      <c r="H1515">
        <v>1370.8513184000001</v>
      </c>
      <c r="I1515">
        <v>1288.359375</v>
      </c>
      <c r="J1515">
        <v>1269.1921387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1113.4975770000001</v>
      </c>
      <c r="B1516" s="1">
        <f>DATE(2013,5,18) + TIME(11,56,30)</f>
        <v>41412.497569444444</v>
      </c>
      <c r="C1516">
        <v>80</v>
      </c>
      <c r="D1516">
        <v>79.958358765</v>
      </c>
      <c r="E1516">
        <v>50</v>
      </c>
      <c r="F1516">
        <v>48.645195006999998</v>
      </c>
      <c r="G1516">
        <v>1385.3264160000001</v>
      </c>
      <c r="H1516">
        <v>1370.8087158000001</v>
      </c>
      <c r="I1516">
        <v>1288.3537598</v>
      </c>
      <c r="J1516">
        <v>1269.1838379000001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1113.998094</v>
      </c>
      <c r="B1517" s="1">
        <f>DATE(2013,5,18) + TIME(23,57,15)</f>
        <v>41412.998090277775</v>
      </c>
      <c r="C1517">
        <v>80</v>
      </c>
      <c r="D1517">
        <v>79.958343506000006</v>
      </c>
      <c r="E1517">
        <v>50</v>
      </c>
      <c r="F1517">
        <v>48.614822388</v>
      </c>
      <c r="G1517">
        <v>1385.2703856999999</v>
      </c>
      <c r="H1517">
        <v>1370.7652588000001</v>
      </c>
      <c r="I1517">
        <v>1288.3474120999999</v>
      </c>
      <c r="J1517">
        <v>1269.1748047000001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1114.5072720000001</v>
      </c>
      <c r="B1518" s="1">
        <f>DATE(2013,5,19) + TIME(12,10,28)</f>
        <v>41413.507268518515</v>
      </c>
      <c r="C1518">
        <v>80</v>
      </c>
      <c r="D1518">
        <v>79.958328246999997</v>
      </c>
      <c r="E1518">
        <v>50</v>
      </c>
      <c r="F1518">
        <v>48.583972930999998</v>
      </c>
      <c r="G1518">
        <v>1385.2139893000001</v>
      </c>
      <c r="H1518">
        <v>1370.7214355000001</v>
      </c>
      <c r="I1518">
        <v>1288.3405762</v>
      </c>
      <c r="J1518">
        <v>1269.1650391000001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1115.0238999999999</v>
      </c>
      <c r="B1519" s="1">
        <f>DATE(2013,5,20) + TIME(0,34,24)</f>
        <v>41414.023888888885</v>
      </c>
      <c r="C1519">
        <v>80</v>
      </c>
      <c r="D1519">
        <v>79.958312988000003</v>
      </c>
      <c r="E1519">
        <v>50</v>
      </c>
      <c r="F1519">
        <v>48.552726745999998</v>
      </c>
      <c r="G1519">
        <v>1385.1575928</v>
      </c>
      <c r="H1519">
        <v>1370.6774902</v>
      </c>
      <c r="I1519">
        <v>1288.3331298999999</v>
      </c>
      <c r="J1519">
        <v>1269.1546631000001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1115.5469780000001</v>
      </c>
      <c r="B1520" s="1">
        <f>DATE(2013,5,20) + TIME(13,7,38)</f>
        <v>41414.546967592592</v>
      </c>
      <c r="C1520">
        <v>80</v>
      </c>
      <c r="D1520">
        <v>79.958297728999995</v>
      </c>
      <c r="E1520">
        <v>50</v>
      </c>
      <c r="F1520">
        <v>48.521156310999999</v>
      </c>
      <c r="G1520">
        <v>1385.1011963000001</v>
      </c>
      <c r="H1520">
        <v>1370.6335449000001</v>
      </c>
      <c r="I1520">
        <v>1288.3251952999999</v>
      </c>
      <c r="J1520">
        <v>1269.1437988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1116.078139</v>
      </c>
      <c r="B1521" s="1">
        <f>DATE(2013,5,21) + TIME(1,52,31)</f>
        <v>41415.078136574077</v>
      </c>
      <c r="C1521">
        <v>80</v>
      </c>
      <c r="D1521">
        <v>79.958282471000004</v>
      </c>
      <c r="E1521">
        <v>50</v>
      </c>
      <c r="F1521">
        <v>48.489234924000002</v>
      </c>
      <c r="G1521">
        <v>1385.0449219</v>
      </c>
      <c r="H1521">
        <v>1370.5895995999999</v>
      </c>
      <c r="I1521">
        <v>1288.3168945</v>
      </c>
      <c r="J1521">
        <v>1269.1324463000001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1116.615796</v>
      </c>
      <c r="B1522" s="1">
        <f>DATE(2013,5,21) + TIME(14,46,44)</f>
        <v>41415.615787037037</v>
      </c>
      <c r="C1522">
        <v>80</v>
      </c>
      <c r="D1522">
        <v>79.958267211999996</v>
      </c>
      <c r="E1522">
        <v>50</v>
      </c>
      <c r="F1522">
        <v>48.457027435000001</v>
      </c>
      <c r="G1522">
        <v>1384.9887695</v>
      </c>
      <c r="H1522">
        <v>1370.5456543</v>
      </c>
      <c r="I1522">
        <v>1288.3081055</v>
      </c>
      <c r="J1522">
        <v>1269.1204834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1117.159128</v>
      </c>
      <c r="B1523" s="1">
        <f>DATE(2013,5,22) + TIME(3,49,8)</f>
        <v>41416.159120370372</v>
      </c>
      <c r="C1523">
        <v>80</v>
      </c>
      <c r="D1523">
        <v>79.958251953000001</v>
      </c>
      <c r="E1523">
        <v>50</v>
      </c>
      <c r="F1523">
        <v>48.424587250000002</v>
      </c>
      <c r="G1523">
        <v>1384.9327393000001</v>
      </c>
      <c r="H1523">
        <v>1370.5018310999999</v>
      </c>
      <c r="I1523">
        <v>1288.2990723</v>
      </c>
      <c r="J1523">
        <v>1269.1081543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1117.7096429999999</v>
      </c>
      <c r="B1524" s="1">
        <f>DATE(2013,5,22) + TIME(17,1,53)</f>
        <v>41416.709641203706</v>
      </c>
      <c r="C1524">
        <v>80</v>
      </c>
      <c r="D1524">
        <v>79.958236693999993</v>
      </c>
      <c r="E1524">
        <v>50</v>
      </c>
      <c r="F1524">
        <v>48.391876220999997</v>
      </c>
      <c r="G1524">
        <v>1384.8770752</v>
      </c>
      <c r="H1524">
        <v>1370.4582519999999</v>
      </c>
      <c r="I1524">
        <v>1288.2895507999999</v>
      </c>
      <c r="J1524">
        <v>1269.0954589999999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1118.268877</v>
      </c>
      <c r="B1525" s="1">
        <f>DATE(2013,5,23) + TIME(6,27,11)</f>
        <v>41417.268877314818</v>
      </c>
      <c r="C1525">
        <v>80</v>
      </c>
      <c r="D1525">
        <v>79.958221436000002</v>
      </c>
      <c r="E1525">
        <v>50</v>
      </c>
      <c r="F1525">
        <v>48.358844757</v>
      </c>
      <c r="G1525">
        <v>1384.8216553</v>
      </c>
      <c r="H1525">
        <v>1370.4147949000001</v>
      </c>
      <c r="I1525">
        <v>1288.2796631000001</v>
      </c>
      <c r="J1525">
        <v>1269.0822754000001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1118.8384530000001</v>
      </c>
      <c r="B1526" s="1">
        <f>DATE(2013,5,23) + TIME(20,7,22)</f>
        <v>41417.838449074072</v>
      </c>
      <c r="C1526">
        <v>80</v>
      </c>
      <c r="D1526">
        <v>79.958206176999994</v>
      </c>
      <c r="E1526">
        <v>50</v>
      </c>
      <c r="F1526">
        <v>48.325424194</v>
      </c>
      <c r="G1526">
        <v>1384.7661132999999</v>
      </c>
      <c r="H1526">
        <v>1370.3712158000001</v>
      </c>
      <c r="I1526">
        <v>1288.2694091999999</v>
      </c>
      <c r="J1526">
        <v>1269.0686035000001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1119.4201109999999</v>
      </c>
      <c r="B1527" s="1">
        <f>DATE(2013,5,24) + TIME(10,4,57)</f>
        <v>41418.420104166667</v>
      </c>
      <c r="C1527">
        <v>80</v>
      </c>
      <c r="D1527">
        <v>79.958198546999995</v>
      </c>
      <c r="E1527">
        <v>50</v>
      </c>
      <c r="F1527">
        <v>48.291530608999999</v>
      </c>
      <c r="G1527">
        <v>1384.7105713000001</v>
      </c>
      <c r="H1527">
        <v>1370.3275146000001</v>
      </c>
      <c r="I1527">
        <v>1288.2587891000001</v>
      </c>
      <c r="J1527">
        <v>1269.0544434000001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1120.0157260000001</v>
      </c>
      <c r="B1528" s="1">
        <f>DATE(2013,5,25) + TIME(0,22,38)</f>
        <v>41419.015717592592</v>
      </c>
      <c r="C1528">
        <v>80</v>
      </c>
      <c r="D1528">
        <v>79.958183289000004</v>
      </c>
      <c r="E1528">
        <v>50</v>
      </c>
      <c r="F1528">
        <v>48.257080078000001</v>
      </c>
      <c r="G1528">
        <v>1384.6547852000001</v>
      </c>
      <c r="H1528">
        <v>1370.2836914</v>
      </c>
      <c r="I1528">
        <v>1288.2478027</v>
      </c>
      <c r="J1528">
        <v>1269.0397949000001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1120.627434</v>
      </c>
      <c r="B1529" s="1">
        <f>DATE(2013,5,25) + TIME(15,3,30)</f>
        <v>41419.627430555556</v>
      </c>
      <c r="C1529">
        <v>80</v>
      </c>
      <c r="D1529">
        <v>79.958175659000005</v>
      </c>
      <c r="E1529">
        <v>50</v>
      </c>
      <c r="F1529">
        <v>48.221965789999999</v>
      </c>
      <c r="G1529">
        <v>1384.5986327999999</v>
      </c>
      <c r="H1529">
        <v>1370.2393798999999</v>
      </c>
      <c r="I1529">
        <v>1288.2362060999999</v>
      </c>
      <c r="J1529">
        <v>1269.0245361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1121.25791</v>
      </c>
      <c r="B1530" s="1">
        <f>DATE(2013,5,26) + TIME(6,11,23)</f>
        <v>41420.257905092592</v>
      </c>
      <c r="C1530">
        <v>80</v>
      </c>
      <c r="D1530">
        <v>79.958160399999997</v>
      </c>
      <c r="E1530">
        <v>50</v>
      </c>
      <c r="F1530">
        <v>48.186065673999998</v>
      </c>
      <c r="G1530">
        <v>1384.5418701000001</v>
      </c>
      <c r="H1530">
        <v>1370.1947021000001</v>
      </c>
      <c r="I1530">
        <v>1288.2242432</v>
      </c>
      <c r="J1530">
        <v>1269.0086670000001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1121.909412</v>
      </c>
      <c r="B1531" s="1">
        <f>DATE(2013,5,26) + TIME(21,49,33)</f>
        <v>41420.909409722219</v>
      </c>
      <c r="C1531">
        <v>80</v>
      </c>
      <c r="D1531">
        <v>79.958152771000002</v>
      </c>
      <c r="E1531">
        <v>50</v>
      </c>
      <c r="F1531">
        <v>48.149261475000003</v>
      </c>
      <c r="G1531">
        <v>1384.484375</v>
      </c>
      <c r="H1531">
        <v>1370.1494141000001</v>
      </c>
      <c r="I1531">
        <v>1288.2117920000001</v>
      </c>
      <c r="J1531">
        <v>1268.9920654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1122.570242</v>
      </c>
      <c r="B1532" s="1">
        <f>DATE(2013,5,27) + TIME(13,41,8)</f>
        <v>41421.570231481484</v>
      </c>
      <c r="C1532">
        <v>80</v>
      </c>
      <c r="D1532">
        <v>79.958137511999993</v>
      </c>
      <c r="E1532">
        <v>50</v>
      </c>
      <c r="F1532">
        <v>48.111877440999997</v>
      </c>
      <c r="G1532">
        <v>1384.4262695</v>
      </c>
      <c r="H1532">
        <v>1370.1036377</v>
      </c>
      <c r="I1532">
        <v>1288.1986084</v>
      </c>
      <c r="J1532">
        <v>1268.9748535000001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1123.2377610000001</v>
      </c>
      <c r="B1533" s="1">
        <f>DATE(2013,5,28) + TIME(5,42,22)</f>
        <v>41422.237754629627</v>
      </c>
      <c r="C1533">
        <v>80</v>
      </c>
      <c r="D1533">
        <v>79.958129882999998</v>
      </c>
      <c r="E1533">
        <v>50</v>
      </c>
      <c r="F1533">
        <v>48.074096679999997</v>
      </c>
      <c r="G1533">
        <v>1384.3684082</v>
      </c>
      <c r="H1533">
        <v>1370.0578613</v>
      </c>
      <c r="I1533">
        <v>1288.1851807</v>
      </c>
      <c r="J1533">
        <v>1268.9571533000001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1123.914119</v>
      </c>
      <c r="B1534" s="1">
        <f>DATE(2013,5,28) + TIME(21,56,19)</f>
        <v>41422.9141087963</v>
      </c>
      <c r="C1534">
        <v>80</v>
      </c>
      <c r="D1534">
        <v>79.958114624000004</v>
      </c>
      <c r="E1534">
        <v>50</v>
      </c>
      <c r="F1534">
        <v>48.035945892000001</v>
      </c>
      <c r="G1534">
        <v>1384.3107910000001</v>
      </c>
      <c r="H1534">
        <v>1370.0124512</v>
      </c>
      <c r="I1534">
        <v>1288.1713867000001</v>
      </c>
      <c r="J1534">
        <v>1268.9389647999999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1124.6014929999999</v>
      </c>
      <c r="B1535" s="1">
        <f>DATE(2013,5,29) + TIME(14,26,9)</f>
        <v>41423.601493055554</v>
      </c>
      <c r="C1535">
        <v>80</v>
      </c>
      <c r="D1535">
        <v>79.958106994999994</v>
      </c>
      <c r="E1535">
        <v>50</v>
      </c>
      <c r="F1535">
        <v>47.997386931999998</v>
      </c>
      <c r="G1535">
        <v>1384.253418</v>
      </c>
      <c r="H1535">
        <v>1369.9670410000001</v>
      </c>
      <c r="I1535">
        <v>1288.1572266000001</v>
      </c>
      <c r="J1535">
        <v>1268.9202881000001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1125.2995040000001</v>
      </c>
      <c r="B1536" s="1">
        <f>DATE(2013,5,30) + TIME(7,11,17)</f>
        <v>41424.299502314818</v>
      </c>
      <c r="C1536">
        <v>80</v>
      </c>
      <c r="D1536">
        <v>79.958099364999995</v>
      </c>
      <c r="E1536">
        <v>50</v>
      </c>
      <c r="F1536">
        <v>47.958423615000001</v>
      </c>
      <c r="G1536">
        <v>1384.1961670000001</v>
      </c>
      <c r="H1536">
        <v>1369.9217529</v>
      </c>
      <c r="I1536">
        <v>1288.1427002</v>
      </c>
      <c r="J1536">
        <v>1268.9011230000001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1126.0080840000001</v>
      </c>
      <c r="B1537" s="1">
        <f>DATE(2013,5,31) + TIME(0,11,38)</f>
        <v>41425.0080787037</v>
      </c>
      <c r="C1537">
        <v>80</v>
      </c>
      <c r="D1537">
        <v>79.958084106000001</v>
      </c>
      <c r="E1537">
        <v>50</v>
      </c>
      <c r="F1537">
        <v>47.919063567999999</v>
      </c>
      <c r="G1537">
        <v>1384.1390381000001</v>
      </c>
      <c r="H1537">
        <v>1369.8765868999999</v>
      </c>
      <c r="I1537">
        <v>1288.1279297000001</v>
      </c>
      <c r="J1537">
        <v>1268.8814697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1126.7252880000001</v>
      </c>
      <c r="B1538" s="1">
        <f>DATE(2013,5,31) + TIME(17,24,24)</f>
        <v>41425.725277777776</v>
      </c>
      <c r="C1538">
        <v>80</v>
      </c>
      <c r="D1538">
        <v>79.958076477000006</v>
      </c>
      <c r="E1538">
        <v>50</v>
      </c>
      <c r="F1538">
        <v>47.879364013999997</v>
      </c>
      <c r="G1538">
        <v>1384.0821533000001</v>
      </c>
      <c r="H1538">
        <v>1369.8314209</v>
      </c>
      <c r="I1538">
        <v>1288.1126709</v>
      </c>
      <c r="J1538">
        <v>1268.8613281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1127</v>
      </c>
      <c r="B1539" s="1">
        <f>DATE(2013,6,1) + TIME(0,0,0)</f>
        <v>41426</v>
      </c>
      <c r="C1539">
        <v>80</v>
      </c>
      <c r="D1539">
        <v>79.958030700999998</v>
      </c>
      <c r="E1539">
        <v>50</v>
      </c>
      <c r="F1539">
        <v>47.857967377000001</v>
      </c>
      <c r="G1539">
        <v>1384.0386963000001</v>
      </c>
      <c r="H1539">
        <v>1369.7982178</v>
      </c>
      <c r="I1539">
        <v>1288.0981445</v>
      </c>
      <c r="J1539">
        <v>1268.8454589999999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1127.727954</v>
      </c>
      <c r="B1540" s="1">
        <f>DATE(2013,6,1) + TIME(17,28,15)</f>
        <v>41426.727951388886</v>
      </c>
      <c r="C1540">
        <v>80</v>
      </c>
      <c r="D1540">
        <v>79.958068847999996</v>
      </c>
      <c r="E1540">
        <v>50</v>
      </c>
      <c r="F1540">
        <v>47.820812224999997</v>
      </c>
      <c r="G1540">
        <v>1384.0009766000001</v>
      </c>
      <c r="H1540">
        <v>1369.7669678</v>
      </c>
      <c r="I1540">
        <v>1288.0905762</v>
      </c>
      <c r="J1540">
        <v>1268.831543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1128.4746190000001</v>
      </c>
      <c r="B1541" s="1">
        <f>DATE(2013,6,2) + TIME(11,23,27)</f>
        <v>41427.474618055552</v>
      </c>
      <c r="C1541">
        <v>80</v>
      </c>
      <c r="D1541">
        <v>79.958061217999997</v>
      </c>
      <c r="E1541">
        <v>50</v>
      </c>
      <c r="F1541">
        <v>47.781723022000001</v>
      </c>
      <c r="G1541">
        <v>1383.9467772999999</v>
      </c>
      <c r="H1541">
        <v>1369.723999</v>
      </c>
      <c r="I1541">
        <v>1288.0749512</v>
      </c>
      <c r="J1541">
        <v>1268.8109131000001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1129.2373600000001</v>
      </c>
      <c r="B1542" s="1">
        <f>DATE(2013,6,3) + TIME(5,41,47)</f>
        <v>41428.237349537034</v>
      </c>
      <c r="C1542">
        <v>80</v>
      </c>
      <c r="D1542">
        <v>79.958053589000002</v>
      </c>
      <c r="E1542">
        <v>50</v>
      </c>
      <c r="F1542">
        <v>47.741275786999999</v>
      </c>
      <c r="G1542">
        <v>1383.8905029</v>
      </c>
      <c r="H1542">
        <v>1369.6793213000001</v>
      </c>
      <c r="I1542">
        <v>1288.0583495999999</v>
      </c>
      <c r="J1542">
        <v>1268.7890625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1130.01864</v>
      </c>
      <c r="B1543" s="1">
        <f>DATE(2013,6,4) + TIME(0,26,50)</f>
        <v>41429.018634259257</v>
      </c>
      <c r="C1543">
        <v>80</v>
      </c>
      <c r="D1543">
        <v>79.958045959000003</v>
      </c>
      <c r="E1543">
        <v>50</v>
      </c>
      <c r="F1543">
        <v>47.699726105000003</v>
      </c>
      <c r="G1543">
        <v>1383.8336182</v>
      </c>
      <c r="H1543">
        <v>1369.6341553</v>
      </c>
      <c r="I1543">
        <v>1288.0411377</v>
      </c>
      <c r="J1543">
        <v>1268.7662353999999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1130.8159639999999</v>
      </c>
      <c r="B1544" s="1">
        <f>DATE(2013,6,4) + TIME(19,34,59)</f>
        <v>41429.815960648149</v>
      </c>
      <c r="C1544">
        <v>80</v>
      </c>
      <c r="D1544">
        <v>79.958038329999994</v>
      </c>
      <c r="E1544">
        <v>50</v>
      </c>
      <c r="F1544">
        <v>47.657283782999997</v>
      </c>
      <c r="G1544">
        <v>1383.7763672000001</v>
      </c>
      <c r="H1544">
        <v>1369.5886230000001</v>
      </c>
      <c r="I1544">
        <v>1288.0233154</v>
      </c>
      <c r="J1544">
        <v>1268.7425536999999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1131.626117</v>
      </c>
      <c r="B1545" s="1">
        <f>DATE(2013,6,5) + TIME(15,1,36)</f>
        <v>41430.626111111109</v>
      </c>
      <c r="C1545">
        <v>80</v>
      </c>
      <c r="D1545">
        <v>79.958030700999998</v>
      </c>
      <c r="E1545">
        <v>50</v>
      </c>
      <c r="F1545">
        <v>47.614143372000001</v>
      </c>
      <c r="G1545">
        <v>1383.7189940999999</v>
      </c>
      <c r="H1545">
        <v>1369.5429687999999</v>
      </c>
      <c r="I1545">
        <v>1288.0048827999999</v>
      </c>
      <c r="J1545">
        <v>1268.7180175999999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1132.440701</v>
      </c>
      <c r="B1546" s="1">
        <f>DATE(2013,6,6) + TIME(10,34,36)</f>
        <v>41431.440694444442</v>
      </c>
      <c r="C1546">
        <v>80</v>
      </c>
      <c r="D1546">
        <v>79.958030700999998</v>
      </c>
      <c r="E1546">
        <v>50</v>
      </c>
      <c r="F1546">
        <v>47.570636749000002</v>
      </c>
      <c r="G1546">
        <v>1383.6616211</v>
      </c>
      <c r="H1546">
        <v>1369.4973144999999</v>
      </c>
      <c r="I1546">
        <v>1287.9860839999999</v>
      </c>
      <c r="J1546">
        <v>1268.6928711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1133.262127</v>
      </c>
      <c r="B1547" s="1">
        <f>DATE(2013,6,7) + TIME(6,17,27)</f>
        <v>41432.262118055558</v>
      </c>
      <c r="C1547">
        <v>80</v>
      </c>
      <c r="D1547">
        <v>79.958023071</v>
      </c>
      <c r="E1547">
        <v>50</v>
      </c>
      <c r="F1547">
        <v>47.526859283</v>
      </c>
      <c r="G1547">
        <v>1383.6048584</v>
      </c>
      <c r="H1547">
        <v>1369.4521483999999</v>
      </c>
      <c r="I1547">
        <v>1287.9669189000001</v>
      </c>
      <c r="J1547">
        <v>1268.6672363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1134.0927999999999</v>
      </c>
      <c r="B1548" s="1">
        <f>DATE(2013,6,8) + TIME(2,13,37)</f>
        <v>41433.092789351853</v>
      </c>
      <c r="C1548">
        <v>80</v>
      </c>
      <c r="D1548">
        <v>79.958015442000004</v>
      </c>
      <c r="E1548">
        <v>50</v>
      </c>
      <c r="F1548">
        <v>47.482799530000001</v>
      </c>
      <c r="G1548">
        <v>1383.5484618999999</v>
      </c>
      <c r="H1548">
        <v>1369.4071045000001</v>
      </c>
      <c r="I1548">
        <v>1287.9473877</v>
      </c>
      <c r="J1548">
        <v>1268.6409911999999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1134.9351730000001</v>
      </c>
      <c r="B1549" s="1">
        <f>DATE(2013,6,8) + TIME(22,26,38)</f>
        <v>41433.935162037036</v>
      </c>
      <c r="C1549">
        <v>80</v>
      </c>
      <c r="D1549">
        <v>79.958015442000004</v>
      </c>
      <c r="E1549">
        <v>50</v>
      </c>
      <c r="F1549">
        <v>47.438388824</v>
      </c>
      <c r="G1549">
        <v>1383.4923096</v>
      </c>
      <c r="H1549">
        <v>1369.3623047000001</v>
      </c>
      <c r="I1549">
        <v>1287.9273682</v>
      </c>
      <c r="J1549">
        <v>1268.6140137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1135.791802</v>
      </c>
      <c r="B1550" s="1">
        <f>DATE(2013,6,9) + TIME(19,0,11)</f>
        <v>41434.79179398148</v>
      </c>
      <c r="C1550">
        <v>80</v>
      </c>
      <c r="D1550">
        <v>79.958007812000005</v>
      </c>
      <c r="E1550">
        <v>50</v>
      </c>
      <c r="F1550">
        <v>47.393520355</v>
      </c>
      <c r="G1550">
        <v>1383.4362793</v>
      </c>
      <c r="H1550">
        <v>1369.3175048999999</v>
      </c>
      <c r="I1550">
        <v>1287.9068603999999</v>
      </c>
      <c r="J1550">
        <v>1268.5863036999999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1136.665405</v>
      </c>
      <c r="B1551" s="1">
        <f>DATE(2013,6,10) + TIME(15,58,11)</f>
        <v>41435.665405092594</v>
      </c>
      <c r="C1551">
        <v>80</v>
      </c>
      <c r="D1551">
        <v>79.958007812000005</v>
      </c>
      <c r="E1551">
        <v>50</v>
      </c>
      <c r="F1551">
        <v>47.348075866999999</v>
      </c>
      <c r="G1551">
        <v>1383.380249</v>
      </c>
      <c r="H1551">
        <v>1369.2725829999999</v>
      </c>
      <c r="I1551">
        <v>1287.8857422000001</v>
      </c>
      <c r="J1551">
        <v>1268.5576172000001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1137.558955</v>
      </c>
      <c r="B1552" s="1">
        <f>DATE(2013,6,11) + TIME(13,24,53)</f>
        <v>41436.558946759258</v>
      </c>
      <c r="C1552">
        <v>80</v>
      </c>
      <c r="D1552">
        <v>79.958000182999996</v>
      </c>
      <c r="E1552">
        <v>50</v>
      </c>
      <c r="F1552">
        <v>47.301921843999999</v>
      </c>
      <c r="G1552">
        <v>1383.3239745999999</v>
      </c>
      <c r="H1552">
        <v>1369.2275391000001</v>
      </c>
      <c r="I1552">
        <v>1287.8638916</v>
      </c>
      <c r="J1552">
        <v>1268.5279541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1138.4753760000001</v>
      </c>
      <c r="B1553" s="1">
        <f>DATE(2013,6,12) + TIME(11,24,32)</f>
        <v>41437.475370370368</v>
      </c>
      <c r="C1553">
        <v>80</v>
      </c>
      <c r="D1553">
        <v>79.958000182999996</v>
      </c>
      <c r="E1553">
        <v>50</v>
      </c>
      <c r="F1553">
        <v>47.254913330000001</v>
      </c>
      <c r="G1553">
        <v>1383.2672118999999</v>
      </c>
      <c r="H1553">
        <v>1369.1820068</v>
      </c>
      <c r="I1553">
        <v>1287.8413086</v>
      </c>
      <c r="J1553">
        <v>1268.4971923999999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1139.403456</v>
      </c>
      <c r="B1554" s="1">
        <f>DATE(2013,6,13) + TIME(9,40,58)</f>
        <v>41438.403449074074</v>
      </c>
      <c r="C1554">
        <v>80</v>
      </c>
      <c r="D1554">
        <v>79.958000182999996</v>
      </c>
      <c r="E1554">
        <v>50</v>
      </c>
      <c r="F1554">
        <v>47.207244873</v>
      </c>
      <c r="G1554">
        <v>1383.2102050999999</v>
      </c>
      <c r="H1554">
        <v>1369.1363524999999</v>
      </c>
      <c r="I1554">
        <v>1287.8178711</v>
      </c>
      <c r="J1554">
        <v>1268.4652100000001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1140.345955</v>
      </c>
      <c r="B1555" s="1">
        <f>DATE(2013,6,14) + TIME(8,18,10)</f>
        <v>41439.345949074072</v>
      </c>
      <c r="C1555">
        <v>80</v>
      </c>
      <c r="D1555">
        <v>79.958000182999996</v>
      </c>
      <c r="E1555">
        <v>50</v>
      </c>
      <c r="F1555">
        <v>47.158981322999999</v>
      </c>
      <c r="G1555">
        <v>1383.1533202999999</v>
      </c>
      <c r="H1555">
        <v>1369.0905762</v>
      </c>
      <c r="I1555">
        <v>1287.7938231999999</v>
      </c>
      <c r="J1555">
        <v>1268.432251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1141.3056819999999</v>
      </c>
      <c r="B1556" s="1">
        <f>DATE(2013,6,15) + TIME(7,20,10)</f>
        <v>41440.305671296293</v>
      </c>
      <c r="C1556">
        <v>80</v>
      </c>
      <c r="D1556">
        <v>79.958000182999996</v>
      </c>
      <c r="E1556">
        <v>50</v>
      </c>
      <c r="F1556">
        <v>47.11007309</v>
      </c>
      <c r="G1556">
        <v>1383.0963135</v>
      </c>
      <c r="H1556">
        <v>1369.0447998</v>
      </c>
      <c r="I1556">
        <v>1287.769043</v>
      </c>
      <c r="J1556">
        <v>1268.3981934000001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1142.272338</v>
      </c>
      <c r="B1557" s="1">
        <f>DATE(2013,6,16) + TIME(6,32,10)</f>
        <v>41441.272337962961</v>
      </c>
      <c r="C1557">
        <v>80</v>
      </c>
      <c r="D1557">
        <v>79.958000182999996</v>
      </c>
      <c r="E1557">
        <v>50</v>
      </c>
      <c r="F1557">
        <v>47.060726166000002</v>
      </c>
      <c r="G1557">
        <v>1383.0393065999999</v>
      </c>
      <c r="H1557">
        <v>1368.9989014</v>
      </c>
      <c r="I1557">
        <v>1287.7434082</v>
      </c>
      <c r="J1557">
        <v>1268.3630370999999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1143.245592</v>
      </c>
      <c r="B1558" s="1">
        <f>DATE(2013,6,17) + TIME(5,53,39)</f>
        <v>41442.24559027778</v>
      </c>
      <c r="C1558">
        <v>80</v>
      </c>
      <c r="D1558">
        <v>79.958000182999996</v>
      </c>
      <c r="E1558">
        <v>50</v>
      </c>
      <c r="F1558">
        <v>47.011089325</v>
      </c>
      <c r="G1558">
        <v>1382.9827881000001</v>
      </c>
      <c r="H1558">
        <v>1368.9533690999999</v>
      </c>
      <c r="I1558">
        <v>1287.7172852000001</v>
      </c>
      <c r="J1558">
        <v>1268.3269043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1144.228337</v>
      </c>
      <c r="B1559" s="1">
        <f>DATE(2013,6,18) + TIME(5,28,48)</f>
        <v>41443.228333333333</v>
      </c>
      <c r="C1559">
        <v>80</v>
      </c>
      <c r="D1559">
        <v>79.958000182999996</v>
      </c>
      <c r="E1559">
        <v>50</v>
      </c>
      <c r="F1559">
        <v>46.961154938</v>
      </c>
      <c r="G1559">
        <v>1382.9266356999999</v>
      </c>
      <c r="H1559">
        <v>1368.9080810999999</v>
      </c>
      <c r="I1559">
        <v>1287.6905518000001</v>
      </c>
      <c r="J1559">
        <v>1268.2899170000001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1145.2235000000001</v>
      </c>
      <c r="B1560" s="1">
        <f>DATE(2013,6,19) + TIME(5,21,50)</f>
        <v>41444.223495370374</v>
      </c>
      <c r="C1560">
        <v>80</v>
      </c>
      <c r="D1560">
        <v>79.958000182999996</v>
      </c>
      <c r="E1560">
        <v>50</v>
      </c>
      <c r="F1560">
        <v>46.910839080999999</v>
      </c>
      <c r="G1560">
        <v>1382.8707274999999</v>
      </c>
      <c r="H1560">
        <v>1368.8630370999999</v>
      </c>
      <c r="I1560">
        <v>1287.6630858999999</v>
      </c>
      <c r="J1560">
        <v>1268.2518310999999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1146.2341160000001</v>
      </c>
      <c r="B1561" s="1">
        <f>DATE(2013,6,20) + TIME(5,37,7)</f>
        <v>41445.2341087963</v>
      </c>
      <c r="C1561">
        <v>80</v>
      </c>
      <c r="D1561">
        <v>79.958000182999996</v>
      </c>
      <c r="E1561">
        <v>50</v>
      </c>
      <c r="F1561">
        <v>46.860023499</v>
      </c>
      <c r="G1561">
        <v>1382.8149414</v>
      </c>
      <c r="H1561">
        <v>1368.8178711</v>
      </c>
      <c r="I1561">
        <v>1287.6350098</v>
      </c>
      <c r="J1561">
        <v>1268.2126464999999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1147.2633900000001</v>
      </c>
      <c r="B1562" s="1">
        <f>DATE(2013,6,21) + TIME(6,19,16)</f>
        <v>41446.263379629629</v>
      </c>
      <c r="C1562">
        <v>80</v>
      </c>
      <c r="D1562">
        <v>79.958000182999996</v>
      </c>
      <c r="E1562">
        <v>50</v>
      </c>
      <c r="F1562">
        <v>46.808563231999997</v>
      </c>
      <c r="G1562">
        <v>1382.7591553</v>
      </c>
      <c r="H1562">
        <v>1368.7727050999999</v>
      </c>
      <c r="I1562">
        <v>1287.605957</v>
      </c>
      <c r="J1562">
        <v>1268.1719971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1148.314744</v>
      </c>
      <c r="B1563" s="1">
        <f>DATE(2013,6,22) + TIME(7,33,13)</f>
        <v>41447.314733796295</v>
      </c>
      <c r="C1563">
        <v>80</v>
      </c>
      <c r="D1563">
        <v>79.958007812000005</v>
      </c>
      <c r="E1563">
        <v>50</v>
      </c>
      <c r="F1563">
        <v>46.756298065000003</v>
      </c>
      <c r="G1563">
        <v>1382.7030029</v>
      </c>
      <c r="H1563">
        <v>1368.7272949000001</v>
      </c>
      <c r="I1563">
        <v>1287.5759277</v>
      </c>
      <c r="J1563">
        <v>1268.1298827999999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1149.386197</v>
      </c>
      <c r="B1564" s="1">
        <f>DATE(2013,6,23) + TIME(9,16,7)</f>
        <v>41448.386192129627</v>
      </c>
      <c r="C1564">
        <v>80</v>
      </c>
      <c r="D1564">
        <v>79.958007812000005</v>
      </c>
      <c r="E1564">
        <v>50</v>
      </c>
      <c r="F1564">
        <v>46.703178405999999</v>
      </c>
      <c r="G1564">
        <v>1382.6467285000001</v>
      </c>
      <c r="H1564">
        <v>1368.6815185999999</v>
      </c>
      <c r="I1564">
        <v>1287.5449219</v>
      </c>
      <c r="J1564">
        <v>1268.0860596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1150.4777019999999</v>
      </c>
      <c r="B1565" s="1">
        <f>DATE(2013,6,24) + TIME(11,27,53)</f>
        <v>41449.477696759262</v>
      </c>
      <c r="C1565">
        <v>80</v>
      </c>
      <c r="D1565">
        <v>79.958015442000004</v>
      </c>
      <c r="E1565">
        <v>50</v>
      </c>
      <c r="F1565">
        <v>46.649192810000002</v>
      </c>
      <c r="G1565">
        <v>1382.5900879000001</v>
      </c>
      <c r="H1565">
        <v>1368.6356201000001</v>
      </c>
      <c r="I1565">
        <v>1287.5126952999999</v>
      </c>
      <c r="J1565">
        <v>1268.0405272999999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1151.5927770000001</v>
      </c>
      <c r="B1566" s="1">
        <f>DATE(2013,6,25) + TIME(14,13,35)</f>
        <v>41450.592766203707</v>
      </c>
      <c r="C1566">
        <v>80</v>
      </c>
      <c r="D1566">
        <v>79.958015442000004</v>
      </c>
      <c r="E1566">
        <v>50</v>
      </c>
      <c r="F1566">
        <v>46.594257355000003</v>
      </c>
      <c r="G1566">
        <v>1382.5332031</v>
      </c>
      <c r="H1566">
        <v>1368.5893555</v>
      </c>
      <c r="I1566">
        <v>1287.4793701000001</v>
      </c>
      <c r="J1566">
        <v>1267.9932861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1152.7276449999999</v>
      </c>
      <c r="B1567" s="1">
        <f>DATE(2013,6,26) + TIME(17,27,48)</f>
        <v>41451.727638888886</v>
      </c>
      <c r="C1567">
        <v>80</v>
      </c>
      <c r="D1567">
        <v>79.958023071</v>
      </c>
      <c r="E1567">
        <v>50</v>
      </c>
      <c r="F1567">
        <v>46.538391113000003</v>
      </c>
      <c r="G1567">
        <v>1382.4760742000001</v>
      </c>
      <c r="H1567">
        <v>1368.5427245999999</v>
      </c>
      <c r="I1567">
        <v>1287.4447021000001</v>
      </c>
      <c r="J1567">
        <v>1267.9440918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1153.8667840000001</v>
      </c>
      <c r="B1568" s="1">
        <f>DATE(2013,6,27) + TIME(20,48,10)</f>
        <v>41452.866782407407</v>
      </c>
      <c r="C1568">
        <v>80</v>
      </c>
      <c r="D1568">
        <v>79.958030700999998</v>
      </c>
      <c r="E1568">
        <v>50</v>
      </c>
      <c r="F1568">
        <v>46.481952667000002</v>
      </c>
      <c r="G1568">
        <v>1382.4188231999999</v>
      </c>
      <c r="H1568">
        <v>1368.4962158000001</v>
      </c>
      <c r="I1568">
        <v>1287.4089355000001</v>
      </c>
      <c r="J1568">
        <v>1267.8931885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1155.013631</v>
      </c>
      <c r="B1569" s="1">
        <f>DATE(2013,6,29) + TIME(0,19,37)</f>
        <v>41454.013622685183</v>
      </c>
      <c r="C1569">
        <v>80</v>
      </c>
      <c r="D1569">
        <v>79.958038329999994</v>
      </c>
      <c r="E1569">
        <v>50</v>
      </c>
      <c r="F1569">
        <v>46.425132751</v>
      </c>
      <c r="G1569">
        <v>1382.3620605000001</v>
      </c>
      <c r="H1569">
        <v>1368.4499512</v>
      </c>
      <c r="I1569">
        <v>1287.3724365</v>
      </c>
      <c r="J1569">
        <v>1267.8408202999999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1156.17164</v>
      </c>
      <c r="B1570" s="1">
        <f>DATE(2013,6,30) + TIME(4,7,9)</f>
        <v>41455.171631944446</v>
      </c>
      <c r="C1570">
        <v>80</v>
      </c>
      <c r="D1570">
        <v>79.958038329999994</v>
      </c>
      <c r="E1570">
        <v>50</v>
      </c>
      <c r="F1570">
        <v>46.367912292</v>
      </c>
      <c r="G1570">
        <v>1382.3057861</v>
      </c>
      <c r="H1570">
        <v>1368.4038086</v>
      </c>
      <c r="I1570">
        <v>1287.3350829999999</v>
      </c>
      <c r="J1570">
        <v>1267.7871094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1157</v>
      </c>
      <c r="B1571" s="1">
        <f>DATE(2013,7,1) + TIME(0,0,0)</f>
        <v>41456</v>
      </c>
      <c r="C1571">
        <v>80</v>
      </c>
      <c r="D1571">
        <v>79.958030700999998</v>
      </c>
      <c r="E1571">
        <v>50</v>
      </c>
      <c r="F1571">
        <v>46.318664550999998</v>
      </c>
      <c r="G1571">
        <v>1382.2548827999999</v>
      </c>
      <c r="H1571">
        <v>1368.3626709</v>
      </c>
      <c r="I1571">
        <v>1287.2978516000001</v>
      </c>
      <c r="J1571">
        <v>1267.7351074000001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1158.172679</v>
      </c>
      <c r="B1572" s="1">
        <f>DATE(2013,7,2) + TIME(4,8,39)</f>
        <v>41457.172673611109</v>
      </c>
      <c r="C1572">
        <v>80</v>
      </c>
      <c r="D1572">
        <v>79.958053589000002</v>
      </c>
      <c r="E1572">
        <v>50</v>
      </c>
      <c r="F1572">
        <v>46.265670776</v>
      </c>
      <c r="G1572">
        <v>1382.2080077999999</v>
      </c>
      <c r="H1572">
        <v>1368.3236084</v>
      </c>
      <c r="I1572">
        <v>1287.2681885</v>
      </c>
      <c r="J1572">
        <v>1267.6895752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1159.3664389999999</v>
      </c>
      <c r="B1573" s="1">
        <f>DATE(2013,7,3) + TIME(8,47,40)</f>
        <v>41458.366435185184</v>
      </c>
      <c r="C1573">
        <v>80</v>
      </c>
      <c r="D1573">
        <v>79.958061217999997</v>
      </c>
      <c r="E1573">
        <v>50</v>
      </c>
      <c r="F1573">
        <v>46.209224700999997</v>
      </c>
      <c r="G1573">
        <v>1382.1536865</v>
      </c>
      <c r="H1573">
        <v>1368.2791748</v>
      </c>
      <c r="I1573">
        <v>1287.2287598</v>
      </c>
      <c r="J1573">
        <v>1267.6325684000001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1160.5765220000001</v>
      </c>
      <c r="B1574" s="1">
        <f>DATE(2013,7,4) + TIME(13,50,11)</f>
        <v>41459.576516203706</v>
      </c>
      <c r="C1574">
        <v>80</v>
      </c>
      <c r="D1574">
        <v>79.958068847999996</v>
      </c>
      <c r="E1574">
        <v>50</v>
      </c>
      <c r="F1574">
        <v>46.150859832999998</v>
      </c>
      <c r="G1574">
        <v>1382.0981445</v>
      </c>
      <c r="H1574">
        <v>1368.2336425999999</v>
      </c>
      <c r="I1574">
        <v>1287.1876221</v>
      </c>
      <c r="J1574">
        <v>1267.5727539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1161.8066470000001</v>
      </c>
      <c r="B1575" s="1">
        <f>DATE(2013,7,5) + TIME(19,21,34)</f>
        <v>41460.806643518517</v>
      </c>
      <c r="C1575">
        <v>80</v>
      </c>
      <c r="D1575">
        <v>79.958084106000001</v>
      </c>
      <c r="E1575">
        <v>50</v>
      </c>
      <c r="F1575">
        <v>46.091194153000004</v>
      </c>
      <c r="G1575">
        <v>1382.0424805</v>
      </c>
      <c r="H1575">
        <v>1368.1878661999999</v>
      </c>
      <c r="I1575">
        <v>1287.1450195</v>
      </c>
      <c r="J1575">
        <v>1267.5106201000001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1163.0606230000001</v>
      </c>
      <c r="B1576" s="1">
        <f>DATE(2013,7,7) + TIME(1,27,17)</f>
        <v>41462.060613425929</v>
      </c>
      <c r="C1576">
        <v>80</v>
      </c>
      <c r="D1576">
        <v>79.958091736</v>
      </c>
      <c r="E1576">
        <v>50</v>
      </c>
      <c r="F1576">
        <v>46.030372620000001</v>
      </c>
      <c r="G1576">
        <v>1381.9865723</v>
      </c>
      <c r="H1576">
        <v>1368.1418457</v>
      </c>
      <c r="I1576">
        <v>1287.1010742000001</v>
      </c>
      <c r="J1576">
        <v>1267.4461670000001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1164.342543</v>
      </c>
      <c r="B1577" s="1">
        <f>DATE(2013,7,8) + TIME(8,13,15)</f>
        <v>41463.342534722222</v>
      </c>
      <c r="C1577">
        <v>80</v>
      </c>
      <c r="D1577">
        <v>79.958099364999995</v>
      </c>
      <c r="E1577">
        <v>50</v>
      </c>
      <c r="F1577">
        <v>45.968338013</v>
      </c>
      <c r="G1577">
        <v>1381.9301757999999</v>
      </c>
      <c r="H1577">
        <v>1368.0953368999999</v>
      </c>
      <c r="I1577">
        <v>1287.0556641000001</v>
      </c>
      <c r="J1577">
        <v>1267.3790283000001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1165.657005</v>
      </c>
      <c r="B1578" s="1">
        <f>DATE(2013,7,9) + TIME(15,46,5)</f>
        <v>41464.657002314816</v>
      </c>
      <c r="C1578">
        <v>80</v>
      </c>
      <c r="D1578">
        <v>79.958114624000004</v>
      </c>
      <c r="E1578">
        <v>50</v>
      </c>
      <c r="F1578">
        <v>45.904937744000001</v>
      </c>
      <c r="G1578">
        <v>1381.8734131000001</v>
      </c>
      <c r="H1578">
        <v>1368.0484618999999</v>
      </c>
      <c r="I1578">
        <v>1287.0083007999999</v>
      </c>
      <c r="J1578">
        <v>1267.309082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1166.984252</v>
      </c>
      <c r="B1579" s="1">
        <f>DATE(2013,7,10) + TIME(23,37,19)</f>
        <v>41465.984247685185</v>
      </c>
      <c r="C1579">
        <v>80</v>
      </c>
      <c r="D1579">
        <v>79.958122252999999</v>
      </c>
      <c r="E1579">
        <v>50</v>
      </c>
      <c r="F1579">
        <v>45.840431213000002</v>
      </c>
      <c r="G1579">
        <v>1381.8161620999999</v>
      </c>
      <c r="H1579">
        <v>1368.0010986</v>
      </c>
      <c r="I1579">
        <v>1286.9592285000001</v>
      </c>
      <c r="J1579">
        <v>1267.2362060999999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1168.31422</v>
      </c>
      <c r="B1580" s="1">
        <f>DATE(2013,7,12) + TIME(7,32,28)</f>
        <v>41467.314212962963</v>
      </c>
      <c r="C1580">
        <v>80</v>
      </c>
      <c r="D1580">
        <v>79.958137511999993</v>
      </c>
      <c r="E1580">
        <v>50</v>
      </c>
      <c r="F1580">
        <v>45.775329589999998</v>
      </c>
      <c r="G1580">
        <v>1381.7591553</v>
      </c>
      <c r="H1580">
        <v>1367.9539795000001</v>
      </c>
      <c r="I1580">
        <v>1286.9088135</v>
      </c>
      <c r="J1580">
        <v>1267.1611327999999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1169.650539</v>
      </c>
      <c r="B1581" s="1">
        <f>DATE(2013,7,13) + TIME(15,36,46)</f>
        <v>41468.65053240741</v>
      </c>
      <c r="C1581">
        <v>80</v>
      </c>
      <c r="D1581">
        <v>79.958152771000002</v>
      </c>
      <c r="E1581">
        <v>50</v>
      </c>
      <c r="F1581">
        <v>45.709880828999999</v>
      </c>
      <c r="G1581">
        <v>1381.7025146000001</v>
      </c>
      <c r="H1581">
        <v>1367.9071045000001</v>
      </c>
      <c r="I1581">
        <v>1286.8574219</v>
      </c>
      <c r="J1581">
        <v>1267.0842285000001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1170.9969470000001</v>
      </c>
      <c r="B1582" s="1">
        <f>DATE(2013,7,14) + TIME(23,55,36)</f>
        <v>41469.996944444443</v>
      </c>
      <c r="C1582">
        <v>80</v>
      </c>
      <c r="D1582">
        <v>79.958160399999997</v>
      </c>
      <c r="E1582">
        <v>50</v>
      </c>
      <c r="F1582">
        <v>45.644065857000001</v>
      </c>
      <c r="G1582">
        <v>1381.6463623</v>
      </c>
      <c r="H1582">
        <v>1367.8604736</v>
      </c>
      <c r="I1582">
        <v>1286.8049315999999</v>
      </c>
      <c r="J1582">
        <v>1267.0053711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1172.3572160000001</v>
      </c>
      <c r="B1583" s="1">
        <f>DATE(2013,7,16) + TIME(8,34,23)</f>
        <v>41471.357210648152</v>
      </c>
      <c r="C1583">
        <v>80</v>
      </c>
      <c r="D1583">
        <v>79.958175659000005</v>
      </c>
      <c r="E1583">
        <v>50</v>
      </c>
      <c r="F1583">
        <v>45.577770233000003</v>
      </c>
      <c r="G1583">
        <v>1381.5904541</v>
      </c>
      <c r="H1583">
        <v>1367.8139647999999</v>
      </c>
      <c r="I1583">
        <v>1286.7513428</v>
      </c>
      <c r="J1583">
        <v>1266.9244385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1173.735236</v>
      </c>
      <c r="B1584" s="1">
        <f>DATE(2013,7,17) + TIME(17,38,44)</f>
        <v>41472.735231481478</v>
      </c>
      <c r="C1584">
        <v>80</v>
      </c>
      <c r="D1584">
        <v>79.958190918</v>
      </c>
      <c r="E1584">
        <v>50</v>
      </c>
      <c r="F1584">
        <v>45.510837555000002</v>
      </c>
      <c r="G1584">
        <v>1381.534668</v>
      </c>
      <c r="H1584">
        <v>1367.7674560999999</v>
      </c>
      <c r="I1584">
        <v>1286.6962891000001</v>
      </c>
      <c r="J1584">
        <v>1266.8413086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1175.1350890000001</v>
      </c>
      <c r="B1585" s="1">
        <f>DATE(2013,7,19) + TIME(3,14,31)</f>
        <v>41474.135081018518</v>
      </c>
      <c r="C1585">
        <v>80</v>
      </c>
      <c r="D1585">
        <v>79.958206176999994</v>
      </c>
      <c r="E1585">
        <v>50</v>
      </c>
      <c r="F1585">
        <v>45.443096161</v>
      </c>
      <c r="G1585">
        <v>1381.4788818</v>
      </c>
      <c r="H1585">
        <v>1367.7208252</v>
      </c>
      <c r="I1585">
        <v>1286.6397704999999</v>
      </c>
      <c r="J1585">
        <v>1266.7553711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1176.5611160000001</v>
      </c>
      <c r="B1586" s="1">
        <f>DATE(2013,7,20) + TIME(13,28,0)</f>
        <v>41475.561111111114</v>
      </c>
      <c r="C1586">
        <v>80</v>
      </c>
      <c r="D1586">
        <v>79.958221436000002</v>
      </c>
      <c r="E1586">
        <v>50</v>
      </c>
      <c r="F1586">
        <v>45.374362945999998</v>
      </c>
      <c r="G1586">
        <v>1381.4227295000001</v>
      </c>
      <c r="H1586">
        <v>1367.6740723</v>
      </c>
      <c r="I1586">
        <v>1286.5816649999999</v>
      </c>
      <c r="J1586">
        <v>1266.666626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1178.017975</v>
      </c>
      <c r="B1587" s="1">
        <f>DATE(2013,7,22) + TIME(0,25,53)</f>
        <v>41477.017974537041</v>
      </c>
      <c r="C1587">
        <v>80</v>
      </c>
      <c r="D1587">
        <v>79.958236693999993</v>
      </c>
      <c r="E1587">
        <v>50</v>
      </c>
      <c r="F1587">
        <v>45.304439545000001</v>
      </c>
      <c r="G1587">
        <v>1381.3663329999999</v>
      </c>
      <c r="H1587">
        <v>1367.6268310999999</v>
      </c>
      <c r="I1587">
        <v>1286.5216064000001</v>
      </c>
      <c r="J1587">
        <v>1266.574707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1179.5107760000001</v>
      </c>
      <c r="B1588" s="1">
        <f>DATE(2013,7,23) + TIME(12,15,31)</f>
        <v>41478.510775462964</v>
      </c>
      <c r="C1588">
        <v>80</v>
      </c>
      <c r="D1588">
        <v>79.958259583</v>
      </c>
      <c r="E1588">
        <v>50</v>
      </c>
      <c r="F1588">
        <v>45.233112335000001</v>
      </c>
      <c r="G1588">
        <v>1381.3094481999999</v>
      </c>
      <c r="H1588">
        <v>1367.5792236</v>
      </c>
      <c r="I1588">
        <v>1286.4593506000001</v>
      </c>
      <c r="J1588">
        <v>1266.4792480000001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1181.024997</v>
      </c>
      <c r="B1589" s="1">
        <f>DATE(2013,7,25) + TIME(0,35,59)</f>
        <v>41480.024988425925</v>
      </c>
      <c r="C1589">
        <v>80</v>
      </c>
      <c r="D1589">
        <v>79.958274841000005</v>
      </c>
      <c r="E1589">
        <v>50</v>
      </c>
      <c r="F1589">
        <v>45.160503386999999</v>
      </c>
      <c r="G1589">
        <v>1381.2519531</v>
      </c>
      <c r="H1589">
        <v>1367.5310059000001</v>
      </c>
      <c r="I1589">
        <v>1286.3948975000001</v>
      </c>
      <c r="J1589">
        <v>1266.3798827999999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1182.5423780000001</v>
      </c>
      <c r="B1590" s="1">
        <f>DATE(2013,7,26) + TIME(13,1,1)</f>
        <v>41481.542372685188</v>
      </c>
      <c r="C1590">
        <v>80</v>
      </c>
      <c r="D1590">
        <v>79.958290099999999</v>
      </c>
      <c r="E1590">
        <v>50</v>
      </c>
      <c r="F1590">
        <v>45.087188720999997</v>
      </c>
      <c r="G1590">
        <v>1381.1945800999999</v>
      </c>
      <c r="H1590">
        <v>1367.4827881000001</v>
      </c>
      <c r="I1590">
        <v>1286.3287353999999</v>
      </c>
      <c r="J1590">
        <v>1266.2775879000001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1184.0668499999999</v>
      </c>
      <c r="B1591" s="1">
        <f>DATE(2013,7,28) + TIME(1,36,15)</f>
        <v>41483.066840277781</v>
      </c>
      <c r="C1591">
        <v>80</v>
      </c>
      <c r="D1591">
        <v>79.958312988000003</v>
      </c>
      <c r="E1591">
        <v>50</v>
      </c>
      <c r="F1591">
        <v>45.013587952000002</v>
      </c>
      <c r="G1591">
        <v>1381.1375731999999</v>
      </c>
      <c r="H1591">
        <v>1367.4349365</v>
      </c>
      <c r="I1591">
        <v>1286.2615966999999</v>
      </c>
      <c r="J1591">
        <v>1266.1730957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1185.602727</v>
      </c>
      <c r="B1592" s="1">
        <f>DATE(2013,7,29) + TIME(14,27,55)</f>
        <v>41484.602719907409</v>
      </c>
      <c r="C1592">
        <v>80</v>
      </c>
      <c r="D1592">
        <v>79.958328246999997</v>
      </c>
      <c r="E1592">
        <v>50</v>
      </c>
      <c r="F1592">
        <v>44.939743042000003</v>
      </c>
      <c r="G1592">
        <v>1381.0809326000001</v>
      </c>
      <c r="H1592">
        <v>1367.3870850000001</v>
      </c>
      <c r="I1592">
        <v>1286.1932373</v>
      </c>
      <c r="J1592">
        <v>1266.0665283000001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1187.1543610000001</v>
      </c>
      <c r="B1593" s="1">
        <f>DATE(2013,7,31) + TIME(3,42,16)</f>
        <v>41486.154351851852</v>
      </c>
      <c r="C1593">
        <v>80</v>
      </c>
      <c r="D1593">
        <v>79.958351135000001</v>
      </c>
      <c r="E1593">
        <v>50</v>
      </c>
      <c r="F1593">
        <v>44.865566254000001</v>
      </c>
      <c r="G1593">
        <v>1381.0244141000001</v>
      </c>
      <c r="H1593">
        <v>1367.3394774999999</v>
      </c>
      <c r="I1593">
        <v>1286.1236572</v>
      </c>
      <c r="J1593">
        <v>1265.9575195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1188</v>
      </c>
      <c r="B1594" s="1">
        <f>DATE(2013,8,1) + TIME(0,0,0)</f>
        <v>41487</v>
      </c>
      <c r="C1594">
        <v>80</v>
      </c>
      <c r="D1594">
        <v>79.958335876000007</v>
      </c>
      <c r="E1594">
        <v>50</v>
      </c>
      <c r="F1594">
        <v>44.807945251</v>
      </c>
      <c r="G1594">
        <v>1380.9782714999999</v>
      </c>
      <c r="H1594">
        <v>1367.3013916</v>
      </c>
      <c r="I1594">
        <v>1286.0565185999999</v>
      </c>
      <c r="J1594">
        <v>1265.8564452999999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1189.5718870000001</v>
      </c>
      <c r="B1595" s="1">
        <f>DATE(2013,8,2) + TIME(13,43,31)</f>
        <v>41488.571886574071</v>
      </c>
      <c r="C1595">
        <v>80</v>
      </c>
      <c r="D1595">
        <v>79.958381653000004</v>
      </c>
      <c r="E1595">
        <v>50</v>
      </c>
      <c r="F1595">
        <v>44.744586945000002</v>
      </c>
      <c r="G1595">
        <v>1380.9345702999999</v>
      </c>
      <c r="H1595">
        <v>1367.2633057</v>
      </c>
      <c r="I1595">
        <v>1286.0112305</v>
      </c>
      <c r="J1595">
        <v>1265.7789307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1191.184915</v>
      </c>
      <c r="B1596" s="1">
        <f>DATE(2013,8,4) + TIME(4,26,16)</f>
        <v>41490.184907407405</v>
      </c>
      <c r="C1596">
        <v>80</v>
      </c>
      <c r="D1596">
        <v>79.958404540999993</v>
      </c>
      <c r="E1596">
        <v>50</v>
      </c>
      <c r="F1596">
        <v>44.673122405999997</v>
      </c>
      <c r="G1596">
        <v>1380.880249</v>
      </c>
      <c r="H1596">
        <v>1367.2172852000001</v>
      </c>
      <c r="I1596">
        <v>1285.9398193</v>
      </c>
      <c r="J1596">
        <v>1265.6671143000001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1192.829174</v>
      </c>
      <c r="B1597" s="1">
        <f>DATE(2013,8,5) + TIME(19,54,0)</f>
        <v>41491.82916666667</v>
      </c>
      <c r="C1597">
        <v>80</v>
      </c>
      <c r="D1597">
        <v>79.958427428999997</v>
      </c>
      <c r="E1597">
        <v>50</v>
      </c>
      <c r="F1597">
        <v>44.598026275999999</v>
      </c>
      <c r="G1597">
        <v>1380.8238524999999</v>
      </c>
      <c r="H1597">
        <v>1367.1694336</v>
      </c>
      <c r="I1597">
        <v>1285.8647461</v>
      </c>
      <c r="J1597">
        <v>1265.5484618999999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1194.496572</v>
      </c>
      <c r="B1598" s="1">
        <f>DATE(2013,8,7) + TIME(11,55,3)</f>
        <v>41493.496562499997</v>
      </c>
      <c r="C1598">
        <v>80</v>
      </c>
      <c r="D1598">
        <v>79.958450317</v>
      </c>
      <c r="E1598">
        <v>50</v>
      </c>
      <c r="F1598">
        <v>44.521217346</v>
      </c>
      <c r="G1598">
        <v>1380.7667236</v>
      </c>
      <c r="H1598">
        <v>1367.1209716999999</v>
      </c>
      <c r="I1598">
        <v>1285.7873535000001</v>
      </c>
      <c r="J1598">
        <v>1265.4254149999999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1196.192135</v>
      </c>
      <c r="B1599" s="1">
        <f>DATE(2013,8,9) + TIME(4,36,40)</f>
        <v>41495.192129629628</v>
      </c>
      <c r="C1599">
        <v>80</v>
      </c>
      <c r="D1599">
        <v>79.958473205999994</v>
      </c>
      <c r="E1599">
        <v>50</v>
      </c>
      <c r="F1599">
        <v>44.443477631</v>
      </c>
      <c r="G1599">
        <v>1380.7092285000001</v>
      </c>
      <c r="H1599">
        <v>1367.0721435999999</v>
      </c>
      <c r="I1599">
        <v>1285.7081298999999</v>
      </c>
      <c r="J1599">
        <v>1265.2989502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1197.9178629999999</v>
      </c>
      <c r="B1600" s="1">
        <f>DATE(2013,8,10) + TIME(22,1,43)</f>
        <v>41496.917858796296</v>
      </c>
      <c r="C1600">
        <v>80</v>
      </c>
      <c r="D1600">
        <v>79.958496093999997</v>
      </c>
      <c r="E1600">
        <v>50</v>
      </c>
      <c r="F1600">
        <v>44.365039824999997</v>
      </c>
      <c r="G1600">
        <v>1380.6513672000001</v>
      </c>
      <c r="H1600">
        <v>1367.0228271000001</v>
      </c>
      <c r="I1600">
        <v>1285.6271973</v>
      </c>
      <c r="J1600">
        <v>1265.1689452999999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1199.650748</v>
      </c>
      <c r="B1601" s="1">
        <f>DATE(2013,8,12) + TIME(15,37,4)</f>
        <v>41498.650740740741</v>
      </c>
      <c r="C1601">
        <v>80</v>
      </c>
      <c r="D1601">
        <v>79.958518982000001</v>
      </c>
      <c r="E1601">
        <v>50</v>
      </c>
      <c r="F1601">
        <v>44.286380768000001</v>
      </c>
      <c r="G1601">
        <v>1380.5933838000001</v>
      </c>
      <c r="H1601">
        <v>1366.9732666</v>
      </c>
      <c r="I1601">
        <v>1285.5443115</v>
      </c>
      <c r="J1601">
        <v>1265.0355225000001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1201.3956619999999</v>
      </c>
      <c r="B1602" s="1">
        <f>DATE(2013,8,14) + TIME(9,29,45)</f>
        <v>41500.39565972222</v>
      </c>
      <c r="C1602">
        <v>80</v>
      </c>
      <c r="D1602">
        <v>79.958549500000004</v>
      </c>
      <c r="E1602">
        <v>50</v>
      </c>
      <c r="F1602">
        <v>44.208049774000003</v>
      </c>
      <c r="G1602">
        <v>1380.5355225000001</v>
      </c>
      <c r="H1602">
        <v>1366.9238281</v>
      </c>
      <c r="I1602">
        <v>1285.4606934000001</v>
      </c>
      <c r="J1602">
        <v>1264.9001464999999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1203.1576520000001</v>
      </c>
      <c r="B1603" s="1">
        <f>DATE(2013,8,16) + TIME(3,47,1)</f>
        <v>41502.157650462963</v>
      </c>
      <c r="C1603">
        <v>80</v>
      </c>
      <c r="D1603">
        <v>79.958572387999993</v>
      </c>
      <c r="E1603">
        <v>50</v>
      </c>
      <c r="F1603">
        <v>44.130176544000001</v>
      </c>
      <c r="G1603">
        <v>1380.4779053</v>
      </c>
      <c r="H1603">
        <v>1366.8743896000001</v>
      </c>
      <c r="I1603">
        <v>1285.3760986</v>
      </c>
      <c r="J1603">
        <v>1264.7628173999999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1204.9418780000001</v>
      </c>
      <c r="B1604" s="1">
        <f>DATE(2013,8,17) + TIME(22,36,18)</f>
        <v>41503.941874999997</v>
      </c>
      <c r="C1604">
        <v>80</v>
      </c>
      <c r="D1604">
        <v>79.958602905000006</v>
      </c>
      <c r="E1604">
        <v>50</v>
      </c>
      <c r="F1604">
        <v>44.052757262999997</v>
      </c>
      <c r="G1604">
        <v>1380.4201660000001</v>
      </c>
      <c r="H1604">
        <v>1366.8249512</v>
      </c>
      <c r="I1604">
        <v>1285.2904053</v>
      </c>
      <c r="J1604">
        <v>1264.6231689000001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1206.75377</v>
      </c>
      <c r="B1605" s="1">
        <f>DATE(2013,8,19) + TIME(18,5,25)</f>
        <v>41505.753761574073</v>
      </c>
      <c r="C1605">
        <v>80</v>
      </c>
      <c r="D1605">
        <v>79.958625792999996</v>
      </c>
      <c r="E1605">
        <v>50</v>
      </c>
      <c r="F1605">
        <v>43.975753783999998</v>
      </c>
      <c r="G1605">
        <v>1380.3624268000001</v>
      </c>
      <c r="H1605">
        <v>1366.7752685999999</v>
      </c>
      <c r="I1605">
        <v>1285.2034911999999</v>
      </c>
      <c r="J1605">
        <v>1264.480957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1208.584597</v>
      </c>
      <c r="B1606" s="1">
        <f>DATE(2013,8,21) + TIME(14,1,49)</f>
        <v>41507.584594907406</v>
      </c>
      <c r="C1606">
        <v>80</v>
      </c>
      <c r="D1606">
        <v>79.958656310999999</v>
      </c>
      <c r="E1606">
        <v>50</v>
      </c>
      <c r="F1606">
        <v>43.899326324</v>
      </c>
      <c r="G1606">
        <v>1380.3043213000001</v>
      </c>
      <c r="H1606">
        <v>1366.7253418</v>
      </c>
      <c r="I1606">
        <v>1285.1153564000001</v>
      </c>
      <c r="J1606">
        <v>1264.3361815999999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1210.4388570000001</v>
      </c>
      <c r="B1607" s="1">
        <f>DATE(2013,8,23) + TIME(10,31,57)</f>
        <v>41509.438854166663</v>
      </c>
      <c r="C1607">
        <v>80</v>
      </c>
      <c r="D1607">
        <v>79.958679199000002</v>
      </c>
      <c r="E1607">
        <v>50</v>
      </c>
      <c r="F1607">
        <v>43.823749542000002</v>
      </c>
      <c r="G1607">
        <v>1380.2462158000001</v>
      </c>
      <c r="H1607">
        <v>1366.675293</v>
      </c>
      <c r="I1607">
        <v>1285.0262451000001</v>
      </c>
      <c r="J1607">
        <v>1264.1893310999999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1212.321968</v>
      </c>
      <c r="B1608" s="1">
        <f>DATE(2013,8,25) + TIME(7,43,38)</f>
        <v>41511.321967592594</v>
      </c>
      <c r="C1608">
        <v>80</v>
      </c>
      <c r="D1608">
        <v>79.958709717000005</v>
      </c>
      <c r="E1608">
        <v>50</v>
      </c>
      <c r="F1608">
        <v>43.749145507999998</v>
      </c>
      <c r="G1608">
        <v>1380.1879882999999</v>
      </c>
      <c r="H1608">
        <v>1366.625</v>
      </c>
      <c r="I1608">
        <v>1284.9362793</v>
      </c>
      <c r="J1608">
        <v>1264.0401611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1214.2396980000001</v>
      </c>
      <c r="B1609" s="1">
        <f>DATE(2013,8,27) + TIME(5,45,9)</f>
        <v>41513.239687499998</v>
      </c>
      <c r="C1609">
        <v>80</v>
      </c>
      <c r="D1609">
        <v>79.958740234000004</v>
      </c>
      <c r="E1609">
        <v>50</v>
      </c>
      <c r="F1609">
        <v>43.675613403</v>
      </c>
      <c r="G1609">
        <v>1380.1293945</v>
      </c>
      <c r="H1609">
        <v>1366.5742187999999</v>
      </c>
      <c r="I1609">
        <v>1284.8450928</v>
      </c>
      <c r="J1609">
        <v>1263.8887939000001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1216.1982579999999</v>
      </c>
      <c r="B1610" s="1">
        <f>DATE(2013,8,29) + TIME(4,45,29)</f>
        <v>41515.198252314818</v>
      </c>
      <c r="C1610">
        <v>80</v>
      </c>
      <c r="D1610">
        <v>79.958770752000007</v>
      </c>
      <c r="E1610">
        <v>50</v>
      </c>
      <c r="F1610">
        <v>43.603271483999997</v>
      </c>
      <c r="G1610">
        <v>1380.0701904</v>
      </c>
      <c r="H1610">
        <v>1366.5229492000001</v>
      </c>
      <c r="I1610">
        <v>1284.7528076000001</v>
      </c>
      <c r="J1610">
        <v>1263.7347411999999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1218.1726040000001</v>
      </c>
      <c r="B1611" s="1">
        <f>DATE(2013,8,31) + TIME(4,8,33)</f>
        <v>41517.17260416667</v>
      </c>
      <c r="C1611">
        <v>80</v>
      </c>
      <c r="D1611">
        <v>79.958801269999995</v>
      </c>
      <c r="E1611">
        <v>50</v>
      </c>
      <c r="F1611">
        <v>43.532619476000001</v>
      </c>
      <c r="G1611">
        <v>1380.0106201000001</v>
      </c>
      <c r="H1611">
        <v>1366.4713135</v>
      </c>
      <c r="I1611">
        <v>1284.6593018000001</v>
      </c>
      <c r="J1611">
        <v>1263.578125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1219</v>
      </c>
      <c r="B1612" s="1">
        <f>DATE(2013,9,1) + TIME(0,0,0)</f>
        <v>41518</v>
      </c>
      <c r="C1612">
        <v>80</v>
      </c>
      <c r="D1612">
        <v>79.958786011000001</v>
      </c>
      <c r="E1612">
        <v>50</v>
      </c>
      <c r="F1612">
        <v>43.484127045000001</v>
      </c>
      <c r="G1612">
        <v>1379.9669189000001</v>
      </c>
      <c r="H1612">
        <v>1366.4345702999999</v>
      </c>
      <c r="I1612">
        <v>1284.5738524999999</v>
      </c>
      <c r="J1612">
        <v>1263.4400635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1220.9915370000001</v>
      </c>
      <c r="B1613" s="1">
        <f>DATE(2013,9,2) + TIME(23,47,48)</f>
        <v>41519.991527777776</v>
      </c>
      <c r="C1613">
        <v>80</v>
      </c>
      <c r="D1613">
        <v>79.958847046000002</v>
      </c>
      <c r="E1613">
        <v>50</v>
      </c>
      <c r="F1613">
        <v>43.431526183999999</v>
      </c>
      <c r="G1613">
        <v>1379.9223632999999</v>
      </c>
      <c r="H1613">
        <v>1366.3942870999999</v>
      </c>
      <c r="I1613">
        <v>1284.5227050999999</v>
      </c>
      <c r="J1613">
        <v>1263.3464355000001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1223.0142499999999</v>
      </c>
      <c r="B1614" s="1">
        <f>DATE(2013,9,5) + TIME(0,20,31)</f>
        <v>41522.014247685183</v>
      </c>
      <c r="C1614">
        <v>80</v>
      </c>
      <c r="D1614">
        <v>79.958885193</v>
      </c>
      <c r="E1614">
        <v>50</v>
      </c>
      <c r="F1614">
        <v>43.371891022</v>
      </c>
      <c r="G1614">
        <v>1379.8654785000001</v>
      </c>
      <c r="H1614">
        <v>1366.3448486</v>
      </c>
      <c r="I1614">
        <v>1284.4323730000001</v>
      </c>
      <c r="J1614">
        <v>1263.1950684000001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1225.05225</v>
      </c>
      <c r="B1615" s="1">
        <f>DATE(2013,9,7) + TIME(1,15,14)</f>
        <v>41524.052245370367</v>
      </c>
      <c r="C1615">
        <v>80</v>
      </c>
      <c r="D1615">
        <v>79.958915709999999</v>
      </c>
      <c r="E1615">
        <v>50</v>
      </c>
      <c r="F1615">
        <v>43.312740325999997</v>
      </c>
      <c r="G1615">
        <v>1379.8065185999999</v>
      </c>
      <c r="H1615">
        <v>1366.293457</v>
      </c>
      <c r="I1615">
        <v>1284.3398437999999</v>
      </c>
      <c r="J1615">
        <v>1263.0385742000001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1227.1111639999999</v>
      </c>
      <c r="B1616" s="1">
        <f>DATE(2013,9,9) + TIME(2,40,4)</f>
        <v>41526.111157407409</v>
      </c>
      <c r="C1616">
        <v>80</v>
      </c>
      <c r="D1616">
        <v>79.958946228000002</v>
      </c>
      <c r="E1616">
        <v>50</v>
      </c>
      <c r="F1616">
        <v>43.256801605</v>
      </c>
      <c r="G1616">
        <v>1379.7471923999999</v>
      </c>
      <c r="H1616">
        <v>1366.2415771000001</v>
      </c>
      <c r="I1616">
        <v>1284.2473144999999</v>
      </c>
      <c r="J1616">
        <v>1262.8813477000001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1229.196917</v>
      </c>
      <c r="B1617" s="1">
        <f>DATE(2013,9,11) + TIME(4,43,33)</f>
        <v>41528.196909722225</v>
      </c>
      <c r="C1617">
        <v>80</v>
      </c>
      <c r="D1617">
        <v>79.958976746000005</v>
      </c>
      <c r="E1617">
        <v>50</v>
      </c>
      <c r="F1617">
        <v>43.205135345000002</v>
      </c>
      <c r="G1617">
        <v>1379.6875</v>
      </c>
      <c r="H1617">
        <v>1366.1893310999999</v>
      </c>
      <c r="I1617">
        <v>1284.1553954999999</v>
      </c>
      <c r="J1617">
        <v>1262.7242432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1231.3157080000001</v>
      </c>
      <c r="B1618" s="1">
        <f>DATE(2013,9,13) + TIME(7,34,37)</f>
        <v>41530.315706018519</v>
      </c>
      <c r="C1618">
        <v>80</v>
      </c>
      <c r="D1618">
        <v>79.959014893000003</v>
      </c>
      <c r="E1618">
        <v>50</v>
      </c>
      <c r="F1618">
        <v>43.158390044999997</v>
      </c>
      <c r="G1618">
        <v>1379.6275635</v>
      </c>
      <c r="H1618">
        <v>1366.1367187999999</v>
      </c>
      <c r="I1618">
        <v>1284.0638428</v>
      </c>
      <c r="J1618">
        <v>1262.5675048999999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1233.474291</v>
      </c>
      <c r="B1619" s="1">
        <f>DATE(2013,9,15) + TIME(11,22,58)</f>
        <v>41532.474282407406</v>
      </c>
      <c r="C1619">
        <v>80</v>
      </c>
      <c r="D1619">
        <v>79.959053040000001</v>
      </c>
      <c r="E1619">
        <v>50</v>
      </c>
      <c r="F1619">
        <v>43.117195129000002</v>
      </c>
      <c r="G1619">
        <v>1379.5670166</v>
      </c>
      <c r="H1619">
        <v>1366.0836182</v>
      </c>
      <c r="I1619">
        <v>1283.9729004000001</v>
      </c>
      <c r="J1619">
        <v>1262.411499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1235.637661</v>
      </c>
      <c r="B1620" s="1">
        <f>DATE(2013,9,17) + TIME(15,18,13)</f>
        <v>41534.637650462966</v>
      </c>
      <c r="C1620">
        <v>80</v>
      </c>
      <c r="D1620">
        <v>79.959083557</v>
      </c>
      <c r="E1620">
        <v>50</v>
      </c>
      <c r="F1620">
        <v>43.082443237</v>
      </c>
      <c r="G1620">
        <v>1379.5063477000001</v>
      </c>
      <c r="H1620">
        <v>1366.0301514</v>
      </c>
      <c r="I1620">
        <v>1283.8826904</v>
      </c>
      <c r="J1620">
        <v>1262.2563477000001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1237.811854</v>
      </c>
      <c r="B1621" s="1">
        <f>DATE(2013,9,19) + TIME(19,29,4)</f>
        <v>41536.811851851853</v>
      </c>
      <c r="C1621">
        <v>80</v>
      </c>
      <c r="D1621">
        <v>79.959121703999998</v>
      </c>
      <c r="E1621">
        <v>50</v>
      </c>
      <c r="F1621">
        <v>43.055103301999999</v>
      </c>
      <c r="G1621">
        <v>1379.4458007999999</v>
      </c>
      <c r="H1621">
        <v>1365.9768065999999</v>
      </c>
      <c r="I1621">
        <v>1283.7945557</v>
      </c>
      <c r="J1621">
        <v>1262.1044922000001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1240.0075549999999</v>
      </c>
      <c r="B1622" s="1">
        <f>DATE(2013,9,22) + TIME(0,10,52)</f>
        <v>41539.0075462963</v>
      </c>
      <c r="C1622">
        <v>80</v>
      </c>
      <c r="D1622">
        <v>79.959159850999995</v>
      </c>
      <c r="E1622">
        <v>50</v>
      </c>
      <c r="F1622">
        <v>43.03585434</v>
      </c>
      <c r="G1622">
        <v>1379.3852539</v>
      </c>
      <c r="H1622">
        <v>1365.9233397999999</v>
      </c>
      <c r="I1622">
        <v>1283.7084961</v>
      </c>
      <c r="J1622">
        <v>1261.9562988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1242.2435250000001</v>
      </c>
      <c r="B1623" s="1">
        <f>DATE(2013,9,24) + TIME(5,50,40)</f>
        <v>41541.243518518517</v>
      </c>
      <c r="C1623">
        <v>80</v>
      </c>
      <c r="D1623">
        <v>79.959197997999993</v>
      </c>
      <c r="E1623">
        <v>50</v>
      </c>
      <c r="F1623">
        <v>43.025367737000003</v>
      </c>
      <c r="G1623">
        <v>1379.3245850000001</v>
      </c>
      <c r="H1623">
        <v>1365.8696289</v>
      </c>
      <c r="I1623">
        <v>1283.6245117000001</v>
      </c>
      <c r="J1623">
        <v>1261.8115233999999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1244.5269510000001</v>
      </c>
      <c r="B1624" s="1">
        <f>DATE(2013,9,26) + TIME(12,38,48)</f>
        <v>41543.526944444442</v>
      </c>
      <c r="C1624">
        <v>80</v>
      </c>
      <c r="D1624">
        <v>79.959236145000006</v>
      </c>
      <c r="E1624">
        <v>50</v>
      </c>
      <c r="F1624">
        <v>43.024505615000002</v>
      </c>
      <c r="G1624">
        <v>1379.2633057</v>
      </c>
      <c r="H1624">
        <v>1365.8154297000001</v>
      </c>
      <c r="I1624">
        <v>1283.5419922000001</v>
      </c>
      <c r="J1624">
        <v>1261.6696777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1246.8416219999999</v>
      </c>
      <c r="B1625" s="1">
        <f>DATE(2013,9,28) + TIME(20,11,56)</f>
        <v>41545.841620370367</v>
      </c>
      <c r="C1625">
        <v>80</v>
      </c>
      <c r="D1625">
        <v>79.959274292000003</v>
      </c>
      <c r="E1625">
        <v>50</v>
      </c>
      <c r="F1625">
        <v>43.034339905000003</v>
      </c>
      <c r="G1625">
        <v>1379.2015381000001</v>
      </c>
      <c r="H1625">
        <v>1365.7604980000001</v>
      </c>
      <c r="I1625">
        <v>1283.4614257999999</v>
      </c>
      <c r="J1625">
        <v>1261.53125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1249</v>
      </c>
      <c r="B1626" s="1">
        <f>DATE(2013,10,1) + TIME(0,0,0)</f>
        <v>41548</v>
      </c>
      <c r="C1626">
        <v>80</v>
      </c>
      <c r="D1626">
        <v>79.959304810000006</v>
      </c>
      <c r="E1626">
        <v>50</v>
      </c>
      <c r="F1626">
        <v>43.055435181</v>
      </c>
      <c r="G1626">
        <v>1379.1408690999999</v>
      </c>
      <c r="H1626">
        <v>1365.7067870999999</v>
      </c>
      <c r="I1626">
        <v>1283.3841553</v>
      </c>
      <c r="J1626">
        <v>1261.3990478999999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1251.339776</v>
      </c>
      <c r="B1627" s="1">
        <f>DATE(2013,10,3) + TIME(8,9,16)</f>
        <v>41550.339768518519</v>
      </c>
      <c r="C1627">
        <v>80</v>
      </c>
      <c r="D1627">
        <v>79.959350585999999</v>
      </c>
      <c r="E1627">
        <v>50</v>
      </c>
      <c r="F1627">
        <v>43.087528229</v>
      </c>
      <c r="G1627">
        <v>1379.0811768000001</v>
      </c>
      <c r="H1627">
        <v>1365.6534423999999</v>
      </c>
      <c r="I1627">
        <v>1283.3131103999999</v>
      </c>
      <c r="J1627">
        <v>1261.2788086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1253.729771</v>
      </c>
      <c r="B1628" s="1">
        <f>DATE(2013,10,5) + TIME(17,30,52)</f>
        <v>41552.729768518519</v>
      </c>
      <c r="C1628">
        <v>80</v>
      </c>
      <c r="D1628">
        <v>79.959388732999997</v>
      </c>
      <c r="E1628">
        <v>50</v>
      </c>
      <c r="F1628">
        <v>43.133380889999998</v>
      </c>
      <c r="G1628">
        <v>1379.0195312000001</v>
      </c>
      <c r="H1628">
        <v>1365.5985106999999</v>
      </c>
      <c r="I1628">
        <v>1283.2416992000001</v>
      </c>
      <c r="J1628">
        <v>1261.1586914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1256.143491</v>
      </c>
      <c r="B1629" s="1">
        <f>DATE(2013,10,8) + TIME(3,26,37)</f>
        <v>41555.143483796295</v>
      </c>
      <c r="C1629">
        <v>80</v>
      </c>
      <c r="D1629">
        <v>79.959434509000005</v>
      </c>
      <c r="E1629">
        <v>50</v>
      </c>
      <c r="F1629">
        <v>43.193675995</v>
      </c>
      <c r="G1629">
        <v>1378.9571533000001</v>
      </c>
      <c r="H1629">
        <v>1365.5428466999999</v>
      </c>
      <c r="I1629">
        <v>1283.1728516000001</v>
      </c>
      <c r="J1629">
        <v>1261.0440673999999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1258.578595</v>
      </c>
      <c r="B1630" s="1">
        <f>DATE(2013,10,10) + TIME(13,53,10)</f>
        <v>41557.578587962962</v>
      </c>
      <c r="C1630">
        <v>80</v>
      </c>
      <c r="D1630">
        <v>79.959472656000003</v>
      </c>
      <c r="E1630">
        <v>50</v>
      </c>
      <c r="F1630">
        <v>43.268653870000001</v>
      </c>
      <c r="G1630">
        <v>1378.8945312000001</v>
      </c>
      <c r="H1630">
        <v>1365.4868164</v>
      </c>
      <c r="I1630">
        <v>1283.1075439000001</v>
      </c>
      <c r="J1630">
        <v>1260.9367675999999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1261.027628</v>
      </c>
      <c r="B1631" s="1">
        <f>DATE(2013,10,13) + TIME(0,39,47)</f>
        <v>41560.027627314812</v>
      </c>
      <c r="C1631">
        <v>80</v>
      </c>
      <c r="D1631">
        <v>79.959518433</v>
      </c>
      <c r="E1631">
        <v>50</v>
      </c>
      <c r="F1631">
        <v>43.358581543</v>
      </c>
      <c r="G1631">
        <v>1378.8319091999999</v>
      </c>
      <c r="H1631">
        <v>1365.4307861</v>
      </c>
      <c r="I1631">
        <v>1283.0460204999999</v>
      </c>
      <c r="J1631">
        <v>1260.8377685999999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1263.4979069999999</v>
      </c>
      <c r="B1632" s="1">
        <f>DATE(2013,10,15) + TIME(11,56,59)</f>
        <v>41562.49790509259</v>
      </c>
      <c r="C1632">
        <v>80</v>
      </c>
      <c r="D1632">
        <v>79.959556579999997</v>
      </c>
      <c r="E1632">
        <v>50</v>
      </c>
      <c r="F1632">
        <v>43.463531494000001</v>
      </c>
      <c r="G1632">
        <v>1378.7694091999999</v>
      </c>
      <c r="H1632">
        <v>1365.3747559000001</v>
      </c>
      <c r="I1632">
        <v>1282.9885254000001</v>
      </c>
      <c r="J1632">
        <v>1260.7474365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1265.9963049999999</v>
      </c>
      <c r="B1633" s="1">
        <f>DATE(2013,10,17) + TIME(23,54,40)</f>
        <v>41564.996296296296</v>
      </c>
      <c r="C1633">
        <v>80</v>
      </c>
      <c r="D1633">
        <v>79.959602356000005</v>
      </c>
      <c r="E1633">
        <v>50</v>
      </c>
      <c r="F1633">
        <v>43.583763122999997</v>
      </c>
      <c r="G1633">
        <v>1378.7069091999999</v>
      </c>
      <c r="H1633">
        <v>1365.3186035000001</v>
      </c>
      <c r="I1633">
        <v>1282.9349365</v>
      </c>
      <c r="J1633">
        <v>1260.6658935999999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1268.530544</v>
      </c>
      <c r="B1634" s="1">
        <f>DATE(2013,10,20) + TIME(12,43,59)</f>
        <v>41567.530543981484</v>
      </c>
      <c r="C1634">
        <v>80</v>
      </c>
      <c r="D1634">
        <v>79.959648131999998</v>
      </c>
      <c r="E1634">
        <v>50</v>
      </c>
      <c r="F1634">
        <v>43.719566344999997</v>
      </c>
      <c r="G1634">
        <v>1378.6442870999999</v>
      </c>
      <c r="H1634">
        <v>1365.2623291</v>
      </c>
      <c r="I1634">
        <v>1282.885376</v>
      </c>
      <c r="J1634">
        <v>1260.5932617000001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1271.108604</v>
      </c>
      <c r="B1635" s="1">
        <f>DATE(2013,10,23) + TIME(2,36,23)</f>
        <v>41570.108599537038</v>
      </c>
      <c r="C1635">
        <v>80</v>
      </c>
      <c r="D1635">
        <v>79.959686278999996</v>
      </c>
      <c r="E1635">
        <v>50</v>
      </c>
      <c r="F1635">
        <v>43.871028899999999</v>
      </c>
      <c r="G1635">
        <v>1378.581543</v>
      </c>
      <c r="H1635">
        <v>1365.2056885</v>
      </c>
      <c r="I1635">
        <v>1282.8395995999999</v>
      </c>
      <c r="J1635">
        <v>1260.5292969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1273.720969</v>
      </c>
      <c r="B1636" s="1">
        <f>DATE(2013,10,25) + TIME(17,18,11)</f>
        <v>41572.720960648148</v>
      </c>
      <c r="C1636">
        <v>80</v>
      </c>
      <c r="D1636">
        <v>79.959732056000007</v>
      </c>
      <c r="E1636">
        <v>50</v>
      </c>
      <c r="F1636">
        <v>44.038082123000002</v>
      </c>
      <c r="G1636">
        <v>1378.5184326000001</v>
      </c>
      <c r="H1636">
        <v>1365.1488036999999</v>
      </c>
      <c r="I1636">
        <v>1282.7977295000001</v>
      </c>
      <c r="J1636">
        <v>1260.4743652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1276.344214</v>
      </c>
      <c r="B1637" s="1">
        <f>DATE(2013,10,28) + TIME(8,15,40)</f>
        <v>41575.344212962962</v>
      </c>
      <c r="C1637">
        <v>80</v>
      </c>
      <c r="D1637">
        <v>79.959777832</v>
      </c>
      <c r="E1637">
        <v>50</v>
      </c>
      <c r="F1637">
        <v>44.219436645999998</v>
      </c>
      <c r="G1637">
        <v>1378.4553223</v>
      </c>
      <c r="H1637">
        <v>1365.0919189000001</v>
      </c>
      <c r="I1637">
        <v>1282.7600098</v>
      </c>
      <c r="J1637">
        <v>1260.4285889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1278.9880820000001</v>
      </c>
      <c r="B1638" s="1">
        <f>DATE(2013,10,30) + TIME(23,42,50)</f>
        <v>41577.988078703704</v>
      </c>
      <c r="C1638">
        <v>80</v>
      </c>
      <c r="D1638">
        <v>79.959823607999994</v>
      </c>
      <c r="E1638">
        <v>50</v>
      </c>
      <c r="F1638">
        <v>44.413085938000002</v>
      </c>
      <c r="G1638">
        <v>1378.3925781</v>
      </c>
      <c r="H1638">
        <v>1365.0352783000001</v>
      </c>
      <c r="I1638">
        <v>1282.7265625</v>
      </c>
      <c r="J1638">
        <v>1260.3922118999999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1280</v>
      </c>
      <c r="B1639" s="1">
        <f>DATE(2013,11,1) + TIME(0,0,0)</f>
        <v>41579</v>
      </c>
      <c r="C1639">
        <v>80</v>
      </c>
      <c r="D1639">
        <v>79.959815978999998</v>
      </c>
      <c r="E1639">
        <v>50</v>
      </c>
      <c r="F1639">
        <v>44.564178466999998</v>
      </c>
      <c r="G1639">
        <v>1378.3497314000001</v>
      </c>
      <c r="H1639">
        <v>1364.9978027</v>
      </c>
      <c r="I1639">
        <v>1282.7120361</v>
      </c>
      <c r="J1639">
        <v>1260.3686522999999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1280.0000010000001</v>
      </c>
      <c r="B1640" s="1">
        <f>DATE(2013,11,1) + TIME(0,0,0)</f>
        <v>41579</v>
      </c>
      <c r="C1640">
        <v>80</v>
      </c>
      <c r="D1640">
        <v>79.959785460999996</v>
      </c>
      <c r="E1640">
        <v>50</v>
      </c>
      <c r="F1640">
        <v>44.564197540000002</v>
      </c>
      <c r="G1640">
        <v>1364.987793</v>
      </c>
      <c r="H1640">
        <v>1353.0261230000001</v>
      </c>
      <c r="I1640">
        <v>1305.0510254000001</v>
      </c>
      <c r="J1640">
        <v>1282.7224120999999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1280.000004</v>
      </c>
      <c r="B1641" s="1">
        <f>DATE(2013,11,1) + TIME(0,0,0)</f>
        <v>41579</v>
      </c>
      <c r="C1641">
        <v>80</v>
      </c>
      <c r="D1641">
        <v>79.959686278999996</v>
      </c>
      <c r="E1641">
        <v>50</v>
      </c>
      <c r="F1641">
        <v>44.564262390000003</v>
      </c>
      <c r="G1641">
        <v>1364.9577637</v>
      </c>
      <c r="H1641">
        <v>1352.9962158000001</v>
      </c>
      <c r="I1641">
        <v>1305.0805664</v>
      </c>
      <c r="J1641">
        <v>1282.7536620999999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1280.0000130000001</v>
      </c>
      <c r="B1642" s="1">
        <f>DATE(2013,11,1) + TIME(0,0,1)</f>
        <v>41579.000011574077</v>
      </c>
      <c r="C1642">
        <v>80</v>
      </c>
      <c r="D1642">
        <v>79.959403992000006</v>
      </c>
      <c r="E1642">
        <v>50</v>
      </c>
      <c r="F1642">
        <v>44.564456939999999</v>
      </c>
      <c r="G1642">
        <v>1364.8685303</v>
      </c>
      <c r="H1642">
        <v>1352.9067382999999</v>
      </c>
      <c r="I1642">
        <v>1305.1690673999999</v>
      </c>
      <c r="J1642">
        <v>1282.847168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1280.0000399999999</v>
      </c>
      <c r="B1643" s="1">
        <f>DATE(2013,11,1) + TIME(0,0,3)</f>
        <v>41579.000034722223</v>
      </c>
      <c r="C1643">
        <v>80</v>
      </c>
      <c r="D1643">
        <v>79.958557128999999</v>
      </c>
      <c r="E1643">
        <v>50</v>
      </c>
      <c r="F1643">
        <v>44.565032959</v>
      </c>
      <c r="G1643">
        <v>1364.6057129000001</v>
      </c>
      <c r="H1643">
        <v>1352.6436768000001</v>
      </c>
      <c r="I1643">
        <v>1305.4317627</v>
      </c>
      <c r="J1643">
        <v>1283.1242675999999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1280.000121</v>
      </c>
      <c r="B1644" s="1">
        <f>DATE(2013,11,1) + TIME(0,0,10)</f>
        <v>41579.000115740739</v>
      </c>
      <c r="C1644">
        <v>80</v>
      </c>
      <c r="D1644">
        <v>79.956169127999999</v>
      </c>
      <c r="E1644">
        <v>50</v>
      </c>
      <c r="F1644">
        <v>44.56672287</v>
      </c>
      <c r="G1644">
        <v>1363.8602295000001</v>
      </c>
      <c r="H1644">
        <v>1351.8974608999999</v>
      </c>
      <c r="I1644">
        <v>1306.1949463000001</v>
      </c>
      <c r="J1644">
        <v>1283.9279785000001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1280.000364</v>
      </c>
      <c r="B1645" s="1">
        <f>DATE(2013,11,1) + TIME(0,0,31)</f>
        <v>41579.000358796293</v>
      </c>
      <c r="C1645">
        <v>80</v>
      </c>
      <c r="D1645">
        <v>79.950004578000005</v>
      </c>
      <c r="E1645">
        <v>50</v>
      </c>
      <c r="F1645">
        <v>44.571495056000003</v>
      </c>
      <c r="G1645">
        <v>1361.9379882999999</v>
      </c>
      <c r="H1645">
        <v>1349.9735106999999</v>
      </c>
      <c r="I1645">
        <v>1308.2866211</v>
      </c>
      <c r="J1645">
        <v>1286.1193848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1280.0010930000001</v>
      </c>
      <c r="B1646" s="1">
        <f>DATE(2013,11,1) + TIME(0,1,34)</f>
        <v>41579.001087962963</v>
      </c>
      <c r="C1646">
        <v>80</v>
      </c>
      <c r="D1646">
        <v>79.937042235999996</v>
      </c>
      <c r="E1646">
        <v>50</v>
      </c>
      <c r="F1646">
        <v>44.583919524999999</v>
      </c>
      <c r="G1646">
        <v>1357.9045410000001</v>
      </c>
      <c r="H1646">
        <v>1345.9370117000001</v>
      </c>
      <c r="I1646">
        <v>1313.2657471</v>
      </c>
      <c r="J1646">
        <v>1291.2763672000001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1280.0032799999999</v>
      </c>
      <c r="B1647" s="1">
        <f>DATE(2013,11,1) + TIME(0,4,43)</f>
        <v>41579.003275462965</v>
      </c>
      <c r="C1647">
        <v>80</v>
      </c>
      <c r="D1647">
        <v>79.917030334000003</v>
      </c>
      <c r="E1647">
        <v>50</v>
      </c>
      <c r="F1647">
        <v>44.611721039000003</v>
      </c>
      <c r="G1647">
        <v>1351.7209473</v>
      </c>
      <c r="H1647">
        <v>1339.7510986</v>
      </c>
      <c r="I1647">
        <v>1322.3481445</v>
      </c>
      <c r="J1647">
        <v>1300.5041504000001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1280.0098410000001</v>
      </c>
      <c r="B1648" s="1">
        <f>DATE(2013,11,1) + TIME(0,14,10)</f>
        <v>41579.009837962964</v>
      </c>
      <c r="C1648">
        <v>80</v>
      </c>
      <c r="D1648">
        <v>79.893463135000005</v>
      </c>
      <c r="E1648">
        <v>50</v>
      </c>
      <c r="F1648">
        <v>44.673389434999997</v>
      </c>
      <c r="G1648">
        <v>1344.6024170000001</v>
      </c>
      <c r="H1648">
        <v>1332.6326904</v>
      </c>
      <c r="I1648">
        <v>1334.3503418</v>
      </c>
      <c r="J1648">
        <v>1312.5430908000001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1280.029524</v>
      </c>
      <c r="B1649" s="1">
        <f>DATE(2013,11,1) + TIME(0,42,30)</f>
        <v>41579.029513888891</v>
      </c>
      <c r="C1649">
        <v>80</v>
      </c>
      <c r="D1649">
        <v>79.867980957</v>
      </c>
      <c r="E1649">
        <v>50</v>
      </c>
      <c r="F1649">
        <v>44.822860718000001</v>
      </c>
      <c r="G1649">
        <v>1337.3634033000001</v>
      </c>
      <c r="H1649">
        <v>1325.3948975000001</v>
      </c>
      <c r="I1649">
        <v>1347.145874</v>
      </c>
      <c r="J1649">
        <v>1325.3858643000001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1280.08374</v>
      </c>
      <c r="B1650" s="1">
        <f>DATE(2013,11,1) + TIME(2,0,35)</f>
        <v>41579.083738425928</v>
      </c>
      <c r="C1650">
        <v>80</v>
      </c>
      <c r="D1650">
        <v>79.839614867999998</v>
      </c>
      <c r="E1650">
        <v>50</v>
      </c>
      <c r="F1650">
        <v>45.177513122999997</v>
      </c>
      <c r="G1650">
        <v>1330.3983154</v>
      </c>
      <c r="H1650">
        <v>1318.4106445</v>
      </c>
      <c r="I1650">
        <v>1359.4211425999999</v>
      </c>
      <c r="J1650">
        <v>1337.7960204999999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1280.1421680000001</v>
      </c>
      <c r="B1651" s="1">
        <f>DATE(2013,11,1) + TIME(3,24,43)</f>
        <v>41579.142164351855</v>
      </c>
      <c r="C1651">
        <v>80</v>
      </c>
      <c r="D1651">
        <v>79.819755553999997</v>
      </c>
      <c r="E1651">
        <v>50</v>
      </c>
      <c r="F1651">
        <v>45.524166106999999</v>
      </c>
      <c r="G1651">
        <v>1326.4244385</v>
      </c>
      <c r="H1651">
        <v>1314.3981934000001</v>
      </c>
      <c r="I1651">
        <v>1366.2987060999999</v>
      </c>
      <c r="J1651">
        <v>1344.7849120999999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1280.204322</v>
      </c>
      <c r="B1652" s="1">
        <f>DATE(2013,11,1) + TIME(4,54,13)</f>
        <v>41579.204317129632</v>
      </c>
      <c r="C1652">
        <v>80</v>
      </c>
      <c r="D1652">
        <v>79.803062439000001</v>
      </c>
      <c r="E1652">
        <v>50</v>
      </c>
      <c r="F1652">
        <v>45.861968994000001</v>
      </c>
      <c r="G1652">
        <v>1323.6551514</v>
      </c>
      <c r="H1652">
        <v>1311.5814209</v>
      </c>
      <c r="I1652">
        <v>1370.9542236</v>
      </c>
      <c r="J1652">
        <v>1349.5417480000001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1280.2703200000001</v>
      </c>
      <c r="B1653" s="1">
        <f>DATE(2013,11,1) + TIME(6,29,15)</f>
        <v>41579.270312499997</v>
      </c>
      <c r="C1653">
        <v>80</v>
      </c>
      <c r="D1653">
        <v>79.787757873999993</v>
      </c>
      <c r="E1653">
        <v>50</v>
      </c>
      <c r="F1653">
        <v>46.190662383999999</v>
      </c>
      <c r="G1653">
        <v>1321.5008545000001</v>
      </c>
      <c r="H1653">
        <v>1309.3782959</v>
      </c>
      <c r="I1653">
        <v>1374.453125</v>
      </c>
      <c r="J1653">
        <v>1353.1351318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1280.3405130000001</v>
      </c>
      <c r="B1654" s="1">
        <f>DATE(2013,11,1) + TIME(8,10,20)</f>
        <v>41579.340509259258</v>
      </c>
      <c r="C1654">
        <v>80</v>
      </c>
      <c r="D1654">
        <v>79.773056030000006</v>
      </c>
      <c r="E1654">
        <v>50</v>
      </c>
      <c r="F1654">
        <v>46.510101317999997</v>
      </c>
      <c r="G1654">
        <v>1319.7152100000001</v>
      </c>
      <c r="H1654">
        <v>1307.5469971</v>
      </c>
      <c r="I1654">
        <v>1377.2502440999999</v>
      </c>
      <c r="J1654">
        <v>1356.0220947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1280.415395</v>
      </c>
      <c r="B1655" s="1">
        <f>DATE(2013,11,1) + TIME(9,58,10)</f>
        <v>41579.415393518517</v>
      </c>
      <c r="C1655">
        <v>80</v>
      </c>
      <c r="D1655">
        <v>79.758552550999994</v>
      </c>
      <c r="E1655">
        <v>50</v>
      </c>
      <c r="F1655">
        <v>46.820064545000001</v>
      </c>
      <c r="G1655">
        <v>1318.1763916</v>
      </c>
      <c r="H1655">
        <v>1305.9675293</v>
      </c>
      <c r="I1655">
        <v>1379.5760498</v>
      </c>
      <c r="J1655">
        <v>1358.434082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1280.4955910000001</v>
      </c>
      <c r="B1656" s="1">
        <f>DATE(2013,11,1) + TIME(11,53,39)</f>
        <v>41579.49559027778</v>
      </c>
      <c r="C1656">
        <v>80</v>
      </c>
      <c r="D1656">
        <v>79.743965149000005</v>
      </c>
      <c r="E1656">
        <v>50</v>
      </c>
      <c r="F1656">
        <v>47.120273589999996</v>
      </c>
      <c r="G1656">
        <v>1316.8153076000001</v>
      </c>
      <c r="H1656">
        <v>1304.5711670000001</v>
      </c>
      <c r="I1656">
        <v>1381.5635986</v>
      </c>
      <c r="J1656">
        <v>1360.5045166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1280.5818839999999</v>
      </c>
      <c r="B1657" s="1">
        <f>DATE(2013,11,1) + TIME(13,57,54)</f>
        <v>41579.581875000003</v>
      </c>
      <c r="C1657">
        <v>80</v>
      </c>
      <c r="D1657">
        <v>79.729095459000007</v>
      </c>
      <c r="E1657">
        <v>50</v>
      </c>
      <c r="F1657">
        <v>47.410392760999997</v>
      </c>
      <c r="G1657">
        <v>1315.5882568</v>
      </c>
      <c r="H1657">
        <v>1303.3142089999999</v>
      </c>
      <c r="I1657">
        <v>1383.2963867000001</v>
      </c>
      <c r="J1657">
        <v>1362.3176269999999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1280.675252</v>
      </c>
      <c r="B1658" s="1">
        <f>DATE(2013,11,1) + TIME(16,12,21)</f>
        <v>41579.675243055557</v>
      </c>
      <c r="C1658">
        <v>80</v>
      </c>
      <c r="D1658">
        <v>79.713760375999996</v>
      </c>
      <c r="E1658">
        <v>50</v>
      </c>
      <c r="F1658">
        <v>47.690029144</v>
      </c>
      <c r="G1658">
        <v>1314.4658202999999</v>
      </c>
      <c r="H1658">
        <v>1302.166626</v>
      </c>
      <c r="I1658">
        <v>1384.8312988</v>
      </c>
      <c r="J1658">
        <v>1363.9302978999999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1280.776932</v>
      </c>
      <c r="B1659" s="1">
        <f>DATE(2013,11,1) + TIME(18,38,46)</f>
        <v>41579.776921296296</v>
      </c>
      <c r="C1659">
        <v>80</v>
      </c>
      <c r="D1659">
        <v>79.697753906000003</v>
      </c>
      <c r="E1659">
        <v>50</v>
      </c>
      <c r="F1659">
        <v>47.958713531000001</v>
      </c>
      <c r="G1659">
        <v>1313.4265137</v>
      </c>
      <c r="H1659">
        <v>1301.1065673999999</v>
      </c>
      <c r="I1659">
        <v>1386.2084961</v>
      </c>
      <c r="J1659">
        <v>1365.3830565999999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1280.8884840000001</v>
      </c>
      <c r="B1660" s="1">
        <f>DATE(2013,11,1) + TIME(21,19,25)</f>
        <v>41579.888483796298</v>
      </c>
      <c r="C1660">
        <v>80</v>
      </c>
      <c r="D1660">
        <v>79.680885314999998</v>
      </c>
      <c r="E1660">
        <v>50</v>
      </c>
      <c r="F1660">
        <v>48.215850830000001</v>
      </c>
      <c r="G1660">
        <v>1312.4544678</v>
      </c>
      <c r="H1660">
        <v>1300.1170654</v>
      </c>
      <c r="I1660">
        <v>1387.4578856999999</v>
      </c>
      <c r="J1660">
        <v>1366.7055664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1281.012013</v>
      </c>
      <c r="B1661" s="1">
        <f>DATE(2013,11,2) + TIME(0,17,17)</f>
        <v>41580.012002314812</v>
      </c>
      <c r="C1661">
        <v>80</v>
      </c>
      <c r="D1661">
        <v>79.662910460999996</v>
      </c>
      <c r="E1661">
        <v>50</v>
      </c>
      <c r="F1661">
        <v>48.460868834999999</v>
      </c>
      <c r="G1661">
        <v>1311.5363769999999</v>
      </c>
      <c r="H1661">
        <v>1299.1845702999999</v>
      </c>
      <c r="I1661">
        <v>1388.6029053</v>
      </c>
      <c r="J1661">
        <v>1367.9211425999999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1281.1503110000001</v>
      </c>
      <c r="B1662" s="1">
        <f>DATE(2013,11,2) + TIME(3,36,26)</f>
        <v>41580.150300925925</v>
      </c>
      <c r="C1662">
        <v>80</v>
      </c>
      <c r="D1662">
        <v>79.643524170000006</v>
      </c>
      <c r="E1662">
        <v>50</v>
      </c>
      <c r="F1662">
        <v>48.693031310999999</v>
      </c>
      <c r="G1662">
        <v>1310.661499</v>
      </c>
      <c r="H1662">
        <v>1298.2976074000001</v>
      </c>
      <c r="I1662">
        <v>1389.6618652</v>
      </c>
      <c r="J1662">
        <v>1369.0480957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1281.3072320000001</v>
      </c>
      <c r="B1663" s="1">
        <f>DATE(2013,11,2) + TIME(7,22,24)</f>
        <v>41580.307222222225</v>
      </c>
      <c r="C1663">
        <v>80</v>
      </c>
      <c r="D1663">
        <v>79.622337341000005</v>
      </c>
      <c r="E1663">
        <v>50</v>
      </c>
      <c r="F1663">
        <v>48.911437988000003</v>
      </c>
      <c r="G1663">
        <v>1309.8205565999999</v>
      </c>
      <c r="H1663">
        <v>1297.4464111</v>
      </c>
      <c r="I1663">
        <v>1390.6495361</v>
      </c>
      <c r="J1663">
        <v>1370.1010742000001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1281.488282</v>
      </c>
      <c r="B1664" s="1">
        <f>DATE(2013,11,2) + TIME(11,43,7)</f>
        <v>41580.488275462965</v>
      </c>
      <c r="C1664">
        <v>80</v>
      </c>
      <c r="D1664">
        <v>79.598831176999994</v>
      </c>
      <c r="E1664">
        <v>50</v>
      </c>
      <c r="F1664">
        <v>49.115009307999998</v>
      </c>
      <c r="G1664">
        <v>1309.0050048999999</v>
      </c>
      <c r="H1664">
        <v>1296.6219481999999</v>
      </c>
      <c r="I1664">
        <v>1391.5782471</v>
      </c>
      <c r="J1664">
        <v>1371.0917969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1281.7016590000001</v>
      </c>
      <c r="B1665" s="1">
        <f>DATE(2013,11,2) + TIME(16,50,23)</f>
        <v>41580.701655092591</v>
      </c>
      <c r="C1665">
        <v>80</v>
      </c>
      <c r="D1665">
        <v>79.572257996000005</v>
      </c>
      <c r="E1665">
        <v>50</v>
      </c>
      <c r="F1665">
        <v>49.302402495999999</v>
      </c>
      <c r="G1665">
        <v>1308.2071533000001</v>
      </c>
      <c r="H1665">
        <v>1295.8164062000001</v>
      </c>
      <c r="I1665">
        <v>1392.4573975000001</v>
      </c>
      <c r="J1665">
        <v>1372.0297852000001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1281.9376380000001</v>
      </c>
      <c r="B1666" s="1">
        <f>DATE(2013,11,2) + TIME(22,30,11)</f>
        <v>41580.937627314815</v>
      </c>
      <c r="C1666">
        <v>80</v>
      </c>
      <c r="D1666">
        <v>79.543571471999996</v>
      </c>
      <c r="E1666">
        <v>50</v>
      </c>
      <c r="F1666">
        <v>49.460605620999999</v>
      </c>
      <c r="G1666">
        <v>1307.4772949000001</v>
      </c>
      <c r="H1666">
        <v>1295.0798339999999</v>
      </c>
      <c r="I1666">
        <v>1393.2325439000001</v>
      </c>
      <c r="J1666">
        <v>1372.8560791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1282.1761799999999</v>
      </c>
      <c r="B1667" s="1">
        <f>DATE(2013,11,3) + TIME(4,13,41)</f>
        <v>41581.176168981481</v>
      </c>
      <c r="C1667">
        <v>80</v>
      </c>
      <c r="D1667">
        <v>79.514587402000004</v>
      </c>
      <c r="E1667">
        <v>50</v>
      </c>
      <c r="F1667">
        <v>49.582386016999997</v>
      </c>
      <c r="G1667">
        <v>1306.8607178</v>
      </c>
      <c r="H1667">
        <v>1294.4580077999999</v>
      </c>
      <c r="I1667">
        <v>1393.8603516000001</v>
      </c>
      <c r="J1667">
        <v>1373.5251464999999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1282.4222580000001</v>
      </c>
      <c r="B1668" s="1">
        <f>DATE(2013,11,3) + TIME(10,8,3)</f>
        <v>41581.422256944446</v>
      </c>
      <c r="C1668">
        <v>80</v>
      </c>
      <c r="D1668">
        <v>79.484916686999995</v>
      </c>
      <c r="E1668">
        <v>50</v>
      </c>
      <c r="F1668">
        <v>49.677352904999999</v>
      </c>
      <c r="G1668">
        <v>1306.3273925999999</v>
      </c>
      <c r="H1668">
        <v>1293.9202881000001</v>
      </c>
      <c r="I1668">
        <v>1394.3826904</v>
      </c>
      <c r="J1668">
        <v>1374.0816649999999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1282.6785460000001</v>
      </c>
      <c r="B1669" s="1">
        <f>DATE(2013,11,3) + TIME(16,17,6)</f>
        <v>41581.678541666668</v>
      </c>
      <c r="C1669">
        <v>80</v>
      </c>
      <c r="D1669">
        <v>79.454353333</v>
      </c>
      <c r="E1669">
        <v>50</v>
      </c>
      <c r="F1669">
        <v>49.751392365000001</v>
      </c>
      <c r="G1669">
        <v>1305.8613281</v>
      </c>
      <c r="H1669">
        <v>1293.4501952999999</v>
      </c>
      <c r="I1669">
        <v>1394.8204346</v>
      </c>
      <c r="J1669">
        <v>1374.5478516000001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1282.9481410000001</v>
      </c>
      <c r="B1670" s="1">
        <f>DATE(2013,11,3) + TIME(22,45,19)</f>
        <v>41581.948136574072</v>
      </c>
      <c r="C1670">
        <v>80</v>
      </c>
      <c r="D1670">
        <v>79.422645568999997</v>
      </c>
      <c r="E1670">
        <v>50</v>
      </c>
      <c r="F1670">
        <v>49.808967590000002</v>
      </c>
      <c r="G1670">
        <v>1305.4505615</v>
      </c>
      <c r="H1670">
        <v>1293.0358887</v>
      </c>
      <c r="I1670">
        <v>1395.1882324000001</v>
      </c>
      <c r="J1670">
        <v>1374.9398193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1283.234541</v>
      </c>
      <c r="B1671" s="1">
        <f>DATE(2013,11,4) + TIME(5,37,44)</f>
        <v>41582.234537037039</v>
      </c>
      <c r="C1671">
        <v>80</v>
      </c>
      <c r="D1671">
        <v>79.389488220000004</v>
      </c>
      <c r="E1671">
        <v>50</v>
      </c>
      <c r="F1671">
        <v>49.853473663000003</v>
      </c>
      <c r="G1671">
        <v>1305.0865478999999</v>
      </c>
      <c r="H1671">
        <v>1292.668457</v>
      </c>
      <c r="I1671">
        <v>1395.4964600000001</v>
      </c>
      <c r="J1671">
        <v>1375.2686768000001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1283.5419039999999</v>
      </c>
      <c r="B1672" s="1">
        <f>DATE(2013,11,4) + TIME(13,0,20)</f>
        <v>41582.541898148149</v>
      </c>
      <c r="C1672">
        <v>80</v>
      </c>
      <c r="D1672">
        <v>79.354530334000003</v>
      </c>
      <c r="E1672">
        <v>50</v>
      </c>
      <c r="F1672">
        <v>49.887580872000001</v>
      </c>
      <c r="G1672">
        <v>1304.7625731999999</v>
      </c>
      <c r="H1672">
        <v>1292.3414307</v>
      </c>
      <c r="I1672">
        <v>1395.7525635</v>
      </c>
      <c r="J1672">
        <v>1375.5427245999999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1283.8755309999999</v>
      </c>
      <c r="B1673" s="1">
        <f>DATE(2013,11,4) + TIME(21,0,45)</f>
        <v>41582.875520833331</v>
      </c>
      <c r="C1673">
        <v>80</v>
      </c>
      <c r="D1673">
        <v>79.317329407000003</v>
      </c>
      <c r="E1673">
        <v>50</v>
      </c>
      <c r="F1673">
        <v>49.913410186999997</v>
      </c>
      <c r="G1673">
        <v>1304.4735106999999</v>
      </c>
      <c r="H1673">
        <v>1292.0494385</v>
      </c>
      <c r="I1673">
        <v>1395.9619141000001</v>
      </c>
      <c r="J1673">
        <v>1375.7680664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1284.239092</v>
      </c>
      <c r="B1674" s="1">
        <f>DATE(2013,11,5) + TIME(5,44,17)</f>
        <v>41583.239085648151</v>
      </c>
      <c r="C1674">
        <v>80</v>
      </c>
      <c r="D1674">
        <v>79.277565002000003</v>
      </c>
      <c r="E1674">
        <v>50</v>
      </c>
      <c r="F1674">
        <v>49.932556151999997</v>
      </c>
      <c r="G1674">
        <v>1304.2171631000001</v>
      </c>
      <c r="H1674">
        <v>1291.7901611</v>
      </c>
      <c r="I1674">
        <v>1396.1270752</v>
      </c>
      <c r="J1674">
        <v>1375.947876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1284.6354940000001</v>
      </c>
      <c r="B1675" s="1">
        <f>DATE(2013,11,5) + TIME(15,15,6)</f>
        <v>41583.63548611111</v>
      </c>
      <c r="C1675">
        <v>80</v>
      </c>
      <c r="D1675">
        <v>79.234954834000007</v>
      </c>
      <c r="E1675">
        <v>50</v>
      </c>
      <c r="F1675">
        <v>49.946388245000001</v>
      </c>
      <c r="G1675">
        <v>1303.9918213000001</v>
      </c>
      <c r="H1675">
        <v>1291.5620117000001</v>
      </c>
      <c r="I1675">
        <v>1396.2503661999999</v>
      </c>
      <c r="J1675">
        <v>1376.0848389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1285.0731450000001</v>
      </c>
      <c r="B1676" s="1">
        <f>DATE(2013,11,6) + TIME(1,45,19)</f>
        <v>41584.073136574072</v>
      </c>
      <c r="C1676">
        <v>80</v>
      </c>
      <c r="D1676">
        <v>79.188865661999998</v>
      </c>
      <c r="E1676">
        <v>50</v>
      </c>
      <c r="F1676">
        <v>49.956188202</v>
      </c>
      <c r="G1676">
        <v>1303.7935791</v>
      </c>
      <c r="H1676">
        <v>1291.3608397999999</v>
      </c>
      <c r="I1676">
        <v>1396.3361815999999</v>
      </c>
      <c r="J1676">
        <v>1376.1837158000001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1285.5628730000001</v>
      </c>
      <c r="B1677" s="1">
        <f>DATE(2013,11,6) + TIME(13,30,32)</f>
        <v>41584.56287037037</v>
      </c>
      <c r="C1677">
        <v>80</v>
      </c>
      <c r="D1677">
        <v>79.138450622999997</v>
      </c>
      <c r="E1677">
        <v>50</v>
      </c>
      <c r="F1677">
        <v>49.962974547999998</v>
      </c>
      <c r="G1677">
        <v>1303.6192627</v>
      </c>
      <c r="H1677">
        <v>1291.1835937999999</v>
      </c>
      <c r="I1677">
        <v>1396.3873291</v>
      </c>
      <c r="J1677">
        <v>1376.2479248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1286.068035</v>
      </c>
      <c r="B1678" s="1">
        <f>DATE(2013,11,7) + TIME(1,37,58)</f>
        <v>41585.068032407406</v>
      </c>
      <c r="C1678">
        <v>80</v>
      </c>
      <c r="D1678">
        <v>79.085777282999999</v>
      </c>
      <c r="E1678">
        <v>50</v>
      </c>
      <c r="F1678">
        <v>49.967273712000001</v>
      </c>
      <c r="G1678">
        <v>1303.4760742000001</v>
      </c>
      <c r="H1678">
        <v>1291.0377197</v>
      </c>
      <c r="I1678">
        <v>1396.4013672000001</v>
      </c>
      <c r="J1678">
        <v>1376.2750243999999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1286.586037</v>
      </c>
      <c r="B1679" s="1">
        <f>DATE(2013,11,7) + TIME(14,3,53)</f>
        <v>41585.586030092592</v>
      </c>
      <c r="C1679">
        <v>80</v>
      </c>
      <c r="D1679">
        <v>79.031440735000004</v>
      </c>
      <c r="E1679">
        <v>50</v>
      </c>
      <c r="F1679">
        <v>49.969978333</v>
      </c>
      <c r="G1679">
        <v>1303.3583983999999</v>
      </c>
      <c r="H1679">
        <v>1290.9172363</v>
      </c>
      <c r="I1679">
        <v>1396.3914795000001</v>
      </c>
      <c r="J1679">
        <v>1376.277832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1287.1164100000001</v>
      </c>
      <c r="B1680" s="1">
        <f>DATE(2013,11,8) + TIME(2,47,37)</f>
        <v>41586.116400462961</v>
      </c>
      <c r="C1680">
        <v>80</v>
      </c>
      <c r="D1680">
        <v>78.975784301999994</v>
      </c>
      <c r="E1680">
        <v>50</v>
      </c>
      <c r="F1680">
        <v>49.971683501999998</v>
      </c>
      <c r="G1680">
        <v>1303.2607422000001</v>
      </c>
      <c r="H1680">
        <v>1290.8167725000001</v>
      </c>
      <c r="I1680">
        <v>1396.3649902</v>
      </c>
      <c r="J1680">
        <v>1376.2633057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1287.665669</v>
      </c>
      <c r="B1681" s="1">
        <f>DATE(2013,11,8) + TIME(15,58,33)</f>
        <v>41586.665659722225</v>
      </c>
      <c r="C1681">
        <v>80</v>
      </c>
      <c r="D1681">
        <v>78.918640136999997</v>
      </c>
      <c r="E1681">
        <v>50</v>
      </c>
      <c r="F1681">
        <v>49.972770691000001</v>
      </c>
      <c r="G1681">
        <v>1303.1779785000001</v>
      </c>
      <c r="H1681">
        <v>1290.7313231999999</v>
      </c>
      <c r="I1681">
        <v>1396.3270264</v>
      </c>
      <c r="J1681">
        <v>1376.2370605000001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1288.240444</v>
      </c>
      <c r="B1682" s="1">
        <f>DATE(2013,11,9) + TIME(5,46,14)</f>
        <v>41587.240439814814</v>
      </c>
      <c r="C1682">
        <v>80</v>
      </c>
      <c r="D1682">
        <v>78.859634399000001</v>
      </c>
      <c r="E1682">
        <v>50</v>
      </c>
      <c r="F1682">
        <v>49.973472594999997</v>
      </c>
      <c r="G1682">
        <v>1303.1064452999999</v>
      </c>
      <c r="H1682">
        <v>1290.6568603999999</v>
      </c>
      <c r="I1682">
        <v>1396.2807617000001</v>
      </c>
      <c r="J1682">
        <v>1376.2023925999999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1288.8480790000001</v>
      </c>
      <c r="B1683" s="1">
        <f>DATE(2013,11,9) + TIME(20,21,14)</f>
        <v>41587.848078703704</v>
      </c>
      <c r="C1683">
        <v>80</v>
      </c>
      <c r="D1683">
        <v>78.798286438000005</v>
      </c>
      <c r="E1683">
        <v>50</v>
      </c>
      <c r="F1683">
        <v>49.973930359000001</v>
      </c>
      <c r="G1683">
        <v>1303.0432129000001</v>
      </c>
      <c r="H1683">
        <v>1290.5905762</v>
      </c>
      <c r="I1683">
        <v>1396.2282714999999</v>
      </c>
      <c r="J1683">
        <v>1376.1612548999999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1289.4973600000001</v>
      </c>
      <c r="B1684" s="1">
        <f>DATE(2013,11,10) + TIME(11,56,11)</f>
        <v>41588.497349537036</v>
      </c>
      <c r="C1684">
        <v>80</v>
      </c>
      <c r="D1684">
        <v>78.733947753999999</v>
      </c>
      <c r="E1684">
        <v>50</v>
      </c>
      <c r="F1684">
        <v>49.974235534999998</v>
      </c>
      <c r="G1684">
        <v>1302.9859618999999</v>
      </c>
      <c r="H1684">
        <v>1290.5301514</v>
      </c>
      <c r="I1684">
        <v>1396.1708983999999</v>
      </c>
      <c r="J1684">
        <v>1376.1154785000001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1290.1993769999999</v>
      </c>
      <c r="B1685" s="1">
        <f>DATE(2013,11,11) + TIME(4,47,6)</f>
        <v>41589.199374999997</v>
      </c>
      <c r="C1685">
        <v>80</v>
      </c>
      <c r="D1685">
        <v>78.665824889999996</v>
      </c>
      <c r="E1685">
        <v>50</v>
      </c>
      <c r="F1685">
        <v>49.974441528</v>
      </c>
      <c r="G1685">
        <v>1302.9329834</v>
      </c>
      <c r="H1685">
        <v>1290.4737548999999</v>
      </c>
      <c r="I1685">
        <v>1396.1097411999999</v>
      </c>
      <c r="J1685">
        <v>1376.0660399999999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1290.961955</v>
      </c>
      <c r="B1686" s="1">
        <f>DATE(2013,11,11) + TIME(23,5,12)</f>
        <v>41589.961944444447</v>
      </c>
      <c r="C1686">
        <v>80</v>
      </c>
      <c r="D1686">
        <v>78.593208313000005</v>
      </c>
      <c r="E1686">
        <v>50</v>
      </c>
      <c r="F1686">
        <v>49.974582671999997</v>
      </c>
      <c r="G1686">
        <v>1302.8828125</v>
      </c>
      <c r="H1686">
        <v>1290.4199219</v>
      </c>
      <c r="I1686">
        <v>1396.0454102000001</v>
      </c>
      <c r="J1686">
        <v>1376.0136719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1291.7471740000001</v>
      </c>
      <c r="B1687" s="1">
        <f>DATE(2013,11,12) + TIME(17,55,55)</f>
        <v>41590.747164351851</v>
      </c>
      <c r="C1687">
        <v>80</v>
      </c>
      <c r="D1687">
        <v>78.517585753999995</v>
      </c>
      <c r="E1687">
        <v>50</v>
      </c>
      <c r="F1687">
        <v>49.974678040000001</v>
      </c>
      <c r="G1687">
        <v>1302.8355713000001</v>
      </c>
      <c r="H1687">
        <v>1290.3688964999999</v>
      </c>
      <c r="I1687">
        <v>1395.9792480000001</v>
      </c>
      <c r="J1687">
        <v>1375.9598389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1292.555681</v>
      </c>
      <c r="B1688" s="1">
        <f>DATE(2013,11,13) + TIME(13,20,10)</f>
        <v>41591.555671296293</v>
      </c>
      <c r="C1688">
        <v>80</v>
      </c>
      <c r="D1688">
        <v>78.439704895000006</v>
      </c>
      <c r="E1688">
        <v>50</v>
      </c>
      <c r="F1688">
        <v>49.974746703999998</v>
      </c>
      <c r="G1688">
        <v>1302.7910156</v>
      </c>
      <c r="H1688">
        <v>1290.3201904</v>
      </c>
      <c r="I1688">
        <v>1395.9147949000001</v>
      </c>
      <c r="J1688">
        <v>1375.9075928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1293.3997959999999</v>
      </c>
      <c r="B1689" s="1">
        <f>DATE(2013,11,14) + TIME(9,35,42)</f>
        <v>41592.399791666663</v>
      </c>
      <c r="C1689">
        <v>80</v>
      </c>
      <c r="D1689">
        <v>78.359420775999993</v>
      </c>
      <c r="E1689">
        <v>50</v>
      </c>
      <c r="F1689">
        <v>49.974792479999998</v>
      </c>
      <c r="G1689">
        <v>1302.7480469</v>
      </c>
      <c r="H1689">
        <v>1290.2729492000001</v>
      </c>
      <c r="I1689">
        <v>1395.8525391000001</v>
      </c>
      <c r="J1689">
        <v>1375.8570557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1294.263835</v>
      </c>
      <c r="B1690" s="1">
        <f>DATE(2013,11,15) + TIME(6,19,55)</f>
        <v>41593.263831018521</v>
      </c>
      <c r="C1690">
        <v>80</v>
      </c>
      <c r="D1690">
        <v>78.277389525999993</v>
      </c>
      <c r="E1690">
        <v>50</v>
      </c>
      <c r="F1690">
        <v>49.974830627000003</v>
      </c>
      <c r="G1690">
        <v>1302.7060547000001</v>
      </c>
      <c r="H1690">
        <v>1290.2264404</v>
      </c>
      <c r="I1690">
        <v>1395.7918701000001</v>
      </c>
      <c r="J1690">
        <v>1375.8081055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1295.15798</v>
      </c>
      <c r="B1691" s="1">
        <f>DATE(2013,11,16) + TIME(3,47,29)</f>
        <v>41594.15797453704</v>
      </c>
      <c r="C1691">
        <v>80</v>
      </c>
      <c r="D1691">
        <v>78.193550110000004</v>
      </c>
      <c r="E1691">
        <v>50</v>
      </c>
      <c r="F1691">
        <v>49.974857329999999</v>
      </c>
      <c r="G1691">
        <v>1302.6647949000001</v>
      </c>
      <c r="H1691">
        <v>1290.1804199000001</v>
      </c>
      <c r="I1691">
        <v>1395.7336425999999</v>
      </c>
      <c r="J1691">
        <v>1375.7612305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1296.09322</v>
      </c>
      <c r="B1692" s="1">
        <f>DATE(2013,11,17) + TIME(2,14,14)</f>
        <v>41595.093217592592</v>
      </c>
      <c r="C1692">
        <v>80</v>
      </c>
      <c r="D1692">
        <v>78.107414246000005</v>
      </c>
      <c r="E1692">
        <v>50</v>
      </c>
      <c r="F1692">
        <v>49.974880218999999</v>
      </c>
      <c r="G1692">
        <v>1302.6235352000001</v>
      </c>
      <c r="H1692">
        <v>1290.1339111</v>
      </c>
      <c r="I1692">
        <v>1395.6772461</v>
      </c>
      <c r="J1692">
        <v>1375.7160644999999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1297.081936</v>
      </c>
      <c r="B1693" s="1">
        <f>DATE(2013,11,18) + TIME(1,57,59)</f>
        <v>41596.081932870373</v>
      </c>
      <c r="C1693">
        <v>80</v>
      </c>
      <c r="D1693">
        <v>78.018203735</v>
      </c>
      <c r="E1693">
        <v>50</v>
      </c>
      <c r="F1693">
        <v>49.974899292000003</v>
      </c>
      <c r="G1693">
        <v>1302.5814209</v>
      </c>
      <c r="H1693">
        <v>1290.0863036999999</v>
      </c>
      <c r="I1693">
        <v>1395.6220702999999</v>
      </c>
      <c r="J1693">
        <v>1375.671875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1298.1393929999999</v>
      </c>
      <c r="B1694" s="1">
        <f>DATE(2013,11,19) + TIME(3,20,43)</f>
        <v>41597.139386574076</v>
      </c>
      <c r="C1694">
        <v>80</v>
      </c>
      <c r="D1694">
        <v>77.924949646000002</v>
      </c>
      <c r="E1694">
        <v>50</v>
      </c>
      <c r="F1694">
        <v>49.974918365000001</v>
      </c>
      <c r="G1694">
        <v>1302.5377197</v>
      </c>
      <c r="H1694">
        <v>1290.0367432</v>
      </c>
      <c r="I1694">
        <v>1395.5672606999999</v>
      </c>
      <c r="J1694">
        <v>1375.6282959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1299.249468</v>
      </c>
      <c r="B1695" s="1">
        <f>DATE(2013,11,20) + TIME(5,59,14)</f>
        <v>41598.249467592592</v>
      </c>
      <c r="C1695">
        <v>80</v>
      </c>
      <c r="D1695">
        <v>77.827697753999999</v>
      </c>
      <c r="E1695">
        <v>50</v>
      </c>
      <c r="F1695">
        <v>49.974933624000002</v>
      </c>
      <c r="G1695">
        <v>1302.4920654</v>
      </c>
      <c r="H1695">
        <v>1289.9846190999999</v>
      </c>
      <c r="I1695">
        <v>1395.5124512</v>
      </c>
      <c r="J1695">
        <v>1375.5849608999999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1300.4108679999999</v>
      </c>
      <c r="B1696" s="1">
        <f>DATE(2013,11,21) + TIME(9,51,39)</f>
        <v>41599.410868055558</v>
      </c>
      <c r="C1696">
        <v>80</v>
      </c>
      <c r="D1696">
        <v>77.726791382000002</v>
      </c>
      <c r="E1696">
        <v>50</v>
      </c>
      <c r="F1696">
        <v>49.974948883000003</v>
      </c>
      <c r="G1696">
        <v>1302.4444579999999</v>
      </c>
      <c r="H1696">
        <v>1289.9301757999999</v>
      </c>
      <c r="I1696">
        <v>1395.458374</v>
      </c>
      <c r="J1696">
        <v>1375.5422363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1301.5997560000001</v>
      </c>
      <c r="B1697" s="1">
        <f>DATE(2013,11,22) + TIME(14,23,38)</f>
        <v>41600.599745370368</v>
      </c>
      <c r="C1697">
        <v>80</v>
      </c>
      <c r="D1697">
        <v>77.623321532999995</v>
      </c>
      <c r="E1697">
        <v>50</v>
      </c>
      <c r="F1697">
        <v>49.974964141999997</v>
      </c>
      <c r="G1697">
        <v>1302.3951416</v>
      </c>
      <c r="H1697">
        <v>1289.8732910000001</v>
      </c>
      <c r="I1697">
        <v>1395.4053954999999</v>
      </c>
      <c r="J1697">
        <v>1375.5004882999999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1302.813122</v>
      </c>
      <c r="B1698" s="1">
        <f>DATE(2013,11,23) + TIME(19,30,53)</f>
        <v>41601.813113425924</v>
      </c>
      <c r="C1698">
        <v>80</v>
      </c>
      <c r="D1698">
        <v>77.518295288000004</v>
      </c>
      <c r="E1698">
        <v>50</v>
      </c>
      <c r="F1698">
        <v>49.974979400999999</v>
      </c>
      <c r="G1698">
        <v>1302.3443603999999</v>
      </c>
      <c r="H1698">
        <v>1289.8145752</v>
      </c>
      <c r="I1698">
        <v>1395.354126</v>
      </c>
      <c r="J1698">
        <v>1375.4602050999999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1304.065732</v>
      </c>
      <c r="B1699" s="1">
        <f>DATE(2013,11,25) + TIME(1,34,39)</f>
        <v>41603.065729166665</v>
      </c>
      <c r="C1699">
        <v>80</v>
      </c>
      <c r="D1699">
        <v>77.411727905000006</v>
      </c>
      <c r="E1699">
        <v>50</v>
      </c>
      <c r="F1699">
        <v>49.974994658999996</v>
      </c>
      <c r="G1699">
        <v>1302.2922363</v>
      </c>
      <c r="H1699">
        <v>1289.7539062000001</v>
      </c>
      <c r="I1699">
        <v>1395.3045654</v>
      </c>
      <c r="J1699">
        <v>1375.4213867000001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1305.3732010000001</v>
      </c>
      <c r="B1700" s="1">
        <f>DATE(2013,11,26) + TIME(8,57,24)</f>
        <v>41604.373194444444</v>
      </c>
      <c r="C1700">
        <v>80</v>
      </c>
      <c r="D1700">
        <v>77.302886963000006</v>
      </c>
      <c r="E1700">
        <v>50</v>
      </c>
      <c r="F1700">
        <v>49.975009917999998</v>
      </c>
      <c r="G1700">
        <v>1302.2379149999999</v>
      </c>
      <c r="H1700">
        <v>1289.6904297000001</v>
      </c>
      <c r="I1700">
        <v>1395.2559814000001</v>
      </c>
      <c r="J1700">
        <v>1375.3834228999999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1306.7531839999999</v>
      </c>
      <c r="B1701" s="1">
        <f>DATE(2013,11,27) + TIME(18,4,35)</f>
        <v>41605.753182870372</v>
      </c>
      <c r="C1701">
        <v>80</v>
      </c>
      <c r="D1701">
        <v>77.190742493000002</v>
      </c>
      <c r="E1701">
        <v>50</v>
      </c>
      <c r="F1701">
        <v>49.975025176999999</v>
      </c>
      <c r="G1701">
        <v>1302.1806641000001</v>
      </c>
      <c r="H1701">
        <v>1289.6231689000001</v>
      </c>
      <c r="I1701">
        <v>1395.2078856999999</v>
      </c>
      <c r="J1701">
        <v>1375.3457031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1308.2059959999999</v>
      </c>
      <c r="B1702" s="1">
        <f>DATE(2013,11,29) + TIME(4,56,38)</f>
        <v>41607.205995370372</v>
      </c>
      <c r="C1702">
        <v>80</v>
      </c>
      <c r="D1702">
        <v>77.074592589999995</v>
      </c>
      <c r="E1702">
        <v>50</v>
      </c>
      <c r="F1702">
        <v>49.975044250000003</v>
      </c>
      <c r="G1702">
        <v>1302.119751</v>
      </c>
      <c r="H1702">
        <v>1289.5512695</v>
      </c>
      <c r="I1702">
        <v>1395.1595459</v>
      </c>
      <c r="J1702">
        <v>1375.3079834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1309.7196980000001</v>
      </c>
      <c r="B1703" s="1">
        <f>DATE(2013,11,30) + TIME(17,16,21)</f>
        <v>41608.719687500001</v>
      </c>
      <c r="C1703">
        <v>80</v>
      </c>
      <c r="D1703">
        <v>76.954605103000006</v>
      </c>
      <c r="E1703">
        <v>50</v>
      </c>
      <c r="F1703">
        <v>49.975063323999997</v>
      </c>
      <c r="G1703">
        <v>1302.0549315999999</v>
      </c>
      <c r="H1703">
        <v>1289.4744873</v>
      </c>
      <c r="I1703">
        <v>1395.1112060999999</v>
      </c>
      <c r="J1703">
        <v>1375.2701416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1310</v>
      </c>
      <c r="B1704" s="1">
        <f>DATE(2013,12,1) + TIME(0,0,0)</f>
        <v>41609</v>
      </c>
      <c r="C1704">
        <v>80</v>
      </c>
      <c r="D1704">
        <v>76.906494140999996</v>
      </c>
      <c r="E1704">
        <v>50</v>
      </c>
      <c r="F1704">
        <v>49.975040436</v>
      </c>
      <c r="G1704">
        <v>1302.0084228999999</v>
      </c>
      <c r="H1704">
        <v>1289.421875</v>
      </c>
      <c r="I1704">
        <v>1395.0722656</v>
      </c>
      <c r="J1704">
        <v>1375.2406006000001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1311.5851640000001</v>
      </c>
      <c r="B1705" s="1">
        <f>DATE(2013,12,2) + TIME(14,2,38)</f>
        <v>41610.585162037038</v>
      </c>
      <c r="C1705">
        <v>80</v>
      </c>
      <c r="D1705">
        <v>76.799789429</v>
      </c>
      <c r="E1705">
        <v>50</v>
      </c>
      <c r="F1705">
        <v>49.975090027</v>
      </c>
      <c r="G1705">
        <v>1301.9702147999999</v>
      </c>
      <c r="H1705">
        <v>1289.3729248</v>
      </c>
      <c r="I1705">
        <v>1395.0533447</v>
      </c>
      <c r="J1705">
        <v>1375.2248535000001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1313.1945579999999</v>
      </c>
      <c r="B1706" s="1">
        <f>DATE(2013,12,4) + TIME(4,40,9)</f>
        <v>41612.194548611114</v>
      </c>
      <c r="C1706">
        <v>80</v>
      </c>
      <c r="D1706">
        <v>76.679565429999997</v>
      </c>
      <c r="E1706">
        <v>50</v>
      </c>
      <c r="F1706">
        <v>49.975109099999997</v>
      </c>
      <c r="G1706">
        <v>1301.8995361</v>
      </c>
      <c r="H1706">
        <v>1289.2885742000001</v>
      </c>
      <c r="I1706">
        <v>1395.0070800999999</v>
      </c>
      <c r="J1706">
        <v>1375.1888428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1314.843752</v>
      </c>
      <c r="B1707" s="1">
        <f>DATE(2013,12,5) + TIME(20,15,0)</f>
        <v>41613.84375</v>
      </c>
      <c r="C1707">
        <v>80</v>
      </c>
      <c r="D1707">
        <v>76.554328917999996</v>
      </c>
      <c r="E1707">
        <v>50</v>
      </c>
      <c r="F1707">
        <v>49.975128173999998</v>
      </c>
      <c r="G1707">
        <v>1301.8240966999999</v>
      </c>
      <c r="H1707">
        <v>1289.197876</v>
      </c>
      <c r="I1707">
        <v>1394.9609375</v>
      </c>
      <c r="J1707">
        <v>1375.152832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1316.5525829999999</v>
      </c>
      <c r="B1708" s="1">
        <f>DATE(2013,12,7) + TIME(13,15,43)</f>
        <v>41615.552581018521</v>
      </c>
      <c r="C1708">
        <v>80</v>
      </c>
      <c r="D1708">
        <v>76.426109314000001</v>
      </c>
      <c r="E1708">
        <v>50</v>
      </c>
      <c r="F1708">
        <v>49.975151062000002</v>
      </c>
      <c r="G1708">
        <v>1301.7448730000001</v>
      </c>
      <c r="H1708">
        <v>1289.1019286999999</v>
      </c>
      <c r="I1708">
        <v>1394.9157714999999</v>
      </c>
      <c r="J1708">
        <v>1375.1174315999999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1318.3428799999999</v>
      </c>
      <c r="B1709" s="1">
        <f>DATE(2013,12,9) + TIME(8,13,44)</f>
        <v>41617.342870370368</v>
      </c>
      <c r="C1709">
        <v>80</v>
      </c>
      <c r="D1709">
        <v>76.294654846</v>
      </c>
      <c r="E1709">
        <v>50</v>
      </c>
      <c r="F1709">
        <v>49.975177764999998</v>
      </c>
      <c r="G1709">
        <v>1301.6608887</v>
      </c>
      <c r="H1709">
        <v>1288.9996338000001</v>
      </c>
      <c r="I1709">
        <v>1394.8708495999999</v>
      </c>
      <c r="J1709">
        <v>1375.0822754000001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1320.194092</v>
      </c>
      <c r="B1710" s="1">
        <f>DATE(2013,12,11) + TIME(4,39,29)</f>
        <v>41619.194085648145</v>
      </c>
      <c r="C1710">
        <v>80</v>
      </c>
      <c r="D1710">
        <v>76.159820557000003</v>
      </c>
      <c r="E1710">
        <v>50</v>
      </c>
      <c r="F1710">
        <v>49.975200653000002</v>
      </c>
      <c r="G1710">
        <v>1301.5714111</v>
      </c>
      <c r="H1710">
        <v>1288.8901367000001</v>
      </c>
      <c r="I1710">
        <v>1394.8258057</v>
      </c>
      <c r="J1710">
        <v>1375.0469971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1322.0871079999999</v>
      </c>
      <c r="B1711" s="1">
        <f>DATE(2013,12,13) + TIME(2,5,26)</f>
        <v>41621.087106481478</v>
      </c>
      <c r="C1711">
        <v>80</v>
      </c>
      <c r="D1711">
        <v>76.022651671999995</v>
      </c>
      <c r="E1711">
        <v>50</v>
      </c>
      <c r="F1711">
        <v>49.975227355999998</v>
      </c>
      <c r="G1711">
        <v>1301.4768065999999</v>
      </c>
      <c r="H1711">
        <v>1288.7736815999999</v>
      </c>
      <c r="I1711">
        <v>1394.7811279</v>
      </c>
      <c r="J1711">
        <v>1375.0119629000001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1324.0082520000001</v>
      </c>
      <c r="B1712" s="1">
        <f>DATE(2013,12,15) + TIME(0,11,52)</f>
        <v>41623.008240740739</v>
      </c>
      <c r="C1712">
        <v>80</v>
      </c>
      <c r="D1712">
        <v>75.884368895999998</v>
      </c>
      <c r="E1712">
        <v>50</v>
      </c>
      <c r="F1712">
        <v>49.975254059000001</v>
      </c>
      <c r="G1712">
        <v>1301.3776855000001</v>
      </c>
      <c r="H1712">
        <v>1288.651001</v>
      </c>
      <c r="I1712">
        <v>1394.7373047000001</v>
      </c>
      <c r="J1712">
        <v>1374.9775391000001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1325.9607759999999</v>
      </c>
      <c r="B1713" s="1">
        <f>DATE(2013,12,16) + TIME(23,3,31)</f>
        <v>41624.960775462961</v>
      </c>
      <c r="C1713">
        <v>80</v>
      </c>
      <c r="D1713">
        <v>75.745674132999994</v>
      </c>
      <c r="E1713">
        <v>50</v>
      </c>
      <c r="F1713">
        <v>49.975280761999997</v>
      </c>
      <c r="G1713">
        <v>1301.2746582</v>
      </c>
      <c r="H1713">
        <v>1288.5225829999999</v>
      </c>
      <c r="I1713">
        <v>1394.6945800999999</v>
      </c>
      <c r="J1713">
        <v>1374.9439697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1327.949226</v>
      </c>
      <c r="B1714" s="1">
        <f>DATE(2013,12,18) + TIME(22,46,53)</f>
        <v>41626.949224537035</v>
      </c>
      <c r="C1714">
        <v>80</v>
      </c>
      <c r="D1714">
        <v>75.606575011999993</v>
      </c>
      <c r="E1714">
        <v>50</v>
      </c>
      <c r="F1714">
        <v>49.975307465</v>
      </c>
      <c r="G1714">
        <v>1301.1672363</v>
      </c>
      <c r="H1714">
        <v>1288.3880615</v>
      </c>
      <c r="I1714">
        <v>1394.6527100000001</v>
      </c>
      <c r="J1714">
        <v>1374.9110106999999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1329.978118</v>
      </c>
      <c r="B1715" s="1">
        <f>DATE(2013,12,20) + TIME(23,28,29)</f>
        <v>41628.978113425925</v>
      </c>
      <c r="C1715">
        <v>80</v>
      </c>
      <c r="D1715">
        <v>75.466850281000006</v>
      </c>
      <c r="E1715">
        <v>50</v>
      </c>
      <c r="F1715">
        <v>49.975337981999999</v>
      </c>
      <c r="G1715">
        <v>1301.0550536999999</v>
      </c>
      <c r="H1715">
        <v>1288.2469481999999</v>
      </c>
      <c r="I1715">
        <v>1394.6115723</v>
      </c>
      <c r="J1715">
        <v>1374.8785399999999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1332.052023</v>
      </c>
      <c r="B1716" s="1">
        <f>DATE(2013,12,23) + TIME(1,14,54)</f>
        <v>41631.05201388889</v>
      </c>
      <c r="C1716">
        <v>80</v>
      </c>
      <c r="D1716">
        <v>75.326202393000003</v>
      </c>
      <c r="E1716">
        <v>50</v>
      </c>
      <c r="F1716">
        <v>49.975364685000002</v>
      </c>
      <c r="G1716">
        <v>1300.9378661999999</v>
      </c>
      <c r="H1716">
        <v>1288.0986327999999</v>
      </c>
      <c r="I1716">
        <v>1394.5711670000001</v>
      </c>
      <c r="J1716">
        <v>1374.8466797000001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1334.1631010000001</v>
      </c>
      <c r="B1717" s="1">
        <f>DATE(2013,12,25) + TIME(3,54,51)</f>
        <v>41633.163090277776</v>
      </c>
      <c r="C1717">
        <v>80</v>
      </c>
      <c r="D1717">
        <v>75.184555054</v>
      </c>
      <c r="E1717">
        <v>50</v>
      </c>
      <c r="F1717">
        <v>49.975395202999998</v>
      </c>
      <c r="G1717">
        <v>1300.8151855000001</v>
      </c>
      <c r="H1717">
        <v>1287.9425048999999</v>
      </c>
      <c r="I1717">
        <v>1394.53125</v>
      </c>
      <c r="J1717">
        <v>1374.8150635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1336.302189</v>
      </c>
      <c r="B1718" s="1">
        <f>DATE(2013,12,27) + TIME(7,15,9)</f>
        <v>41635.302187499998</v>
      </c>
      <c r="C1718">
        <v>80</v>
      </c>
      <c r="D1718">
        <v>75.042266846000004</v>
      </c>
      <c r="E1718">
        <v>50</v>
      </c>
      <c r="F1718">
        <v>49.975425719999997</v>
      </c>
      <c r="G1718">
        <v>1300.6871338000001</v>
      </c>
      <c r="H1718">
        <v>1287.7788086</v>
      </c>
      <c r="I1718">
        <v>1394.4920654</v>
      </c>
      <c r="J1718">
        <v>1374.7840576000001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1338.4741309999999</v>
      </c>
      <c r="B1719" s="1">
        <f>DATE(2013,12,29) + TIME(11,22,44)</f>
        <v>41637.474120370367</v>
      </c>
      <c r="C1719">
        <v>80</v>
      </c>
      <c r="D1719">
        <v>74.899581909000005</v>
      </c>
      <c r="E1719">
        <v>50</v>
      </c>
      <c r="F1719">
        <v>49.975456238</v>
      </c>
      <c r="G1719">
        <v>1300.5540771000001</v>
      </c>
      <c r="H1719">
        <v>1287.6077881000001</v>
      </c>
      <c r="I1719">
        <v>1394.4537353999999</v>
      </c>
      <c r="J1719">
        <v>1374.7535399999999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1340.6722400000001</v>
      </c>
      <c r="B1720" s="1">
        <f>DATE(2013,12,31) + TIME(16,8,1)</f>
        <v>41639.672233796293</v>
      </c>
      <c r="C1720">
        <v>80</v>
      </c>
      <c r="D1720">
        <v>74.756454468000001</v>
      </c>
      <c r="E1720">
        <v>50</v>
      </c>
      <c r="F1720">
        <v>49.975490569999998</v>
      </c>
      <c r="G1720">
        <v>1300.4156493999999</v>
      </c>
      <c r="H1720">
        <v>1287.4290771000001</v>
      </c>
      <c r="I1720">
        <v>1394.4158935999999</v>
      </c>
      <c r="J1720">
        <v>1374.7235106999999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1341</v>
      </c>
      <c r="B1721" s="1">
        <f>DATE(2014,1,1) + TIME(0,0,0)</f>
        <v>41640</v>
      </c>
      <c r="C1721">
        <v>80</v>
      </c>
      <c r="D1721">
        <v>74.699836731000005</v>
      </c>
      <c r="E1721">
        <v>50</v>
      </c>
      <c r="F1721">
        <v>49.975475310999997</v>
      </c>
      <c r="G1721">
        <v>1300.3128661999999</v>
      </c>
      <c r="H1721">
        <v>1287.2972411999999</v>
      </c>
      <c r="I1721">
        <v>1394.3889160000001</v>
      </c>
      <c r="J1721">
        <v>1374.7027588000001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1343.2206679999999</v>
      </c>
      <c r="B1722" s="1">
        <f>DATE(2014,1,3) + TIME(5,17,45)</f>
        <v>41642.220659722225</v>
      </c>
      <c r="C1722">
        <v>80</v>
      </c>
      <c r="D1722">
        <v>74.582328795999999</v>
      </c>
      <c r="E1722">
        <v>50</v>
      </c>
      <c r="F1722">
        <v>49.975528717000003</v>
      </c>
      <c r="G1722">
        <v>1300.2430420000001</v>
      </c>
      <c r="H1722">
        <v>1287.2038574000001</v>
      </c>
      <c r="I1722">
        <v>1394.3723144999999</v>
      </c>
      <c r="J1722">
        <v>1374.6885986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1345.4744519999999</v>
      </c>
      <c r="B1723" s="1">
        <f>DATE(2014,1,5) + TIME(11,23,12)</f>
        <v>41644.474444444444</v>
      </c>
      <c r="C1723">
        <v>80</v>
      </c>
      <c r="D1723">
        <v>74.445655822999996</v>
      </c>
      <c r="E1723">
        <v>50</v>
      </c>
      <c r="F1723">
        <v>49.975559234999999</v>
      </c>
      <c r="G1723">
        <v>1300.0992432</v>
      </c>
      <c r="H1723">
        <v>1287.0169678</v>
      </c>
      <c r="I1723">
        <v>1394.3372803</v>
      </c>
      <c r="J1723">
        <v>1374.6606445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1347.762706</v>
      </c>
      <c r="B1724" s="1">
        <f>DATE(2014,1,7) + TIME(18,18,17)</f>
        <v>41646.762696759259</v>
      </c>
      <c r="C1724">
        <v>80</v>
      </c>
      <c r="D1724">
        <v>74.303054810000006</v>
      </c>
      <c r="E1724">
        <v>50</v>
      </c>
      <c r="F1724">
        <v>49.975593566999997</v>
      </c>
      <c r="G1724">
        <v>1299.9453125</v>
      </c>
      <c r="H1724">
        <v>1286.8156738</v>
      </c>
      <c r="I1724">
        <v>1394.3017577999999</v>
      </c>
      <c r="J1724">
        <v>1374.6322021000001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1350.089588</v>
      </c>
      <c r="B1725" s="1">
        <f>DATE(2014,1,10) + TIME(2,9,0)</f>
        <v>41649.089583333334</v>
      </c>
      <c r="C1725">
        <v>80</v>
      </c>
      <c r="D1725">
        <v>74.157928467000005</v>
      </c>
      <c r="E1725">
        <v>50</v>
      </c>
      <c r="F1725">
        <v>49.975627899000003</v>
      </c>
      <c r="G1725">
        <v>1299.7845459</v>
      </c>
      <c r="H1725">
        <v>1286.6042480000001</v>
      </c>
      <c r="I1725">
        <v>1394.2666016000001</v>
      </c>
      <c r="J1725">
        <v>1374.604126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1352.4594460000001</v>
      </c>
      <c r="B1726" s="1">
        <f>DATE(2014,1,12) + TIME(11,1,36)</f>
        <v>41651.459444444445</v>
      </c>
      <c r="C1726">
        <v>80</v>
      </c>
      <c r="D1726">
        <v>74.010879517000006</v>
      </c>
      <c r="E1726">
        <v>50</v>
      </c>
      <c r="F1726">
        <v>49.975662231000001</v>
      </c>
      <c r="G1726">
        <v>1299.6169434000001</v>
      </c>
      <c r="H1726">
        <v>1286.3828125</v>
      </c>
      <c r="I1726">
        <v>1394.2319336</v>
      </c>
      <c r="J1726">
        <v>1374.5761719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1354.8639780000001</v>
      </c>
      <c r="B1727" s="1">
        <f>DATE(2014,1,14) + TIME(20,44,7)</f>
        <v>41653.863969907405</v>
      </c>
      <c r="C1727">
        <v>80</v>
      </c>
      <c r="D1727">
        <v>73.861953735</v>
      </c>
      <c r="E1727">
        <v>50</v>
      </c>
      <c r="F1727">
        <v>49.975696564000003</v>
      </c>
      <c r="G1727">
        <v>1299.4425048999999</v>
      </c>
      <c r="H1727">
        <v>1286.1513672000001</v>
      </c>
      <c r="I1727">
        <v>1394.1976318</v>
      </c>
      <c r="J1727">
        <v>1374.5485839999999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1357.3023880000001</v>
      </c>
      <c r="B1728" s="1">
        <f>DATE(2014,1,17) + TIME(7,15,26)</f>
        <v>41656.302384259259</v>
      </c>
      <c r="C1728">
        <v>80</v>
      </c>
      <c r="D1728">
        <v>73.711288452000005</v>
      </c>
      <c r="E1728">
        <v>50</v>
      </c>
      <c r="F1728">
        <v>49.975730896000002</v>
      </c>
      <c r="G1728">
        <v>1299.2612305</v>
      </c>
      <c r="H1728">
        <v>1285.9101562000001</v>
      </c>
      <c r="I1728">
        <v>1394.1636963000001</v>
      </c>
      <c r="J1728">
        <v>1374.5211182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1359.767241</v>
      </c>
      <c r="B1729" s="1">
        <f>DATE(2014,1,19) + TIME(18,24,49)</f>
        <v>41658.767233796294</v>
      </c>
      <c r="C1729">
        <v>80</v>
      </c>
      <c r="D1729">
        <v>73.558891295999999</v>
      </c>
      <c r="E1729">
        <v>50</v>
      </c>
      <c r="F1729">
        <v>49.975769043</v>
      </c>
      <c r="G1729">
        <v>1299.0733643000001</v>
      </c>
      <c r="H1729">
        <v>1285.6590576000001</v>
      </c>
      <c r="I1729">
        <v>1394.130249</v>
      </c>
      <c r="J1729">
        <v>1374.4940185999999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1362.264324</v>
      </c>
      <c r="B1730" s="1">
        <f>DATE(2014,1,22) + TIME(6,20,37)</f>
        <v>41661.264317129629</v>
      </c>
      <c r="C1730">
        <v>80</v>
      </c>
      <c r="D1730">
        <v>73.404739379999995</v>
      </c>
      <c r="E1730">
        <v>50</v>
      </c>
      <c r="F1730">
        <v>49.975803374999998</v>
      </c>
      <c r="G1730">
        <v>1298.8792725000001</v>
      </c>
      <c r="H1730">
        <v>1285.3985596</v>
      </c>
      <c r="I1730">
        <v>1394.097168</v>
      </c>
      <c r="J1730">
        <v>1374.4672852000001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1364.7970800000001</v>
      </c>
      <c r="B1731" s="1">
        <f>DATE(2014,1,24) + TIME(19,7,47)</f>
        <v>41663.797071759262</v>
      </c>
      <c r="C1731">
        <v>80</v>
      </c>
      <c r="D1731">
        <v>73.248382567999997</v>
      </c>
      <c r="E1731">
        <v>50</v>
      </c>
      <c r="F1731">
        <v>49.975841522000003</v>
      </c>
      <c r="G1731">
        <v>1298.6783447</v>
      </c>
      <c r="H1731">
        <v>1285.1280518000001</v>
      </c>
      <c r="I1731">
        <v>1394.0644531</v>
      </c>
      <c r="J1731">
        <v>1374.4407959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1367.3625420000001</v>
      </c>
      <c r="B1732" s="1">
        <f>DATE(2014,1,27) + TIME(8,42,3)</f>
        <v>41666.362534722219</v>
      </c>
      <c r="C1732">
        <v>80</v>
      </c>
      <c r="D1732">
        <v>73.089454650999997</v>
      </c>
      <c r="E1732">
        <v>50</v>
      </c>
      <c r="F1732">
        <v>49.975879669000001</v>
      </c>
      <c r="G1732">
        <v>1298.4704589999999</v>
      </c>
      <c r="H1732">
        <v>1284.847168</v>
      </c>
      <c r="I1732">
        <v>1394.0322266000001</v>
      </c>
      <c r="J1732">
        <v>1374.4144286999999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1369.966195</v>
      </c>
      <c r="B1733" s="1">
        <f>DATE(2014,1,29) + TIME(23,11,19)</f>
        <v>41668.966192129628</v>
      </c>
      <c r="C1733">
        <v>80</v>
      </c>
      <c r="D1733">
        <v>72.927612304999997</v>
      </c>
      <c r="E1733">
        <v>50</v>
      </c>
      <c r="F1733">
        <v>49.975917815999999</v>
      </c>
      <c r="G1733">
        <v>1298.2554932</v>
      </c>
      <c r="H1733">
        <v>1284.5557861</v>
      </c>
      <c r="I1733">
        <v>1394.0002440999999</v>
      </c>
      <c r="J1733">
        <v>1374.3884277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1372</v>
      </c>
      <c r="B1734" s="1">
        <f>DATE(2014,2,1) + TIME(0,0,0)</f>
        <v>41671</v>
      </c>
      <c r="C1734">
        <v>80</v>
      </c>
      <c r="D1734">
        <v>72.772933960000003</v>
      </c>
      <c r="E1734">
        <v>50</v>
      </c>
      <c r="F1734">
        <v>49.975940704000003</v>
      </c>
      <c r="G1734">
        <v>1298.0390625</v>
      </c>
      <c r="H1734">
        <v>1284.2619629000001</v>
      </c>
      <c r="I1734">
        <v>1393.9694824000001</v>
      </c>
      <c r="J1734">
        <v>1374.3634033000001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1374.6472220000001</v>
      </c>
      <c r="B1735" s="1">
        <f>DATE(2014,2,3) + TIME(15,31,59)</f>
        <v>41673.647210648145</v>
      </c>
      <c r="C1735">
        <v>80</v>
      </c>
      <c r="D1735">
        <v>72.626068114999995</v>
      </c>
      <c r="E1735">
        <v>50</v>
      </c>
      <c r="F1735">
        <v>49.975982666</v>
      </c>
      <c r="G1735">
        <v>1297.8494873</v>
      </c>
      <c r="H1735">
        <v>1284.0010986</v>
      </c>
      <c r="I1735">
        <v>1393.9436035000001</v>
      </c>
      <c r="J1735">
        <v>1374.3420410000001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1377.368021</v>
      </c>
      <c r="B1736" s="1">
        <f>DATE(2014,2,6) + TIME(8,49,56)</f>
        <v>41676.368009259262</v>
      </c>
      <c r="C1736">
        <v>80</v>
      </c>
      <c r="D1736">
        <v>72.459388732999997</v>
      </c>
      <c r="E1736">
        <v>50</v>
      </c>
      <c r="F1736">
        <v>49.976024627999998</v>
      </c>
      <c r="G1736">
        <v>1297.6206055</v>
      </c>
      <c r="H1736">
        <v>1283.6889647999999</v>
      </c>
      <c r="I1736">
        <v>1393.9128418</v>
      </c>
      <c r="J1736">
        <v>1374.3167725000001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1380.1177970000001</v>
      </c>
      <c r="B1737" s="1">
        <f>DATE(2014,2,9) + TIME(2,49,37)</f>
        <v>41679.117789351854</v>
      </c>
      <c r="C1737">
        <v>80</v>
      </c>
      <c r="D1737">
        <v>72.283317565999994</v>
      </c>
      <c r="E1737">
        <v>50</v>
      </c>
      <c r="F1737">
        <v>49.976062775000003</v>
      </c>
      <c r="G1737">
        <v>1297.3778076000001</v>
      </c>
      <c r="H1737">
        <v>1283.3560791</v>
      </c>
      <c r="I1737">
        <v>1393.8815918</v>
      </c>
      <c r="J1737">
        <v>1374.2911377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1382.9030299999999</v>
      </c>
      <c r="B1738" s="1">
        <f>DATE(2014,2,11) + TIME(21,40,21)</f>
        <v>41681.903020833335</v>
      </c>
      <c r="C1738">
        <v>80</v>
      </c>
      <c r="D1738">
        <v>72.101516724000007</v>
      </c>
      <c r="E1738">
        <v>50</v>
      </c>
      <c r="F1738">
        <v>49.976100922000001</v>
      </c>
      <c r="G1738">
        <v>1297.1265868999999</v>
      </c>
      <c r="H1738">
        <v>1283.010376</v>
      </c>
      <c r="I1738">
        <v>1393.8505858999999</v>
      </c>
      <c r="J1738">
        <v>1374.265625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1385.7296779999999</v>
      </c>
      <c r="B1739" s="1">
        <f>DATE(2014,2,14) + TIME(17,30,44)</f>
        <v>41684.729675925926</v>
      </c>
      <c r="C1739">
        <v>80</v>
      </c>
      <c r="D1739">
        <v>71.914100646999998</v>
      </c>
      <c r="E1739">
        <v>50</v>
      </c>
      <c r="F1739">
        <v>49.976142883000001</v>
      </c>
      <c r="G1739">
        <v>1296.8676757999999</v>
      </c>
      <c r="H1739">
        <v>1282.652832</v>
      </c>
      <c r="I1739">
        <v>1393.8198242000001</v>
      </c>
      <c r="J1739">
        <v>1374.2402344</v>
      </c>
      <c r="K1739">
        <v>0</v>
      </c>
      <c r="L1739">
        <v>2400</v>
      </c>
      <c r="M1739">
        <v>2400</v>
      </c>
      <c r="N1739">
        <v>0</v>
      </c>
    </row>
    <row r="1740" spans="1:14" x14ac:dyDescent="0.25">
      <c r="A1740">
        <v>1388.603595</v>
      </c>
      <c r="B1740" s="1">
        <f>DATE(2014,2,17) + TIME(14,29,10)</f>
        <v>41687.603587962964</v>
      </c>
      <c r="C1740">
        <v>80</v>
      </c>
      <c r="D1740">
        <v>71.720382689999994</v>
      </c>
      <c r="E1740">
        <v>50</v>
      </c>
      <c r="F1740">
        <v>49.976184844999999</v>
      </c>
      <c r="G1740">
        <v>1296.6005858999999</v>
      </c>
      <c r="H1740">
        <v>1282.2828368999999</v>
      </c>
      <c r="I1740">
        <v>1393.7890625</v>
      </c>
      <c r="J1740">
        <v>1374.2147216999999</v>
      </c>
      <c r="K1740">
        <v>0</v>
      </c>
      <c r="L1740">
        <v>2400</v>
      </c>
      <c r="M1740">
        <v>2400</v>
      </c>
      <c r="N1740">
        <v>0</v>
      </c>
    </row>
    <row r="1741" spans="1:14" x14ac:dyDescent="0.25">
      <c r="A1741">
        <v>1391.5306459999999</v>
      </c>
      <c r="B1741" s="1">
        <f>DATE(2014,2,20) + TIME(12,44,7)</f>
        <v>41690.530636574076</v>
      </c>
      <c r="C1741">
        <v>80</v>
      </c>
      <c r="D1741">
        <v>71.519439696999996</v>
      </c>
      <c r="E1741">
        <v>50</v>
      </c>
      <c r="F1741">
        <v>49.976222991999997</v>
      </c>
      <c r="G1741">
        <v>1296.3248291</v>
      </c>
      <c r="H1741">
        <v>1281.8997803</v>
      </c>
      <c r="I1741">
        <v>1393.7583007999999</v>
      </c>
      <c r="J1741">
        <v>1374.1892089999999</v>
      </c>
      <c r="K1741">
        <v>0</v>
      </c>
      <c r="L1741">
        <v>2400</v>
      </c>
      <c r="M1741">
        <v>2400</v>
      </c>
      <c r="N1741">
        <v>0</v>
      </c>
    </row>
    <row r="1742" spans="1:14" x14ac:dyDescent="0.25">
      <c r="A1742">
        <v>1394.4995389999999</v>
      </c>
      <c r="B1742" s="1">
        <f>DATE(2014,2,23) + TIME(11,59,20)</f>
        <v>41693.499537037038</v>
      </c>
      <c r="C1742">
        <v>80</v>
      </c>
      <c r="D1742">
        <v>71.310501099000007</v>
      </c>
      <c r="E1742">
        <v>50</v>
      </c>
      <c r="F1742">
        <v>49.976264954000001</v>
      </c>
      <c r="G1742">
        <v>1296.0400391000001</v>
      </c>
      <c r="H1742">
        <v>1281.5029297000001</v>
      </c>
      <c r="I1742">
        <v>1393.7275391000001</v>
      </c>
      <c r="J1742">
        <v>1374.1635742000001</v>
      </c>
      <c r="K1742">
        <v>0</v>
      </c>
      <c r="L1742">
        <v>2400</v>
      </c>
      <c r="M1742">
        <v>2400</v>
      </c>
      <c r="N1742">
        <v>0</v>
      </c>
    </row>
    <row r="1743" spans="1:14" x14ac:dyDescent="0.25">
      <c r="A1743">
        <v>1397.5001360000001</v>
      </c>
      <c r="B1743" s="1">
        <f>DATE(2014,2,26) + TIME(12,0,11)</f>
        <v>41696.500127314815</v>
      </c>
      <c r="C1743">
        <v>80</v>
      </c>
      <c r="D1743">
        <v>71.093498229999994</v>
      </c>
      <c r="E1743">
        <v>50</v>
      </c>
      <c r="F1743">
        <v>49.976306915000002</v>
      </c>
      <c r="G1743">
        <v>1295.7469481999999</v>
      </c>
      <c r="H1743">
        <v>1281.0932617000001</v>
      </c>
      <c r="I1743">
        <v>1393.6967772999999</v>
      </c>
      <c r="J1743">
        <v>1374.1379394999999</v>
      </c>
      <c r="K1743">
        <v>0</v>
      </c>
      <c r="L1743">
        <v>2400</v>
      </c>
      <c r="M1743">
        <v>2400</v>
      </c>
      <c r="N1743">
        <v>0</v>
      </c>
    </row>
    <row r="1744" spans="1:14" x14ac:dyDescent="0.25">
      <c r="A1744">
        <v>1400</v>
      </c>
      <c r="B1744" s="1">
        <f>DATE(2014,3,1) + TIME(0,0,0)</f>
        <v>41699</v>
      </c>
      <c r="C1744">
        <v>80</v>
      </c>
      <c r="D1744">
        <v>70.877479553000001</v>
      </c>
      <c r="E1744">
        <v>50</v>
      </c>
      <c r="F1744">
        <v>49.976341247999997</v>
      </c>
      <c r="G1744">
        <v>1295.4514160000001</v>
      </c>
      <c r="H1744">
        <v>1280.6799315999999</v>
      </c>
      <c r="I1744">
        <v>1393.6669922000001</v>
      </c>
      <c r="J1744">
        <v>1374.1131591999999</v>
      </c>
      <c r="K1744">
        <v>0</v>
      </c>
      <c r="L1744">
        <v>2400</v>
      </c>
      <c r="M1744">
        <v>2400</v>
      </c>
      <c r="N1744">
        <v>0</v>
      </c>
    </row>
    <row r="1745" spans="1:14" x14ac:dyDescent="0.25">
      <c r="A1745">
        <v>1403.0391549999999</v>
      </c>
      <c r="B1745" s="1">
        <f>DATE(2014,3,4) + TIME(0,56,23)</f>
        <v>41702.039155092592</v>
      </c>
      <c r="C1745">
        <v>80</v>
      </c>
      <c r="D1745">
        <v>70.669708252000007</v>
      </c>
      <c r="E1745">
        <v>50</v>
      </c>
      <c r="F1745">
        <v>49.976387023999997</v>
      </c>
      <c r="G1745">
        <v>1295.1857910000001</v>
      </c>
      <c r="H1745">
        <v>1280.3038329999999</v>
      </c>
      <c r="I1745">
        <v>1393.6405029</v>
      </c>
      <c r="J1745">
        <v>1374.0906981999999</v>
      </c>
      <c r="K1745">
        <v>0</v>
      </c>
      <c r="L1745">
        <v>2400</v>
      </c>
      <c r="M1745">
        <v>2400</v>
      </c>
      <c r="N1745">
        <v>0</v>
      </c>
    </row>
    <row r="1746" spans="1:14" x14ac:dyDescent="0.25">
      <c r="A1746">
        <v>1406.1660890000001</v>
      </c>
      <c r="B1746" s="1">
        <f>DATE(2014,3,7) + TIME(3,59,10)</f>
        <v>41705.166087962964</v>
      </c>
      <c r="C1746">
        <v>80</v>
      </c>
      <c r="D1746">
        <v>70.433746338000006</v>
      </c>
      <c r="E1746">
        <v>50</v>
      </c>
      <c r="F1746">
        <v>49.976428986000002</v>
      </c>
      <c r="G1746">
        <v>1294.8798827999999</v>
      </c>
      <c r="H1746">
        <v>1279.8739014</v>
      </c>
      <c r="I1746">
        <v>1393.6103516000001</v>
      </c>
      <c r="J1746">
        <v>1374.0654297000001</v>
      </c>
      <c r="K1746">
        <v>0</v>
      </c>
      <c r="L1746">
        <v>2400</v>
      </c>
      <c r="M1746">
        <v>2400</v>
      </c>
      <c r="N1746">
        <v>0</v>
      </c>
    </row>
    <row r="1747" spans="1:14" x14ac:dyDescent="0.25">
      <c r="A1747">
        <v>1409.345145</v>
      </c>
      <c r="B1747" s="1">
        <f>DATE(2014,3,10) + TIME(8,17,0)</f>
        <v>41708.345138888886</v>
      </c>
      <c r="C1747">
        <v>80</v>
      </c>
      <c r="D1747">
        <v>70.181037903000004</v>
      </c>
      <c r="E1747">
        <v>50</v>
      </c>
      <c r="F1747">
        <v>49.976474762000002</v>
      </c>
      <c r="G1747">
        <v>1294.5579834</v>
      </c>
      <c r="H1747">
        <v>1279.4193115</v>
      </c>
      <c r="I1747">
        <v>1393.5795897999999</v>
      </c>
      <c r="J1747">
        <v>1374.0395507999999</v>
      </c>
      <c r="K1747">
        <v>0</v>
      </c>
      <c r="L1747">
        <v>2400</v>
      </c>
      <c r="M1747">
        <v>2400</v>
      </c>
      <c r="N1747">
        <v>0</v>
      </c>
    </row>
    <row r="1748" spans="1:14" x14ac:dyDescent="0.25">
      <c r="A1748">
        <v>1412.569015</v>
      </c>
      <c r="B1748" s="1">
        <f>DATE(2014,3,13) + TIME(13,39,22)</f>
        <v>41711.569004629629</v>
      </c>
      <c r="C1748">
        <v>80</v>
      </c>
      <c r="D1748">
        <v>69.915481567</v>
      </c>
      <c r="E1748">
        <v>50</v>
      </c>
      <c r="F1748">
        <v>49.976516724</v>
      </c>
      <c r="G1748">
        <v>1294.2259521000001</v>
      </c>
      <c r="H1748">
        <v>1278.9488524999999</v>
      </c>
      <c r="I1748">
        <v>1393.5485839999999</v>
      </c>
      <c r="J1748">
        <v>1374.0134277</v>
      </c>
      <c r="K1748">
        <v>0</v>
      </c>
      <c r="L1748">
        <v>2400</v>
      </c>
      <c r="M1748">
        <v>2400</v>
      </c>
      <c r="N1748">
        <v>0</v>
      </c>
    </row>
    <row r="1749" spans="1:14" x14ac:dyDescent="0.25">
      <c r="A1749">
        <v>1415.8448579999999</v>
      </c>
      <c r="B1749" s="1">
        <f>DATE(2014,3,16) + TIME(20,16,35)</f>
        <v>41714.844849537039</v>
      </c>
      <c r="C1749">
        <v>80</v>
      </c>
      <c r="D1749">
        <v>69.636947632000002</v>
      </c>
      <c r="E1749">
        <v>50</v>
      </c>
      <c r="F1749">
        <v>49.9765625</v>
      </c>
      <c r="G1749">
        <v>1293.8857422000001</v>
      </c>
      <c r="H1749">
        <v>1278.4649658000001</v>
      </c>
      <c r="I1749">
        <v>1393.5174560999999</v>
      </c>
      <c r="J1749">
        <v>1373.9869385</v>
      </c>
      <c r="K1749">
        <v>0</v>
      </c>
      <c r="L1749">
        <v>2400</v>
      </c>
      <c r="M1749">
        <v>2400</v>
      </c>
      <c r="N1749">
        <v>0</v>
      </c>
    </row>
    <row r="1750" spans="1:14" x14ac:dyDescent="0.25">
      <c r="A1750">
        <v>1419.1798610000001</v>
      </c>
      <c r="B1750" s="1">
        <f>DATE(2014,3,20) + TIME(4,18,59)</f>
        <v>41718.179849537039</v>
      </c>
      <c r="C1750">
        <v>80</v>
      </c>
      <c r="D1750">
        <v>69.344520568999997</v>
      </c>
      <c r="E1750">
        <v>50</v>
      </c>
      <c r="F1750">
        <v>49.976608276</v>
      </c>
      <c r="G1750">
        <v>1293.5368652</v>
      </c>
      <c r="H1750">
        <v>1277.9674072</v>
      </c>
      <c r="I1750">
        <v>1393.4860839999999</v>
      </c>
      <c r="J1750">
        <v>1373.9603271000001</v>
      </c>
      <c r="K1750">
        <v>0</v>
      </c>
      <c r="L1750">
        <v>2400</v>
      </c>
      <c r="M1750">
        <v>2400</v>
      </c>
      <c r="N1750">
        <v>0</v>
      </c>
    </row>
    <row r="1751" spans="1:14" x14ac:dyDescent="0.25">
      <c r="A1751">
        <v>1422.581582</v>
      </c>
      <c r="B1751" s="1">
        <f>DATE(2014,3,23) + TIME(13,57,28)</f>
        <v>41721.581574074073</v>
      </c>
      <c r="C1751">
        <v>80</v>
      </c>
      <c r="D1751">
        <v>69.036758422999995</v>
      </c>
      <c r="E1751">
        <v>50</v>
      </c>
      <c r="F1751">
        <v>49.976654052999997</v>
      </c>
      <c r="G1751">
        <v>1293.1790771000001</v>
      </c>
      <c r="H1751">
        <v>1277.4553223</v>
      </c>
      <c r="I1751">
        <v>1393.4543457</v>
      </c>
      <c r="J1751">
        <v>1373.9332274999999</v>
      </c>
      <c r="K1751">
        <v>0</v>
      </c>
      <c r="L1751">
        <v>2400</v>
      </c>
      <c r="M1751">
        <v>2400</v>
      </c>
      <c r="N1751">
        <v>0</v>
      </c>
    </row>
    <row r="1752" spans="1:14" x14ac:dyDescent="0.25">
      <c r="A1752">
        <v>1426.0553990000001</v>
      </c>
      <c r="B1752" s="1">
        <f>DATE(2014,3,27) + TIME(1,19,46)</f>
        <v>41725.055393518516</v>
      </c>
      <c r="C1752">
        <v>80</v>
      </c>
      <c r="D1752">
        <v>68.712226868000002</v>
      </c>
      <c r="E1752">
        <v>50</v>
      </c>
      <c r="F1752">
        <v>49.976699828999998</v>
      </c>
      <c r="G1752">
        <v>1292.8116454999999</v>
      </c>
      <c r="H1752">
        <v>1276.9279785000001</v>
      </c>
      <c r="I1752">
        <v>1393.4221190999999</v>
      </c>
      <c r="J1752">
        <v>1373.9057617000001</v>
      </c>
      <c r="K1752">
        <v>0</v>
      </c>
      <c r="L1752">
        <v>2400</v>
      </c>
      <c r="M1752">
        <v>2400</v>
      </c>
      <c r="N1752">
        <v>0</v>
      </c>
    </row>
    <row r="1753" spans="1:14" x14ac:dyDescent="0.25">
      <c r="A1753">
        <v>1429.583496</v>
      </c>
      <c r="B1753" s="1">
        <f>DATE(2014,3,30) + TIME(14,0,14)</f>
        <v>41728.583495370367</v>
      </c>
      <c r="C1753">
        <v>80</v>
      </c>
      <c r="D1753">
        <v>68.369926453000005</v>
      </c>
      <c r="E1753">
        <v>50</v>
      </c>
      <c r="F1753">
        <v>49.976745604999998</v>
      </c>
      <c r="G1753">
        <v>1292.4344481999999</v>
      </c>
      <c r="H1753">
        <v>1276.3848877</v>
      </c>
      <c r="I1753">
        <v>1393.3895264</v>
      </c>
      <c r="J1753">
        <v>1373.8778076000001</v>
      </c>
      <c r="K1753">
        <v>0</v>
      </c>
      <c r="L1753">
        <v>2400</v>
      </c>
      <c r="M1753">
        <v>2400</v>
      </c>
      <c r="N1753">
        <v>0</v>
      </c>
    </row>
    <row r="1754" spans="1:14" x14ac:dyDescent="0.25">
      <c r="A1754">
        <v>1431</v>
      </c>
      <c r="B1754" s="1">
        <f>DATE(2014,4,1) + TIME(0,0,0)</f>
        <v>41730</v>
      </c>
      <c r="C1754">
        <v>80</v>
      </c>
      <c r="D1754">
        <v>68.082771300999994</v>
      </c>
      <c r="E1754">
        <v>50</v>
      </c>
      <c r="F1754">
        <v>49.976757050000003</v>
      </c>
      <c r="G1754">
        <v>1292.0780029</v>
      </c>
      <c r="H1754">
        <v>1275.8808594</v>
      </c>
      <c r="I1754">
        <v>1393.3623047000001</v>
      </c>
      <c r="J1754">
        <v>1373.8549805</v>
      </c>
      <c r="K1754">
        <v>0</v>
      </c>
      <c r="L1754">
        <v>2400</v>
      </c>
      <c r="M1754">
        <v>2400</v>
      </c>
      <c r="N1754">
        <v>0</v>
      </c>
    </row>
    <row r="1755" spans="1:14" x14ac:dyDescent="0.25">
      <c r="A1755">
        <v>1434.5914339999999</v>
      </c>
      <c r="B1755" s="1">
        <f>DATE(2014,4,4) + TIME(14,11,39)</f>
        <v>41733.591423611113</v>
      </c>
      <c r="C1755">
        <v>80</v>
      </c>
      <c r="D1755">
        <v>67.836700438999998</v>
      </c>
      <c r="E1755">
        <v>50</v>
      </c>
      <c r="F1755">
        <v>49.976810454999999</v>
      </c>
      <c r="G1755">
        <v>1291.8687743999999</v>
      </c>
      <c r="H1755">
        <v>1275.5587158000001</v>
      </c>
      <c r="I1755">
        <v>1393.3416748</v>
      </c>
      <c r="J1755">
        <v>1373.8364257999999</v>
      </c>
      <c r="K1755">
        <v>0</v>
      </c>
      <c r="L1755">
        <v>2400</v>
      </c>
      <c r="M1755">
        <v>2400</v>
      </c>
      <c r="N1755">
        <v>0</v>
      </c>
    </row>
    <row r="1756" spans="1:14" x14ac:dyDescent="0.25">
      <c r="A1756">
        <v>1438.2876799999999</v>
      </c>
      <c r="B1756" s="1">
        <f>DATE(2014,4,8) + TIME(6,54,15)</f>
        <v>41737.287673611114</v>
      </c>
      <c r="C1756">
        <v>80</v>
      </c>
      <c r="D1756">
        <v>67.472854613999999</v>
      </c>
      <c r="E1756">
        <v>50</v>
      </c>
      <c r="F1756">
        <v>49.976860045999999</v>
      </c>
      <c r="G1756">
        <v>1291.4952393000001</v>
      </c>
      <c r="H1756">
        <v>1275.0230713000001</v>
      </c>
      <c r="I1756">
        <v>1393.3092041</v>
      </c>
      <c r="J1756">
        <v>1373.8084716999999</v>
      </c>
      <c r="K1756">
        <v>0</v>
      </c>
      <c r="L1756">
        <v>2400</v>
      </c>
      <c r="M1756">
        <v>2400</v>
      </c>
      <c r="N1756">
        <v>0</v>
      </c>
    </row>
    <row r="1757" spans="1:14" x14ac:dyDescent="0.25">
      <c r="A1757">
        <v>1442.069428</v>
      </c>
      <c r="B1757" s="1">
        <f>DATE(2014,4,12) + TIME(1,39,58)</f>
        <v>41741.069421296299</v>
      </c>
      <c r="C1757">
        <v>80</v>
      </c>
      <c r="D1757">
        <v>67.068809509000005</v>
      </c>
      <c r="E1757">
        <v>50</v>
      </c>
      <c r="F1757">
        <v>49.976909636999999</v>
      </c>
      <c r="G1757">
        <v>1291.0931396000001</v>
      </c>
      <c r="H1757">
        <v>1274.4385986</v>
      </c>
      <c r="I1757">
        <v>1393.2750243999999</v>
      </c>
      <c r="J1757">
        <v>1373.7789307</v>
      </c>
      <c r="K1757">
        <v>0</v>
      </c>
      <c r="L1757">
        <v>2400</v>
      </c>
      <c r="M1757">
        <v>2400</v>
      </c>
      <c r="N1757">
        <v>0</v>
      </c>
    </row>
    <row r="1758" spans="1:14" x14ac:dyDescent="0.25">
      <c r="A1758">
        <v>1445.9488120000001</v>
      </c>
      <c r="B1758" s="1">
        <f>DATE(2014,4,15) + TIME(22,46,17)</f>
        <v>41744.948807870373</v>
      </c>
      <c r="C1758">
        <v>80</v>
      </c>
      <c r="D1758">
        <v>66.639549255000006</v>
      </c>
      <c r="E1758">
        <v>50</v>
      </c>
      <c r="F1758">
        <v>49.976959229000002</v>
      </c>
      <c r="G1758">
        <v>1290.6782227000001</v>
      </c>
      <c r="H1758">
        <v>1273.8321533000001</v>
      </c>
      <c r="I1758">
        <v>1393.2399902</v>
      </c>
      <c r="J1758">
        <v>1373.7484131000001</v>
      </c>
      <c r="K1758">
        <v>0</v>
      </c>
      <c r="L1758">
        <v>2400</v>
      </c>
      <c r="M1758">
        <v>2400</v>
      </c>
      <c r="N1758">
        <v>0</v>
      </c>
    </row>
    <row r="1759" spans="1:14" x14ac:dyDescent="0.25">
      <c r="A1759">
        <v>1449.9104520000001</v>
      </c>
      <c r="B1759" s="1">
        <f>DATE(2014,4,19) + TIME(21,51,3)</f>
        <v>41748.910451388889</v>
      </c>
      <c r="C1759">
        <v>80</v>
      </c>
      <c r="D1759">
        <v>66.185691833000007</v>
      </c>
      <c r="E1759">
        <v>50</v>
      </c>
      <c r="F1759">
        <v>49.977008820000002</v>
      </c>
      <c r="G1759">
        <v>1290.2524414</v>
      </c>
      <c r="H1759">
        <v>1273.2076416</v>
      </c>
      <c r="I1759">
        <v>1393.2039795000001</v>
      </c>
      <c r="J1759">
        <v>1373.7170410000001</v>
      </c>
      <c r="K1759">
        <v>0</v>
      </c>
      <c r="L1759">
        <v>2400</v>
      </c>
      <c r="M1759">
        <v>2400</v>
      </c>
      <c r="N1759">
        <v>0</v>
      </c>
    </row>
    <row r="1760" spans="1:14" x14ac:dyDescent="0.25">
      <c r="A1760">
        <v>1453.9639669999999</v>
      </c>
      <c r="B1760" s="1">
        <f>DATE(2014,4,23) + TIME(23,8,6)</f>
        <v>41752.963958333334</v>
      </c>
      <c r="C1760">
        <v>80</v>
      </c>
      <c r="D1760">
        <v>65.708694457999997</v>
      </c>
      <c r="E1760">
        <v>50</v>
      </c>
      <c r="F1760">
        <v>49.977058411000002</v>
      </c>
      <c r="G1760">
        <v>1289.8181152</v>
      </c>
      <c r="H1760">
        <v>1272.5681152</v>
      </c>
      <c r="I1760">
        <v>1393.1672363</v>
      </c>
      <c r="J1760">
        <v>1373.6848144999999</v>
      </c>
      <c r="K1760">
        <v>0</v>
      </c>
      <c r="L1760">
        <v>2400</v>
      </c>
      <c r="M1760">
        <v>2400</v>
      </c>
      <c r="N1760">
        <v>0</v>
      </c>
    </row>
    <row r="1761" spans="1:14" x14ac:dyDescent="0.25">
      <c r="A1761">
        <v>1458.1231270000001</v>
      </c>
      <c r="B1761" s="1">
        <f>DATE(2014,4,28) + TIME(2,57,18)</f>
        <v>41757.123124999998</v>
      </c>
      <c r="C1761">
        <v>80</v>
      </c>
      <c r="D1761">
        <v>65.206901549999998</v>
      </c>
      <c r="E1761">
        <v>50</v>
      </c>
      <c r="F1761">
        <v>49.977111815999997</v>
      </c>
      <c r="G1761">
        <v>1289.3752440999999</v>
      </c>
      <c r="H1761">
        <v>1271.9134521000001</v>
      </c>
      <c r="I1761">
        <v>1393.1293945</v>
      </c>
      <c r="J1761">
        <v>1373.6516113</v>
      </c>
      <c r="K1761">
        <v>0</v>
      </c>
      <c r="L1761">
        <v>2400</v>
      </c>
      <c r="M1761">
        <v>2400</v>
      </c>
      <c r="N1761">
        <v>0</v>
      </c>
    </row>
    <row r="1762" spans="1:14" x14ac:dyDescent="0.25">
      <c r="A1762">
        <v>1461</v>
      </c>
      <c r="B1762" s="1">
        <f>DATE(2014,5,1) + TIME(0,0,0)</f>
        <v>41760</v>
      </c>
      <c r="C1762">
        <v>80</v>
      </c>
      <c r="D1762">
        <v>64.712936400999993</v>
      </c>
      <c r="E1762">
        <v>50</v>
      </c>
      <c r="F1762">
        <v>49.977142334</v>
      </c>
      <c r="G1762">
        <v>1288.9337158000001</v>
      </c>
      <c r="H1762">
        <v>1271.2644043</v>
      </c>
      <c r="I1762">
        <v>1393.0936279</v>
      </c>
      <c r="J1762">
        <v>1373.6203613</v>
      </c>
      <c r="K1762">
        <v>0</v>
      </c>
      <c r="L1762">
        <v>2400</v>
      </c>
      <c r="M1762">
        <v>2400</v>
      </c>
      <c r="N1762">
        <v>0</v>
      </c>
    </row>
    <row r="1763" spans="1:14" x14ac:dyDescent="0.25">
      <c r="A1763">
        <v>1461.0000010000001</v>
      </c>
      <c r="B1763" s="1">
        <f>DATE(2014,5,1) + TIME(0,0,0)</f>
        <v>41760</v>
      </c>
      <c r="C1763">
        <v>80</v>
      </c>
      <c r="D1763">
        <v>64.712982178000004</v>
      </c>
      <c r="E1763">
        <v>50</v>
      </c>
      <c r="F1763">
        <v>49.977127074999999</v>
      </c>
      <c r="G1763">
        <v>1307.1396483999999</v>
      </c>
      <c r="H1763">
        <v>1288.9451904</v>
      </c>
      <c r="I1763">
        <v>1373.6105957</v>
      </c>
      <c r="J1763">
        <v>1354.7434082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1461.000004</v>
      </c>
      <c r="B1764" s="1">
        <f>DATE(2014,5,1) + TIME(0,0,0)</f>
        <v>41760</v>
      </c>
      <c r="C1764">
        <v>80</v>
      </c>
      <c r="D1764">
        <v>64.713134765999996</v>
      </c>
      <c r="E1764">
        <v>50</v>
      </c>
      <c r="F1764">
        <v>49.977081298999998</v>
      </c>
      <c r="G1764">
        <v>1307.1700439000001</v>
      </c>
      <c r="H1764">
        <v>1288.9797363</v>
      </c>
      <c r="I1764">
        <v>1373.5810547000001</v>
      </c>
      <c r="J1764">
        <v>1354.7139893000001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1461.0000130000001</v>
      </c>
      <c r="B1765" s="1">
        <f>DATE(2014,5,1) + TIME(0,0,1)</f>
        <v>41760.000011574077</v>
      </c>
      <c r="C1765">
        <v>80</v>
      </c>
      <c r="D1765">
        <v>64.713577271000005</v>
      </c>
      <c r="E1765">
        <v>50</v>
      </c>
      <c r="F1765">
        <v>49.976940155000001</v>
      </c>
      <c r="G1765">
        <v>1307.2606201000001</v>
      </c>
      <c r="H1765">
        <v>1289.0828856999999</v>
      </c>
      <c r="I1765">
        <v>1373.4931641000001</v>
      </c>
      <c r="J1765">
        <v>1354.6259766000001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1461.0000399999999</v>
      </c>
      <c r="B1766" s="1">
        <f>DATE(2014,5,1) + TIME(0,0,3)</f>
        <v>41760.000034722223</v>
      </c>
      <c r="C1766">
        <v>80</v>
      </c>
      <c r="D1766">
        <v>64.714904785000002</v>
      </c>
      <c r="E1766">
        <v>50</v>
      </c>
      <c r="F1766">
        <v>49.976528168000002</v>
      </c>
      <c r="G1766">
        <v>1307.5284423999999</v>
      </c>
      <c r="H1766">
        <v>1289.3870850000001</v>
      </c>
      <c r="I1766">
        <v>1373.2326660000001</v>
      </c>
      <c r="J1766">
        <v>1354.3652344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1461.000121</v>
      </c>
      <c r="B1767" s="1">
        <f>DATE(2014,5,1) + TIME(0,0,10)</f>
        <v>41760.000115740739</v>
      </c>
      <c r="C1767">
        <v>80</v>
      </c>
      <c r="D1767">
        <v>64.718765258999994</v>
      </c>
      <c r="E1767">
        <v>50</v>
      </c>
      <c r="F1767">
        <v>49.975334167</v>
      </c>
      <c r="G1767">
        <v>1308.2994385</v>
      </c>
      <c r="H1767">
        <v>1290.2567139</v>
      </c>
      <c r="I1767">
        <v>1372.4796143000001</v>
      </c>
      <c r="J1767">
        <v>1353.6115723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1461.000364</v>
      </c>
      <c r="B1768" s="1">
        <f>DATE(2014,5,1) + TIME(0,0,31)</f>
        <v>41760.000358796293</v>
      </c>
      <c r="C1768">
        <v>80</v>
      </c>
      <c r="D1768">
        <v>64.729568481000001</v>
      </c>
      <c r="E1768">
        <v>50</v>
      </c>
      <c r="F1768">
        <v>49.972106934000003</v>
      </c>
      <c r="G1768">
        <v>1310.3612060999999</v>
      </c>
      <c r="H1768">
        <v>1292.5424805</v>
      </c>
      <c r="I1768">
        <v>1370.4420166</v>
      </c>
      <c r="J1768">
        <v>1351.5725098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1461.0010930000001</v>
      </c>
      <c r="B1769" s="1">
        <f>DATE(2014,5,1) + TIME(0,1,34)</f>
        <v>41760.001087962963</v>
      </c>
      <c r="C1769">
        <v>80</v>
      </c>
      <c r="D1769">
        <v>64.757415770999998</v>
      </c>
      <c r="E1769">
        <v>50</v>
      </c>
      <c r="F1769">
        <v>49.964630127</v>
      </c>
      <c r="G1769">
        <v>1315.0247803</v>
      </c>
      <c r="H1769">
        <v>1297.5325928</v>
      </c>
      <c r="I1769">
        <v>1365.730957</v>
      </c>
      <c r="J1769">
        <v>1346.8582764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1461.0032799999999</v>
      </c>
      <c r="B1770" s="1">
        <f>DATE(2014,5,1) + TIME(0,4,43)</f>
        <v>41760.003275462965</v>
      </c>
      <c r="C1770">
        <v>80</v>
      </c>
      <c r="D1770">
        <v>64.824409485000004</v>
      </c>
      <c r="E1770">
        <v>50</v>
      </c>
      <c r="F1770">
        <v>49.951511383000003</v>
      </c>
      <c r="G1770">
        <v>1322.9461670000001</v>
      </c>
      <c r="H1770">
        <v>1305.6303711</v>
      </c>
      <c r="I1770">
        <v>1357.4981689000001</v>
      </c>
      <c r="J1770">
        <v>1338.6217041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1461.0098410000001</v>
      </c>
      <c r="B1771" s="1">
        <f>DATE(2014,5,1) + TIME(0,14,10)</f>
        <v>41760.009837962964</v>
      </c>
      <c r="C1771">
        <v>80</v>
      </c>
      <c r="D1771">
        <v>64.990005492999998</v>
      </c>
      <c r="E1771">
        <v>50</v>
      </c>
      <c r="F1771">
        <v>49.934608459000003</v>
      </c>
      <c r="G1771">
        <v>1332.7957764</v>
      </c>
      <c r="H1771">
        <v>1315.432251</v>
      </c>
      <c r="I1771">
        <v>1347.0474853999999</v>
      </c>
      <c r="J1771">
        <v>1328.1695557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1461.029524</v>
      </c>
      <c r="B1772" s="1">
        <f>DATE(2014,5,1) + TIME(0,42,30)</f>
        <v>41760.029513888891</v>
      </c>
      <c r="C1772">
        <v>80</v>
      </c>
      <c r="D1772">
        <v>65.431167603000006</v>
      </c>
      <c r="E1772">
        <v>50</v>
      </c>
      <c r="F1772">
        <v>49.916233063</v>
      </c>
      <c r="G1772">
        <v>1343.0157471</v>
      </c>
      <c r="H1772">
        <v>1325.6270752</v>
      </c>
      <c r="I1772">
        <v>1336.1090088000001</v>
      </c>
      <c r="J1772">
        <v>1317.2331543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1461.0555429999999</v>
      </c>
      <c r="B1773" s="1">
        <f>DATE(2014,5,1) + TIME(1,19,58)</f>
        <v>41760.055532407408</v>
      </c>
      <c r="C1773">
        <v>80</v>
      </c>
      <c r="D1773">
        <v>65.978630065999994</v>
      </c>
      <c r="E1773">
        <v>50</v>
      </c>
      <c r="F1773">
        <v>49.903850554999998</v>
      </c>
      <c r="G1773">
        <v>1349.4074707</v>
      </c>
      <c r="H1773">
        <v>1332.0604248</v>
      </c>
      <c r="I1773">
        <v>1329.2508545000001</v>
      </c>
      <c r="J1773">
        <v>1310.3776855000001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1461.0826099999999</v>
      </c>
      <c r="B1774" s="1">
        <f>DATE(2014,5,1) + TIME(1,58,57)</f>
        <v>41760.082604166666</v>
      </c>
      <c r="C1774">
        <v>80</v>
      </c>
      <c r="D1774">
        <v>66.522125243999994</v>
      </c>
      <c r="E1774">
        <v>50</v>
      </c>
      <c r="F1774">
        <v>49.895225525000001</v>
      </c>
      <c r="G1774">
        <v>1353.4840088000001</v>
      </c>
      <c r="H1774">
        <v>1336.1972656</v>
      </c>
      <c r="I1774">
        <v>1324.8719481999999</v>
      </c>
      <c r="J1774">
        <v>1306.0003661999999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1461.110535</v>
      </c>
      <c r="B1775" s="1">
        <f>DATE(2014,5,1) + TIME(2,39,10)</f>
        <v>41760.110532407409</v>
      </c>
      <c r="C1775">
        <v>80</v>
      </c>
      <c r="D1775">
        <v>67.059356688999998</v>
      </c>
      <c r="E1775">
        <v>50</v>
      </c>
      <c r="F1775">
        <v>49.888385773000003</v>
      </c>
      <c r="G1775">
        <v>1356.4410399999999</v>
      </c>
      <c r="H1775">
        <v>1339.2247314000001</v>
      </c>
      <c r="I1775">
        <v>1321.6877440999999</v>
      </c>
      <c r="J1775">
        <v>1302.8161620999999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1461.139263</v>
      </c>
      <c r="B1776" s="1">
        <f>DATE(2014,5,1) + TIME(3,20,32)</f>
        <v>41760.13925925926</v>
      </c>
      <c r="C1776">
        <v>80</v>
      </c>
      <c r="D1776">
        <v>67.589256286999998</v>
      </c>
      <c r="E1776">
        <v>50</v>
      </c>
      <c r="F1776">
        <v>49.882537841999998</v>
      </c>
      <c r="G1776">
        <v>1358.7597656</v>
      </c>
      <c r="H1776">
        <v>1341.6185303</v>
      </c>
      <c r="I1776">
        <v>1319.1855469</v>
      </c>
      <c r="J1776">
        <v>1300.3122559000001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1461.168782</v>
      </c>
      <c r="B1777" s="1">
        <f>DATE(2014,5,1) + TIME(4,3,2)</f>
        <v>41760.168773148151</v>
      </c>
      <c r="C1777">
        <v>80</v>
      </c>
      <c r="D1777">
        <v>68.111129761000001</v>
      </c>
      <c r="E1777">
        <v>50</v>
      </c>
      <c r="F1777">
        <v>49.877304076999998</v>
      </c>
      <c r="G1777">
        <v>1360.6708983999999</v>
      </c>
      <c r="H1777">
        <v>1343.6070557</v>
      </c>
      <c r="I1777">
        <v>1317.1182861</v>
      </c>
      <c r="J1777">
        <v>1298.2415771000001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1461.199104</v>
      </c>
      <c r="B1778" s="1">
        <f>DATE(2014,5,1) + TIME(4,46,42)</f>
        <v>41760.199097222219</v>
      </c>
      <c r="C1778">
        <v>80</v>
      </c>
      <c r="D1778">
        <v>68.624519348000007</v>
      </c>
      <c r="E1778">
        <v>50</v>
      </c>
      <c r="F1778">
        <v>49.872474670000003</v>
      </c>
      <c r="G1778">
        <v>1362.3012695</v>
      </c>
      <c r="H1778">
        <v>1345.3156738</v>
      </c>
      <c r="I1778">
        <v>1315.3502197</v>
      </c>
      <c r="J1778">
        <v>1296.4685059000001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1461.2302540000001</v>
      </c>
      <c r="B1779" s="1">
        <f>DATE(2014,5,1) + TIME(5,31,33)</f>
        <v>41760.230243055557</v>
      </c>
      <c r="C1779">
        <v>80</v>
      </c>
      <c r="D1779">
        <v>69.129104613999999</v>
      </c>
      <c r="E1779">
        <v>50</v>
      </c>
      <c r="F1779">
        <v>49.867927551000001</v>
      </c>
      <c r="G1779">
        <v>1363.7264404</v>
      </c>
      <c r="H1779">
        <v>1346.8193358999999</v>
      </c>
      <c r="I1779">
        <v>1313.7994385</v>
      </c>
      <c r="J1779">
        <v>1294.9113769999999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1461.2622650000001</v>
      </c>
      <c r="B1780" s="1">
        <f>DATE(2014,5,1) + TIME(6,17,39)</f>
        <v>41760.262256944443</v>
      </c>
      <c r="C1780">
        <v>80</v>
      </c>
      <c r="D1780">
        <v>69.624580382999994</v>
      </c>
      <c r="E1780">
        <v>50</v>
      </c>
      <c r="F1780">
        <v>49.863571167000003</v>
      </c>
      <c r="G1780">
        <v>1364.9953613</v>
      </c>
      <c r="H1780">
        <v>1348.1661377</v>
      </c>
      <c r="I1780">
        <v>1312.4136963000001</v>
      </c>
      <c r="J1780">
        <v>1293.5180664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1461.2951740000001</v>
      </c>
      <c r="B1781" s="1">
        <f>DATE(2014,5,1) + TIME(7,5,3)</f>
        <v>41760.295173611114</v>
      </c>
      <c r="C1781">
        <v>80</v>
      </c>
      <c r="D1781">
        <v>70.110610961999996</v>
      </c>
      <c r="E1781">
        <v>50</v>
      </c>
      <c r="F1781">
        <v>49.859355927000003</v>
      </c>
      <c r="G1781">
        <v>1366.1407471</v>
      </c>
      <c r="H1781">
        <v>1349.3885498</v>
      </c>
      <c r="I1781">
        <v>1311.1573486</v>
      </c>
      <c r="J1781">
        <v>1292.2532959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1461.3290239999999</v>
      </c>
      <c r="B1782" s="1">
        <f>DATE(2014,5,1) + TIME(7,53,47)</f>
        <v>41760.329016203701</v>
      </c>
      <c r="C1782">
        <v>80</v>
      </c>
      <c r="D1782">
        <v>70.586776732999994</v>
      </c>
      <c r="E1782">
        <v>50</v>
      </c>
      <c r="F1782">
        <v>49.855236052999999</v>
      </c>
      <c r="G1782">
        <v>1367.1859131000001</v>
      </c>
      <c r="H1782">
        <v>1350.5095214999999</v>
      </c>
      <c r="I1782">
        <v>1310.0051269999999</v>
      </c>
      <c r="J1782">
        <v>1291.0922852000001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1461.3638639999999</v>
      </c>
      <c r="B1783" s="1">
        <f>DATE(2014,5,1) + TIME(8,43,57)</f>
        <v>41760.363854166666</v>
      </c>
      <c r="C1783">
        <v>80</v>
      </c>
      <c r="D1783">
        <v>71.053092957000004</v>
      </c>
      <c r="E1783">
        <v>50</v>
      </c>
      <c r="F1783">
        <v>49.851184844999999</v>
      </c>
      <c r="G1783">
        <v>1368.1479492000001</v>
      </c>
      <c r="H1783">
        <v>1351.5462646000001</v>
      </c>
      <c r="I1783">
        <v>1308.9389647999999</v>
      </c>
      <c r="J1783">
        <v>1290.0168457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1461.3997469999999</v>
      </c>
      <c r="B1784" s="1">
        <f>DATE(2014,5,1) + TIME(9,35,38)</f>
        <v>41760.399745370371</v>
      </c>
      <c r="C1784">
        <v>80</v>
      </c>
      <c r="D1784">
        <v>71.509361267000003</v>
      </c>
      <c r="E1784">
        <v>50</v>
      </c>
      <c r="F1784">
        <v>49.847175598</v>
      </c>
      <c r="G1784">
        <v>1369.0397949000001</v>
      </c>
      <c r="H1784">
        <v>1352.5112305</v>
      </c>
      <c r="I1784">
        <v>1307.9450684000001</v>
      </c>
      <c r="J1784">
        <v>1289.0134277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1461.436733</v>
      </c>
      <c r="B1785" s="1">
        <f>DATE(2014,5,1) + TIME(10,28,53)</f>
        <v>41760.436724537038</v>
      </c>
      <c r="C1785">
        <v>80</v>
      </c>
      <c r="D1785">
        <v>71.955398560000006</v>
      </c>
      <c r="E1785">
        <v>50</v>
      </c>
      <c r="F1785">
        <v>49.843185425000001</v>
      </c>
      <c r="G1785">
        <v>1369.871582</v>
      </c>
      <c r="H1785">
        <v>1353.4146728999999</v>
      </c>
      <c r="I1785">
        <v>1307.0125731999999</v>
      </c>
      <c r="J1785">
        <v>1288.0716553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1461.4748870000001</v>
      </c>
      <c r="B1786" s="1">
        <f>DATE(2014,5,1) + TIME(11,23,50)</f>
        <v>41760.47488425926</v>
      </c>
      <c r="C1786">
        <v>80</v>
      </c>
      <c r="D1786">
        <v>72.391014099000003</v>
      </c>
      <c r="E1786">
        <v>50</v>
      </c>
      <c r="F1786">
        <v>49.839202880999999</v>
      </c>
      <c r="G1786">
        <v>1370.6512451000001</v>
      </c>
      <c r="H1786">
        <v>1354.2642822</v>
      </c>
      <c r="I1786">
        <v>1306.1334228999999</v>
      </c>
      <c r="J1786">
        <v>1287.1832274999999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1461.514285</v>
      </c>
      <c r="B1787" s="1">
        <f>DATE(2014,5,1) + TIME(12,20,34)</f>
        <v>41760.514282407406</v>
      </c>
      <c r="C1787">
        <v>80</v>
      </c>
      <c r="D1787">
        <v>72.816070557000003</v>
      </c>
      <c r="E1787">
        <v>50</v>
      </c>
      <c r="F1787">
        <v>49.835208893000001</v>
      </c>
      <c r="G1787">
        <v>1371.385376</v>
      </c>
      <c r="H1787">
        <v>1355.0667725000001</v>
      </c>
      <c r="I1787">
        <v>1305.3005370999999</v>
      </c>
      <c r="J1787">
        <v>1286.3414307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1461.5550209999999</v>
      </c>
      <c r="B1788" s="1">
        <f>DATE(2014,5,1) + TIME(13,19,13)</f>
        <v>41760.555011574077</v>
      </c>
      <c r="C1788">
        <v>80</v>
      </c>
      <c r="D1788">
        <v>73.230522156000006</v>
      </c>
      <c r="E1788">
        <v>50</v>
      </c>
      <c r="F1788">
        <v>49.831192016999999</v>
      </c>
      <c r="G1788">
        <v>1372.0794678</v>
      </c>
      <c r="H1788">
        <v>1355.8275146000001</v>
      </c>
      <c r="I1788">
        <v>1304.5084228999999</v>
      </c>
      <c r="J1788">
        <v>1285.5405272999999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1461.5971669999999</v>
      </c>
      <c r="B1789" s="1">
        <f>DATE(2014,5,1) + TIME(14,19,55)</f>
        <v>41760.59716435185</v>
      </c>
      <c r="C1789">
        <v>80</v>
      </c>
      <c r="D1789">
        <v>73.634048461999996</v>
      </c>
      <c r="E1789">
        <v>50</v>
      </c>
      <c r="F1789">
        <v>49.827136993000003</v>
      </c>
      <c r="G1789">
        <v>1372.737793</v>
      </c>
      <c r="H1789">
        <v>1356.5507812000001</v>
      </c>
      <c r="I1789">
        <v>1303.7525635</v>
      </c>
      <c r="J1789">
        <v>1284.7764893000001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1461.6408220000001</v>
      </c>
      <c r="B1790" s="1">
        <f>DATE(2014,5,1) + TIME(15,22,47)</f>
        <v>41760.640821759262</v>
      </c>
      <c r="C1790">
        <v>80</v>
      </c>
      <c r="D1790">
        <v>74.026489257999998</v>
      </c>
      <c r="E1790">
        <v>50</v>
      </c>
      <c r="F1790">
        <v>49.823040009000003</v>
      </c>
      <c r="G1790">
        <v>1373.3641356999999</v>
      </c>
      <c r="H1790">
        <v>1357.2404785000001</v>
      </c>
      <c r="I1790">
        <v>1303.0294189000001</v>
      </c>
      <c r="J1790">
        <v>1284.0452881000001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1461.6860939999999</v>
      </c>
      <c r="B1791" s="1">
        <f>DATE(2014,5,1) + TIME(16,27,58)</f>
        <v>41760.68608796296</v>
      </c>
      <c r="C1791">
        <v>80</v>
      </c>
      <c r="D1791">
        <v>74.407676696999999</v>
      </c>
      <c r="E1791">
        <v>50</v>
      </c>
      <c r="F1791">
        <v>49.818878173999998</v>
      </c>
      <c r="G1791">
        <v>1373.9619141000001</v>
      </c>
      <c r="H1791">
        <v>1357.8997803</v>
      </c>
      <c r="I1791">
        <v>1302.3353271000001</v>
      </c>
      <c r="J1791">
        <v>1283.3436279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1461.7331039999999</v>
      </c>
      <c r="B1792" s="1">
        <f>DATE(2014,5,1) + TIME(17,35,40)</f>
        <v>41760.733101851853</v>
      </c>
      <c r="C1792">
        <v>80</v>
      </c>
      <c r="D1792">
        <v>74.777473450000002</v>
      </c>
      <c r="E1792">
        <v>50</v>
      </c>
      <c r="F1792">
        <v>49.814647675000003</v>
      </c>
      <c r="G1792">
        <v>1374.5339355000001</v>
      </c>
      <c r="H1792">
        <v>1358.5317382999999</v>
      </c>
      <c r="I1792">
        <v>1301.6676024999999</v>
      </c>
      <c r="J1792">
        <v>1282.6685791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1461.781986</v>
      </c>
      <c r="B1793" s="1">
        <f>DATE(2014,5,1) + TIME(18,46,3)</f>
        <v>41760.78197916667</v>
      </c>
      <c r="C1793">
        <v>80</v>
      </c>
      <c r="D1793">
        <v>75.135620117000002</v>
      </c>
      <c r="E1793">
        <v>50</v>
      </c>
      <c r="F1793">
        <v>49.810337066999999</v>
      </c>
      <c r="G1793">
        <v>1375.0826416</v>
      </c>
      <c r="H1793">
        <v>1359.1385498</v>
      </c>
      <c r="I1793">
        <v>1301.0236815999999</v>
      </c>
      <c r="J1793">
        <v>1282.0178223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1461.8328919999999</v>
      </c>
      <c r="B1794" s="1">
        <f>DATE(2014,5,1) + TIME(19,59,21)</f>
        <v>41760.832881944443</v>
      </c>
      <c r="C1794">
        <v>80</v>
      </c>
      <c r="D1794">
        <v>75.481918335000003</v>
      </c>
      <c r="E1794">
        <v>50</v>
      </c>
      <c r="F1794">
        <v>49.805927277000002</v>
      </c>
      <c r="G1794">
        <v>1375.6103516000001</v>
      </c>
      <c r="H1794">
        <v>1359.7226562000001</v>
      </c>
      <c r="I1794">
        <v>1300.4014893000001</v>
      </c>
      <c r="J1794">
        <v>1281.3890381000001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1461.8859930000001</v>
      </c>
      <c r="B1795" s="1">
        <f>DATE(2014,5,1) + TIME(21,15,49)</f>
        <v>41760.885983796295</v>
      </c>
      <c r="C1795">
        <v>80</v>
      </c>
      <c r="D1795">
        <v>75.816368103000002</v>
      </c>
      <c r="E1795">
        <v>50</v>
      </c>
      <c r="F1795">
        <v>49.801410675</v>
      </c>
      <c r="G1795">
        <v>1376.1188964999999</v>
      </c>
      <c r="H1795">
        <v>1360.2860106999999</v>
      </c>
      <c r="I1795">
        <v>1299.7989502</v>
      </c>
      <c r="J1795">
        <v>1280.7803954999999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1461.941482</v>
      </c>
      <c r="B1796" s="1">
        <f>DATE(2014,5,1) + TIME(22,35,44)</f>
        <v>41760.941481481481</v>
      </c>
      <c r="C1796">
        <v>80</v>
      </c>
      <c r="D1796">
        <v>76.138824463000006</v>
      </c>
      <c r="E1796">
        <v>50</v>
      </c>
      <c r="F1796">
        <v>49.796772003000001</v>
      </c>
      <c r="G1796">
        <v>1376.6101074000001</v>
      </c>
      <c r="H1796">
        <v>1360.8304443</v>
      </c>
      <c r="I1796">
        <v>1299.2144774999999</v>
      </c>
      <c r="J1796">
        <v>1280.1900635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1461.999577</v>
      </c>
      <c r="B1797" s="1">
        <f>DATE(2014,5,1) + TIME(23,59,23)</f>
        <v>41760.999571759261</v>
      </c>
      <c r="C1797">
        <v>80</v>
      </c>
      <c r="D1797">
        <v>76.449150084999999</v>
      </c>
      <c r="E1797">
        <v>50</v>
      </c>
      <c r="F1797">
        <v>49.791996001999998</v>
      </c>
      <c r="G1797">
        <v>1377.0856934000001</v>
      </c>
      <c r="H1797">
        <v>1361.3574219</v>
      </c>
      <c r="I1797">
        <v>1298.6463623</v>
      </c>
      <c r="J1797">
        <v>1279.6164550999999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1462.060567</v>
      </c>
      <c r="B1798" s="1">
        <f>DATE(2014,5,2) + TIME(1,27,12)</f>
        <v>41761.060555555552</v>
      </c>
      <c r="C1798">
        <v>80</v>
      </c>
      <c r="D1798">
        <v>76.747375488000003</v>
      </c>
      <c r="E1798">
        <v>50</v>
      </c>
      <c r="F1798">
        <v>49.787059784</v>
      </c>
      <c r="G1798">
        <v>1377.5471190999999</v>
      </c>
      <c r="H1798">
        <v>1361.8687743999999</v>
      </c>
      <c r="I1798">
        <v>1298.0930175999999</v>
      </c>
      <c r="J1798">
        <v>1279.0578613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1462.1247189999999</v>
      </c>
      <c r="B1799" s="1">
        <f>DATE(2014,5,2) + TIME(2,59,35)</f>
        <v>41761.124710648146</v>
      </c>
      <c r="C1799">
        <v>80</v>
      </c>
      <c r="D1799">
        <v>77.033233643000003</v>
      </c>
      <c r="E1799">
        <v>50</v>
      </c>
      <c r="F1799">
        <v>49.781951904000003</v>
      </c>
      <c r="G1799">
        <v>1377.9957274999999</v>
      </c>
      <c r="H1799">
        <v>1362.3654785000001</v>
      </c>
      <c r="I1799">
        <v>1297.5534668</v>
      </c>
      <c r="J1799">
        <v>1278.5131836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1462.19236</v>
      </c>
      <c r="B1800" s="1">
        <f>DATE(2014,5,2) + TIME(4,36,59)</f>
        <v>41761.192349537036</v>
      </c>
      <c r="C1800">
        <v>80</v>
      </c>
      <c r="D1800">
        <v>77.306549071999996</v>
      </c>
      <c r="E1800">
        <v>50</v>
      </c>
      <c r="F1800">
        <v>49.77664566</v>
      </c>
      <c r="G1800">
        <v>1378.4324951000001</v>
      </c>
      <c r="H1800">
        <v>1362.848999</v>
      </c>
      <c r="I1800">
        <v>1297.0264893000001</v>
      </c>
      <c r="J1800">
        <v>1277.9814452999999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1462.26388</v>
      </c>
      <c r="B1801" s="1">
        <f>DATE(2014,5,2) + TIME(6,19,59)</f>
        <v>41761.263877314814</v>
      </c>
      <c r="C1801">
        <v>80</v>
      </c>
      <c r="D1801">
        <v>77.567176818999997</v>
      </c>
      <c r="E1801">
        <v>50</v>
      </c>
      <c r="F1801">
        <v>49.771121979</v>
      </c>
      <c r="G1801">
        <v>1378.8586425999999</v>
      </c>
      <c r="H1801">
        <v>1363.3201904</v>
      </c>
      <c r="I1801">
        <v>1296.5111084</v>
      </c>
      <c r="J1801">
        <v>1277.4614257999999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1462.3397379999999</v>
      </c>
      <c r="B1802" s="1">
        <f>DATE(2014,5,2) + TIME(8,9,13)</f>
        <v>41761.339733796296</v>
      </c>
      <c r="C1802">
        <v>80</v>
      </c>
      <c r="D1802">
        <v>77.814987183</v>
      </c>
      <c r="E1802">
        <v>50</v>
      </c>
      <c r="F1802">
        <v>49.765350341999998</v>
      </c>
      <c r="G1802">
        <v>1379.2752685999999</v>
      </c>
      <c r="H1802">
        <v>1363.7803954999999</v>
      </c>
      <c r="I1802">
        <v>1296.0062256000001</v>
      </c>
      <c r="J1802">
        <v>1276.9522704999999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1462.4204669999999</v>
      </c>
      <c r="B1803" s="1">
        <f>DATE(2014,5,2) + TIME(10,5,28)</f>
        <v>41761.42046296296</v>
      </c>
      <c r="C1803">
        <v>80</v>
      </c>
      <c r="D1803">
        <v>78.049827575999998</v>
      </c>
      <c r="E1803">
        <v>50</v>
      </c>
      <c r="F1803">
        <v>49.759296417000002</v>
      </c>
      <c r="G1803">
        <v>1379.6832274999999</v>
      </c>
      <c r="H1803">
        <v>1364.2303466999999</v>
      </c>
      <c r="I1803">
        <v>1295.5111084</v>
      </c>
      <c r="J1803">
        <v>1276.4530029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1462.506717</v>
      </c>
      <c r="B1804" s="1">
        <f>DATE(2014,5,2) + TIME(12,9,40)</f>
        <v>41761.506712962961</v>
      </c>
      <c r="C1804">
        <v>80</v>
      </c>
      <c r="D1804">
        <v>78.271553040000001</v>
      </c>
      <c r="E1804">
        <v>50</v>
      </c>
      <c r="F1804">
        <v>49.752925873000002</v>
      </c>
      <c r="G1804">
        <v>1380.0834961</v>
      </c>
      <c r="H1804">
        <v>1364.6712646000001</v>
      </c>
      <c r="I1804">
        <v>1295.0250243999999</v>
      </c>
      <c r="J1804">
        <v>1275.9627685999999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1462.5992839999999</v>
      </c>
      <c r="B1805" s="1">
        <f>DATE(2014,5,2) + TIME(14,22,58)</f>
        <v>41761.599282407406</v>
      </c>
      <c r="C1805">
        <v>80</v>
      </c>
      <c r="D1805">
        <v>78.480079650999997</v>
      </c>
      <c r="E1805">
        <v>50</v>
      </c>
      <c r="F1805">
        <v>49.746192932</v>
      </c>
      <c r="G1805">
        <v>1380.4770507999999</v>
      </c>
      <c r="H1805">
        <v>1365.1038818</v>
      </c>
      <c r="I1805">
        <v>1294.5469971</v>
      </c>
      <c r="J1805">
        <v>1275.4808350000001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1462.699134</v>
      </c>
      <c r="B1806" s="1">
        <f>DATE(2014,5,2) + TIME(16,46,45)</f>
        <v>41761.699131944442</v>
      </c>
      <c r="C1806">
        <v>80</v>
      </c>
      <c r="D1806">
        <v>78.675262450999995</v>
      </c>
      <c r="E1806">
        <v>50</v>
      </c>
      <c r="F1806">
        <v>49.739040375000002</v>
      </c>
      <c r="G1806">
        <v>1380.8647461</v>
      </c>
      <c r="H1806">
        <v>1365.5294189000001</v>
      </c>
      <c r="I1806">
        <v>1294.0764160000001</v>
      </c>
      <c r="J1806">
        <v>1275.0064697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1462.8074630000001</v>
      </c>
      <c r="B1807" s="1">
        <f>DATE(2014,5,2) + TIME(19,22,44)</f>
        <v>41761.807453703703</v>
      </c>
      <c r="C1807">
        <v>80</v>
      </c>
      <c r="D1807">
        <v>78.856971740999995</v>
      </c>
      <c r="E1807">
        <v>50</v>
      </c>
      <c r="F1807">
        <v>49.731399535999998</v>
      </c>
      <c r="G1807">
        <v>1381.2475586</v>
      </c>
      <c r="H1807">
        <v>1365.9484863</v>
      </c>
      <c r="I1807">
        <v>1293.6126709</v>
      </c>
      <c r="J1807">
        <v>1274.5390625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1462.925796</v>
      </c>
      <c r="B1808" s="1">
        <f>DATE(2014,5,2) + TIME(22,13,8)</f>
        <v>41761.925787037035</v>
      </c>
      <c r="C1808">
        <v>80</v>
      </c>
      <c r="D1808">
        <v>79.025108337000006</v>
      </c>
      <c r="E1808">
        <v>50</v>
      </c>
      <c r="F1808">
        <v>49.723194122000002</v>
      </c>
      <c r="G1808">
        <v>1381.6260986</v>
      </c>
      <c r="H1808">
        <v>1366.3621826000001</v>
      </c>
      <c r="I1808">
        <v>1293.1552733999999</v>
      </c>
      <c r="J1808">
        <v>1274.078125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1463.046957</v>
      </c>
      <c r="B1809" s="1">
        <f>DATE(2014,5,3) + TIME(1,7,37)</f>
        <v>41762.046956018516</v>
      </c>
      <c r="C1809">
        <v>80</v>
      </c>
      <c r="D1809">
        <v>79.170402526999993</v>
      </c>
      <c r="E1809">
        <v>50</v>
      </c>
      <c r="F1809">
        <v>49.714847564999999</v>
      </c>
      <c r="G1809">
        <v>1381.9766846</v>
      </c>
      <c r="H1809">
        <v>1366.7441406</v>
      </c>
      <c r="I1809">
        <v>1292.7322998</v>
      </c>
      <c r="J1809">
        <v>1273.6518555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1463.169118</v>
      </c>
      <c r="B1810" s="1">
        <f>DATE(2014,5,3) + TIME(4,3,31)</f>
        <v>41762.169108796297</v>
      </c>
      <c r="C1810">
        <v>80</v>
      </c>
      <c r="D1810">
        <v>79.293891907000003</v>
      </c>
      <c r="E1810">
        <v>50</v>
      </c>
      <c r="F1810">
        <v>49.706470490000001</v>
      </c>
      <c r="G1810">
        <v>1382.2966309000001</v>
      </c>
      <c r="H1810">
        <v>1367.0922852000001</v>
      </c>
      <c r="I1810">
        <v>1292.3468018000001</v>
      </c>
      <c r="J1810">
        <v>1273.2633057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1463.292326</v>
      </c>
      <c r="B1811" s="1">
        <f>DATE(2014,5,3) + TIME(7,0,56)</f>
        <v>41762.292314814818</v>
      </c>
      <c r="C1811">
        <v>80</v>
      </c>
      <c r="D1811">
        <v>79.398750304999993</v>
      </c>
      <c r="E1811">
        <v>50</v>
      </c>
      <c r="F1811">
        <v>49.698062897</v>
      </c>
      <c r="G1811">
        <v>1382.5893555</v>
      </c>
      <c r="H1811">
        <v>1367.4105225000001</v>
      </c>
      <c r="I1811">
        <v>1291.9951172000001</v>
      </c>
      <c r="J1811">
        <v>1272.9088135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1463.4167379999999</v>
      </c>
      <c r="B1812" s="1">
        <f>DATE(2014,5,3) + TIME(10,0,6)</f>
        <v>41762.41673611111</v>
      </c>
      <c r="C1812">
        <v>80</v>
      </c>
      <c r="D1812">
        <v>79.487770080999994</v>
      </c>
      <c r="E1812">
        <v>50</v>
      </c>
      <c r="F1812">
        <v>49.689617157000001</v>
      </c>
      <c r="G1812">
        <v>1382.8577881000001</v>
      </c>
      <c r="H1812">
        <v>1367.7021483999999</v>
      </c>
      <c r="I1812">
        <v>1291.6738281</v>
      </c>
      <c r="J1812">
        <v>1272.5849608999999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1463.542678</v>
      </c>
      <c r="B1813" s="1">
        <f>DATE(2014,5,3) + TIME(13,1,27)</f>
        <v>41762.542673611111</v>
      </c>
      <c r="C1813">
        <v>80</v>
      </c>
      <c r="D1813">
        <v>79.563392639</v>
      </c>
      <c r="E1813">
        <v>50</v>
      </c>
      <c r="F1813">
        <v>49.681110382</v>
      </c>
      <c r="G1813">
        <v>1383.1047363</v>
      </c>
      <c r="H1813">
        <v>1367.9703368999999</v>
      </c>
      <c r="I1813">
        <v>1291.3795166</v>
      </c>
      <c r="J1813">
        <v>1272.2883300999999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1463.6704910000001</v>
      </c>
      <c r="B1814" s="1">
        <f>DATE(2014,5,3) + TIME(16,5,30)</f>
        <v>41762.670486111114</v>
      </c>
      <c r="C1814">
        <v>80</v>
      </c>
      <c r="D1814">
        <v>79.627655028999996</v>
      </c>
      <c r="E1814">
        <v>50</v>
      </c>
      <c r="F1814">
        <v>49.672527313000003</v>
      </c>
      <c r="G1814">
        <v>1383.3323975000001</v>
      </c>
      <c r="H1814">
        <v>1368.2177733999999</v>
      </c>
      <c r="I1814">
        <v>1291.1094971</v>
      </c>
      <c r="J1814">
        <v>1272.0161132999999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1463.8004900000001</v>
      </c>
      <c r="B1815" s="1">
        <f>DATE(2014,5,3) + TIME(19,12,42)</f>
        <v>41762.800486111111</v>
      </c>
      <c r="C1815">
        <v>80</v>
      </c>
      <c r="D1815">
        <v>79.682243346999996</v>
      </c>
      <c r="E1815">
        <v>50</v>
      </c>
      <c r="F1815">
        <v>49.663848877</v>
      </c>
      <c r="G1815">
        <v>1383.5428466999999</v>
      </c>
      <c r="H1815">
        <v>1368.4464111</v>
      </c>
      <c r="I1815">
        <v>1290.8615723</v>
      </c>
      <c r="J1815">
        <v>1271.7659911999999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1463.9329680000001</v>
      </c>
      <c r="B1816" s="1">
        <f>DATE(2014,5,3) + TIME(22,23,28)</f>
        <v>41762.932962962965</v>
      </c>
      <c r="C1816">
        <v>80</v>
      </c>
      <c r="D1816">
        <v>79.728569031000006</v>
      </c>
      <c r="E1816">
        <v>50</v>
      </c>
      <c r="F1816">
        <v>49.655056000000002</v>
      </c>
      <c r="G1816">
        <v>1383.7375488</v>
      </c>
      <c r="H1816">
        <v>1368.6579589999999</v>
      </c>
      <c r="I1816">
        <v>1290.6337891000001</v>
      </c>
      <c r="J1816">
        <v>1271.5361327999999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1464.0682589999999</v>
      </c>
      <c r="B1817" s="1">
        <f>DATE(2014,5,4) + TIME(1,38,17)</f>
        <v>41763.068252314813</v>
      </c>
      <c r="C1817">
        <v>80</v>
      </c>
      <c r="D1817">
        <v>79.767845154</v>
      </c>
      <c r="E1817">
        <v>50</v>
      </c>
      <c r="F1817">
        <v>49.646137238000001</v>
      </c>
      <c r="G1817">
        <v>1383.9177245999999</v>
      </c>
      <c r="H1817">
        <v>1368.854126</v>
      </c>
      <c r="I1817">
        <v>1290.4243164</v>
      </c>
      <c r="J1817">
        <v>1271.3248291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1464.2067159999999</v>
      </c>
      <c r="B1818" s="1">
        <f>DATE(2014,5,4) + TIME(4,57,40)</f>
        <v>41763.206712962965</v>
      </c>
      <c r="C1818">
        <v>80</v>
      </c>
      <c r="D1818">
        <v>79.801078795999999</v>
      </c>
      <c r="E1818">
        <v>50</v>
      </c>
      <c r="F1818">
        <v>49.637065886999999</v>
      </c>
      <c r="G1818">
        <v>1384.0845947</v>
      </c>
      <c r="H1818">
        <v>1369.0360106999999</v>
      </c>
      <c r="I1818">
        <v>1290.2319336</v>
      </c>
      <c r="J1818">
        <v>1271.1306152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1464.348714</v>
      </c>
      <c r="B1819" s="1">
        <f>DATE(2014,5,4) + TIME(8,22,8)</f>
        <v>41763.348703703705</v>
      </c>
      <c r="C1819">
        <v>80</v>
      </c>
      <c r="D1819">
        <v>79.829154967999997</v>
      </c>
      <c r="E1819">
        <v>50</v>
      </c>
      <c r="F1819">
        <v>49.627822876000003</v>
      </c>
      <c r="G1819">
        <v>1384.2391356999999</v>
      </c>
      <c r="H1819">
        <v>1369.2048339999999</v>
      </c>
      <c r="I1819">
        <v>1290.0551757999999</v>
      </c>
      <c r="J1819">
        <v>1270.9521483999999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1464.494659</v>
      </c>
      <c r="B1820" s="1">
        <f>DATE(2014,5,4) + TIME(11,52,18)</f>
        <v>41763.494652777779</v>
      </c>
      <c r="C1820">
        <v>80</v>
      </c>
      <c r="D1820">
        <v>79.852821349999999</v>
      </c>
      <c r="E1820">
        <v>50</v>
      </c>
      <c r="F1820">
        <v>49.618385314999998</v>
      </c>
      <c r="G1820">
        <v>1384.3822021000001</v>
      </c>
      <c r="H1820">
        <v>1369.3613281</v>
      </c>
      <c r="I1820">
        <v>1289.8931885</v>
      </c>
      <c r="J1820">
        <v>1270.7883300999999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1464.6449909999999</v>
      </c>
      <c r="B1821" s="1">
        <f>DATE(2014,5,4) + TIME(15,28,47)</f>
        <v>41763.644988425927</v>
      </c>
      <c r="C1821">
        <v>80</v>
      </c>
      <c r="D1821">
        <v>79.872703552000004</v>
      </c>
      <c r="E1821">
        <v>50</v>
      </c>
      <c r="F1821">
        <v>49.608730315999999</v>
      </c>
      <c r="G1821">
        <v>1384.5142822</v>
      </c>
      <c r="H1821">
        <v>1369.5067139</v>
      </c>
      <c r="I1821">
        <v>1289.744751</v>
      </c>
      <c r="J1821">
        <v>1270.6383057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1464.800197</v>
      </c>
      <c r="B1822" s="1">
        <f>DATE(2014,5,4) + TIME(19,12,16)</f>
        <v>41763.800185185188</v>
      </c>
      <c r="C1822">
        <v>80</v>
      </c>
      <c r="D1822">
        <v>79.889366150000001</v>
      </c>
      <c r="E1822">
        <v>50</v>
      </c>
      <c r="F1822">
        <v>49.598827362000002</v>
      </c>
      <c r="G1822">
        <v>1384.6363524999999</v>
      </c>
      <c r="H1822">
        <v>1369.6413574000001</v>
      </c>
      <c r="I1822">
        <v>1289.6091309000001</v>
      </c>
      <c r="J1822">
        <v>1270.5010986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1464.9608149999999</v>
      </c>
      <c r="B1823" s="1">
        <f>DATE(2014,5,4) + TIME(23,3,34)</f>
        <v>41763.960810185185</v>
      </c>
      <c r="C1823">
        <v>80</v>
      </c>
      <c r="D1823">
        <v>79.903282165999997</v>
      </c>
      <c r="E1823">
        <v>50</v>
      </c>
      <c r="F1823">
        <v>49.588653563999998</v>
      </c>
      <c r="G1823">
        <v>1384.7486572</v>
      </c>
      <c r="H1823">
        <v>1369.7659911999999</v>
      </c>
      <c r="I1823">
        <v>1289.4854736</v>
      </c>
      <c r="J1823">
        <v>1270.3759766000001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1465.127481</v>
      </c>
      <c r="B1824" s="1">
        <f>DATE(2014,5,5) + TIME(3,3,34)</f>
        <v>41764.127476851849</v>
      </c>
      <c r="C1824">
        <v>80</v>
      </c>
      <c r="D1824">
        <v>79.914848328000005</v>
      </c>
      <c r="E1824">
        <v>50</v>
      </c>
      <c r="F1824">
        <v>49.578170776</v>
      </c>
      <c r="G1824">
        <v>1384.8516846</v>
      </c>
      <c r="H1824">
        <v>1369.8811035000001</v>
      </c>
      <c r="I1824">
        <v>1289.3731689000001</v>
      </c>
      <c r="J1824">
        <v>1270.262207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1465.3009440000001</v>
      </c>
      <c r="B1825" s="1">
        <f>DATE(2014,5,5) + TIME(7,13,21)</f>
        <v>41764.300937499997</v>
      </c>
      <c r="C1825">
        <v>80</v>
      </c>
      <c r="D1825">
        <v>79.924430846999996</v>
      </c>
      <c r="E1825">
        <v>50</v>
      </c>
      <c r="F1825">
        <v>49.567340850999997</v>
      </c>
      <c r="G1825">
        <v>1384.9460449000001</v>
      </c>
      <c r="H1825">
        <v>1369.9874268000001</v>
      </c>
      <c r="I1825">
        <v>1289.2714844</v>
      </c>
      <c r="J1825">
        <v>1270.1590576000001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1465.4818949999999</v>
      </c>
      <c r="B1826" s="1">
        <f>DATE(2014,5,5) + TIME(11,33,55)</f>
        <v>41764.481886574074</v>
      </c>
      <c r="C1826">
        <v>80</v>
      </c>
      <c r="D1826">
        <v>79.932319641000007</v>
      </c>
      <c r="E1826">
        <v>50</v>
      </c>
      <c r="F1826">
        <v>49.556121826000002</v>
      </c>
      <c r="G1826">
        <v>1385.0319824000001</v>
      </c>
      <c r="H1826">
        <v>1370.0849608999999</v>
      </c>
      <c r="I1826">
        <v>1289.1799315999999</v>
      </c>
      <c r="J1826">
        <v>1270.0660399999999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1465.671233</v>
      </c>
      <c r="B1827" s="1">
        <f>DATE(2014,5,5) + TIME(16,6,34)</f>
        <v>41764.671226851853</v>
      </c>
      <c r="C1827">
        <v>80</v>
      </c>
      <c r="D1827">
        <v>79.938781738000003</v>
      </c>
      <c r="E1827">
        <v>50</v>
      </c>
      <c r="F1827">
        <v>49.544475554999998</v>
      </c>
      <c r="G1827">
        <v>1385.1094971</v>
      </c>
      <c r="H1827">
        <v>1370.1744385</v>
      </c>
      <c r="I1827">
        <v>1289.0980225000001</v>
      </c>
      <c r="J1827">
        <v>1269.9826660000001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1465.869993</v>
      </c>
      <c r="B1828" s="1">
        <f>DATE(2014,5,5) + TIME(20,52,47)</f>
        <v>41764.869988425926</v>
      </c>
      <c r="C1828">
        <v>80</v>
      </c>
      <c r="D1828">
        <v>79.944046021000005</v>
      </c>
      <c r="E1828">
        <v>50</v>
      </c>
      <c r="F1828">
        <v>49.532341002999999</v>
      </c>
      <c r="G1828">
        <v>1385.1791992000001</v>
      </c>
      <c r="H1828">
        <v>1370.2558594</v>
      </c>
      <c r="I1828">
        <v>1289.0252685999999</v>
      </c>
      <c r="J1828">
        <v>1269.9085693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1466.0770199999999</v>
      </c>
      <c r="B1829" s="1">
        <f>DATE(2014,5,6) + TIME(1,50,54)</f>
        <v>41765.077013888891</v>
      </c>
      <c r="C1829">
        <v>80</v>
      </c>
      <c r="D1829">
        <v>79.948272704999994</v>
      </c>
      <c r="E1829">
        <v>50</v>
      </c>
      <c r="F1829">
        <v>49.519771575999997</v>
      </c>
      <c r="G1829">
        <v>1385.2398682</v>
      </c>
      <c r="H1829">
        <v>1370.3283690999999</v>
      </c>
      <c r="I1829">
        <v>1288.9617920000001</v>
      </c>
      <c r="J1829">
        <v>1269.8436279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1466.2929529999999</v>
      </c>
      <c r="B1830" s="1">
        <f>DATE(2014,5,6) + TIME(7,1,51)</f>
        <v>41765.292951388888</v>
      </c>
      <c r="C1830">
        <v>80</v>
      </c>
      <c r="D1830">
        <v>79.951637267999999</v>
      </c>
      <c r="E1830">
        <v>50</v>
      </c>
      <c r="F1830">
        <v>49.506736754999999</v>
      </c>
      <c r="G1830">
        <v>1385.2923584</v>
      </c>
      <c r="H1830">
        <v>1370.3927002</v>
      </c>
      <c r="I1830">
        <v>1288.9069824000001</v>
      </c>
      <c r="J1830">
        <v>1269.7874756000001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1466.5186639999999</v>
      </c>
      <c r="B1831" s="1">
        <f>DATE(2014,5,6) + TIME(12,26,52)</f>
        <v>41765.518657407411</v>
      </c>
      <c r="C1831">
        <v>80</v>
      </c>
      <c r="D1831">
        <v>79.954299926999994</v>
      </c>
      <c r="E1831">
        <v>50</v>
      </c>
      <c r="F1831">
        <v>49.493194580000001</v>
      </c>
      <c r="G1831">
        <v>1385.3369141000001</v>
      </c>
      <c r="H1831">
        <v>1370.4492187999999</v>
      </c>
      <c r="I1831">
        <v>1288.8602295000001</v>
      </c>
      <c r="J1831">
        <v>1269.7393798999999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1466.7552679999999</v>
      </c>
      <c r="B1832" s="1">
        <f>DATE(2014,5,6) + TIME(18,7,35)</f>
        <v>41765.755266203705</v>
      </c>
      <c r="C1832">
        <v>80</v>
      </c>
      <c r="D1832">
        <v>79.956398010000001</v>
      </c>
      <c r="E1832">
        <v>50</v>
      </c>
      <c r="F1832">
        <v>49.479087829999997</v>
      </c>
      <c r="G1832">
        <v>1385.3737793</v>
      </c>
      <c r="H1832">
        <v>1370.4982910000001</v>
      </c>
      <c r="I1832">
        <v>1288.8210449000001</v>
      </c>
      <c r="J1832">
        <v>1269.6988524999999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1467.0040530000001</v>
      </c>
      <c r="B1833" s="1">
        <f>DATE(2014,5,7) + TIME(0,5,50)</f>
        <v>41766.004050925927</v>
      </c>
      <c r="C1833">
        <v>80</v>
      </c>
      <c r="D1833">
        <v>79.958045959000003</v>
      </c>
      <c r="E1833">
        <v>50</v>
      </c>
      <c r="F1833">
        <v>49.464351653999998</v>
      </c>
      <c r="G1833">
        <v>1385.4033202999999</v>
      </c>
      <c r="H1833">
        <v>1370.5401611</v>
      </c>
      <c r="I1833">
        <v>1288.7888184000001</v>
      </c>
      <c r="J1833">
        <v>1269.6651611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1467.2558039999999</v>
      </c>
      <c r="B1834" s="1">
        <f>DATE(2014,5,7) + TIME(6,8,21)</f>
        <v>41766.255798611113</v>
      </c>
      <c r="C1834">
        <v>80</v>
      </c>
      <c r="D1834">
        <v>79.959289550999998</v>
      </c>
      <c r="E1834">
        <v>50</v>
      </c>
      <c r="F1834">
        <v>49.449394226000003</v>
      </c>
      <c r="G1834">
        <v>1385.4229736</v>
      </c>
      <c r="H1834">
        <v>1370.5722656</v>
      </c>
      <c r="I1834">
        <v>1288.7635498</v>
      </c>
      <c r="J1834">
        <v>1269.6386719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1467.5086980000001</v>
      </c>
      <c r="B1835" s="1">
        <f>DATE(2014,5,7) + TIME(12,12,31)</f>
        <v>41766.508692129632</v>
      </c>
      <c r="C1835">
        <v>80</v>
      </c>
      <c r="D1835">
        <v>79.960220336999996</v>
      </c>
      <c r="E1835">
        <v>50</v>
      </c>
      <c r="F1835">
        <v>49.434322356999999</v>
      </c>
      <c r="G1835">
        <v>1385.4350586</v>
      </c>
      <c r="H1835">
        <v>1370.5968018000001</v>
      </c>
      <c r="I1835">
        <v>1288.7445068</v>
      </c>
      <c r="J1835">
        <v>1269.6181641000001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1467.763496</v>
      </c>
      <c r="B1836" s="1">
        <f>DATE(2014,5,7) + TIME(18,19,26)</f>
        <v>41766.763495370367</v>
      </c>
      <c r="C1836">
        <v>80</v>
      </c>
      <c r="D1836">
        <v>79.960922241000006</v>
      </c>
      <c r="E1836">
        <v>50</v>
      </c>
      <c r="F1836">
        <v>49.419124603</v>
      </c>
      <c r="G1836">
        <v>1385.4411620999999</v>
      </c>
      <c r="H1836">
        <v>1370.6149902</v>
      </c>
      <c r="I1836">
        <v>1288.7303466999999</v>
      </c>
      <c r="J1836">
        <v>1269.6027832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1468.020968</v>
      </c>
      <c r="B1837" s="1">
        <f>DATE(2014,5,8) + TIME(0,30,11)</f>
        <v>41767.020960648151</v>
      </c>
      <c r="C1837">
        <v>80</v>
      </c>
      <c r="D1837">
        <v>79.961463928000001</v>
      </c>
      <c r="E1837">
        <v>50</v>
      </c>
      <c r="F1837">
        <v>49.403785706000001</v>
      </c>
      <c r="G1837">
        <v>1385.4420166</v>
      </c>
      <c r="H1837">
        <v>1370.6278076000001</v>
      </c>
      <c r="I1837">
        <v>1288.7204589999999</v>
      </c>
      <c r="J1837">
        <v>1269.5915527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1468.281868</v>
      </c>
      <c r="B1838" s="1">
        <f>DATE(2014,5,8) + TIME(6,45,53)</f>
        <v>41767.281863425924</v>
      </c>
      <c r="C1838">
        <v>80</v>
      </c>
      <c r="D1838">
        <v>79.961875915999997</v>
      </c>
      <c r="E1838">
        <v>50</v>
      </c>
      <c r="F1838">
        <v>49.388278960999997</v>
      </c>
      <c r="G1838">
        <v>1385.4383545000001</v>
      </c>
      <c r="H1838">
        <v>1370.6358643000001</v>
      </c>
      <c r="I1838">
        <v>1288.7139893000001</v>
      </c>
      <c r="J1838">
        <v>1269.5837402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1468.5469579999999</v>
      </c>
      <c r="B1839" s="1">
        <f>DATE(2014,5,8) + TIME(13,7,37)</f>
        <v>41767.546956018516</v>
      </c>
      <c r="C1839">
        <v>80</v>
      </c>
      <c r="D1839">
        <v>79.962196349999999</v>
      </c>
      <c r="E1839">
        <v>50</v>
      </c>
      <c r="F1839">
        <v>49.372573852999999</v>
      </c>
      <c r="G1839">
        <v>1385.4306641000001</v>
      </c>
      <c r="H1839">
        <v>1370.6396483999999</v>
      </c>
      <c r="I1839">
        <v>1288.7102050999999</v>
      </c>
      <c r="J1839">
        <v>1269.5787353999999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1468.8170170000001</v>
      </c>
      <c r="B1840" s="1">
        <f>DATE(2014,5,8) + TIME(19,36,30)</f>
        <v>41767.817013888889</v>
      </c>
      <c r="C1840">
        <v>80</v>
      </c>
      <c r="D1840">
        <v>79.962440490999995</v>
      </c>
      <c r="E1840">
        <v>50</v>
      </c>
      <c r="F1840">
        <v>49.356639862000002</v>
      </c>
      <c r="G1840">
        <v>1385.4190673999999</v>
      </c>
      <c r="H1840">
        <v>1370.6396483999999</v>
      </c>
      <c r="I1840">
        <v>1288.7087402</v>
      </c>
      <c r="J1840">
        <v>1269.5759277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1469.092858</v>
      </c>
      <c r="B1841" s="1">
        <f>DATE(2014,5,9) + TIME(2,13,42)</f>
        <v>41768.092847222222</v>
      </c>
      <c r="C1841">
        <v>80</v>
      </c>
      <c r="D1841">
        <v>79.962631225999999</v>
      </c>
      <c r="E1841">
        <v>50</v>
      </c>
      <c r="F1841">
        <v>49.340442656999997</v>
      </c>
      <c r="G1841">
        <v>1385.4041748</v>
      </c>
      <c r="H1841">
        <v>1370.6362305</v>
      </c>
      <c r="I1841">
        <v>1288.7091064000001</v>
      </c>
      <c r="J1841">
        <v>1269.5749512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1469.3753489999999</v>
      </c>
      <c r="B1842" s="1">
        <f>DATE(2014,5,9) + TIME(9,0,30)</f>
        <v>41768.375347222223</v>
      </c>
      <c r="C1842">
        <v>80</v>
      </c>
      <c r="D1842">
        <v>79.962783813000001</v>
      </c>
      <c r="E1842">
        <v>50</v>
      </c>
      <c r="F1842">
        <v>49.323936461999999</v>
      </c>
      <c r="G1842">
        <v>1385.3861084</v>
      </c>
      <c r="H1842">
        <v>1370.6296387</v>
      </c>
      <c r="I1842">
        <v>1288.7110596</v>
      </c>
      <c r="J1842">
        <v>1269.5754394999999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1469.665428</v>
      </c>
      <c r="B1843" s="1">
        <f>DATE(2014,5,9) + TIME(15,58,13)</f>
        <v>41768.66542824074</v>
      </c>
      <c r="C1843">
        <v>80</v>
      </c>
      <c r="D1843">
        <v>79.962898253999995</v>
      </c>
      <c r="E1843">
        <v>50</v>
      </c>
      <c r="F1843">
        <v>49.307083130000002</v>
      </c>
      <c r="G1843">
        <v>1385.3651123</v>
      </c>
      <c r="H1843">
        <v>1370.6202393000001</v>
      </c>
      <c r="I1843">
        <v>1288.7139893000001</v>
      </c>
      <c r="J1843">
        <v>1269.5771483999999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1469.964213</v>
      </c>
      <c r="B1844" s="1">
        <f>DATE(2014,5,9) + TIME(23,8,28)</f>
        <v>41768.964212962965</v>
      </c>
      <c r="C1844">
        <v>80</v>
      </c>
      <c r="D1844">
        <v>79.962989807</v>
      </c>
      <c r="E1844">
        <v>50</v>
      </c>
      <c r="F1844">
        <v>49.289825438999998</v>
      </c>
      <c r="G1844">
        <v>1385.3413086</v>
      </c>
      <c r="H1844">
        <v>1370.6079102000001</v>
      </c>
      <c r="I1844">
        <v>1288.7178954999999</v>
      </c>
      <c r="J1844">
        <v>1269.5795897999999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1470.2728990000001</v>
      </c>
      <c r="B1845" s="1">
        <f>DATE(2014,5,10) + TIME(6,32,58)</f>
        <v>41769.272893518515</v>
      </c>
      <c r="C1845">
        <v>80</v>
      </c>
      <c r="D1845">
        <v>79.963066100999995</v>
      </c>
      <c r="E1845">
        <v>50</v>
      </c>
      <c r="F1845">
        <v>49.272106170999997</v>
      </c>
      <c r="G1845">
        <v>1385.3148193</v>
      </c>
      <c r="H1845">
        <v>1370.5931396000001</v>
      </c>
      <c r="I1845">
        <v>1288.7224120999999</v>
      </c>
      <c r="J1845">
        <v>1269.5826416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1470.5925729999999</v>
      </c>
      <c r="B1846" s="1">
        <f>DATE(2014,5,10) + TIME(14,13,18)</f>
        <v>41769.592569444445</v>
      </c>
      <c r="C1846">
        <v>80</v>
      </c>
      <c r="D1846">
        <v>79.963119507000002</v>
      </c>
      <c r="E1846">
        <v>50</v>
      </c>
      <c r="F1846">
        <v>49.253871918000002</v>
      </c>
      <c r="G1846">
        <v>1385.2857666</v>
      </c>
      <c r="H1846">
        <v>1370.5758057</v>
      </c>
      <c r="I1846">
        <v>1288.7272949000001</v>
      </c>
      <c r="J1846">
        <v>1269.5860596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1470.9195199999999</v>
      </c>
      <c r="B1847" s="1">
        <f>DATE(2014,5,10) + TIME(22,4,6)</f>
        <v>41769.91951388889</v>
      </c>
      <c r="C1847">
        <v>80</v>
      </c>
      <c r="D1847">
        <v>79.963157654</v>
      </c>
      <c r="E1847">
        <v>50</v>
      </c>
      <c r="F1847">
        <v>49.235260009999998</v>
      </c>
      <c r="G1847">
        <v>1385.2539062000001</v>
      </c>
      <c r="H1847">
        <v>1370.5559082</v>
      </c>
      <c r="I1847">
        <v>1288.7322998</v>
      </c>
      <c r="J1847">
        <v>1269.5894774999999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1471.254737</v>
      </c>
      <c r="B1848" s="1">
        <f>DATE(2014,5,11) + TIME(6,6,49)</f>
        <v>41770.254733796297</v>
      </c>
      <c r="C1848">
        <v>80</v>
      </c>
      <c r="D1848">
        <v>79.963188170999999</v>
      </c>
      <c r="E1848">
        <v>50</v>
      </c>
      <c r="F1848">
        <v>49.216243744000003</v>
      </c>
      <c r="G1848">
        <v>1385.2199707</v>
      </c>
      <c r="H1848">
        <v>1370.5340576000001</v>
      </c>
      <c r="I1848">
        <v>1288.7373047000001</v>
      </c>
      <c r="J1848">
        <v>1269.5930175999999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1471.5992080000001</v>
      </c>
      <c r="B1849" s="1">
        <f>DATE(2014,5,11) + TIME(14,22,51)</f>
        <v>41770.59920138889</v>
      </c>
      <c r="C1849">
        <v>80</v>
      </c>
      <c r="D1849">
        <v>79.963211060000006</v>
      </c>
      <c r="E1849">
        <v>50</v>
      </c>
      <c r="F1849">
        <v>49.196781158</v>
      </c>
      <c r="G1849">
        <v>1385.1842041</v>
      </c>
      <c r="H1849">
        <v>1370.5102539</v>
      </c>
      <c r="I1849">
        <v>1288.7421875</v>
      </c>
      <c r="J1849">
        <v>1269.5961914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1471.954027</v>
      </c>
      <c r="B1850" s="1">
        <f>DATE(2014,5,11) + TIME(22,53,47)</f>
        <v>41770.954016203701</v>
      </c>
      <c r="C1850">
        <v>80</v>
      </c>
      <c r="D1850">
        <v>79.963233947999996</v>
      </c>
      <c r="E1850">
        <v>50</v>
      </c>
      <c r="F1850">
        <v>49.176830291999998</v>
      </c>
      <c r="G1850">
        <v>1385.1466064000001</v>
      </c>
      <c r="H1850">
        <v>1370.4847411999999</v>
      </c>
      <c r="I1850">
        <v>1288.7467041</v>
      </c>
      <c r="J1850">
        <v>1269.5991211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1472.3205</v>
      </c>
      <c r="B1851" s="1">
        <f>DATE(2014,5,12) + TIME(7,41,31)</f>
        <v>41771.320497685185</v>
      </c>
      <c r="C1851">
        <v>80</v>
      </c>
      <c r="D1851">
        <v>79.963241577000005</v>
      </c>
      <c r="E1851">
        <v>50</v>
      </c>
      <c r="F1851">
        <v>49.156341552999997</v>
      </c>
      <c r="G1851">
        <v>1385.1071777</v>
      </c>
      <c r="H1851">
        <v>1370.4573975000001</v>
      </c>
      <c r="I1851">
        <v>1288.7509766000001</v>
      </c>
      <c r="J1851">
        <v>1269.6015625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1472.7001150000001</v>
      </c>
      <c r="B1852" s="1">
        <f>DATE(2014,5,12) + TIME(16,48,9)</f>
        <v>41771.700104166666</v>
      </c>
      <c r="C1852">
        <v>80</v>
      </c>
      <c r="D1852">
        <v>79.963249207000004</v>
      </c>
      <c r="E1852">
        <v>50</v>
      </c>
      <c r="F1852">
        <v>49.135242462000001</v>
      </c>
      <c r="G1852">
        <v>1385.065918</v>
      </c>
      <c r="H1852">
        <v>1370.4284668</v>
      </c>
      <c r="I1852">
        <v>1288.7546387</v>
      </c>
      <c r="J1852">
        <v>1269.6035156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1473.094274</v>
      </c>
      <c r="B1853" s="1">
        <f>DATE(2014,5,13) + TIME(2,15,45)</f>
        <v>41772.094270833331</v>
      </c>
      <c r="C1853">
        <v>80</v>
      </c>
      <c r="D1853">
        <v>79.963249207000004</v>
      </c>
      <c r="E1853">
        <v>50</v>
      </c>
      <c r="F1853">
        <v>49.113475800000003</v>
      </c>
      <c r="G1853">
        <v>1385.0228271000001</v>
      </c>
      <c r="H1853">
        <v>1370.3978271000001</v>
      </c>
      <c r="I1853">
        <v>1288.7579346</v>
      </c>
      <c r="J1853">
        <v>1269.6048584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1473.494839</v>
      </c>
      <c r="B1854" s="1">
        <f>DATE(2014,5,13) + TIME(11,52,34)</f>
        <v>41772.494837962964</v>
      </c>
      <c r="C1854">
        <v>80</v>
      </c>
      <c r="D1854">
        <v>79.963241577000005</v>
      </c>
      <c r="E1854">
        <v>50</v>
      </c>
      <c r="F1854">
        <v>49.091320037999999</v>
      </c>
      <c r="G1854">
        <v>1384.9777832</v>
      </c>
      <c r="H1854">
        <v>1370.3654785000001</v>
      </c>
      <c r="I1854">
        <v>1288.7602539</v>
      </c>
      <c r="J1854">
        <v>1269.6053466999999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1473.898905</v>
      </c>
      <c r="B1855" s="1">
        <f>DATE(2014,5,13) + TIME(21,34,25)</f>
        <v>41772.898900462962</v>
      </c>
      <c r="C1855">
        <v>80</v>
      </c>
      <c r="D1855">
        <v>79.963241577000005</v>
      </c>
      <c r="E1855">
        <v>50</v>
      </c>
      <c r="F1855">
        <v>49.068927764999998</v>
      </c>
      <c r="G1855">
        <v>1384.9318848</v>
      </c>
      <c r="H1855">
        <v>1370.3321533000001</v>
      </c>
      <c r="I1855">
        <v>1288.7618408000001</v>
      </c>
      <c r="J1855">
        <v>1269.6049805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1474.3066690000001</v>
      </c>
      <c r="B1856" s="1">
        <f>DATE(2014,5,14) + TIME(7,21,36)</f>
        <v>41773.306666666664</v>
      </c>
      <c r="C1856">
        <v>80</v>
      </c>
      <c r="D1856">
        <v>79.963233947999996</v>
      </c>
      <c r="E1856">
        <v>50</v>
      </c>
      <c r="F1856">
        <v>49.046333312999998</v>
      </c>
      <c r="G1856">
        <v>1384.8856201000001</v>
      </c>
      <c r="H1856">
        <v>1370.2982178</v>
      </c>
      <c r="I1856">
        <v>1288.7628173999999</v>
      </c>
      <c r="J1856">
        <v>1269.6040039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1474.7192869999999</v>
      </c>
      <c r="B1857" s="1">
        <f>DATE(2014,5,14) + TIME(17,15,46)</f>
        <v>41773.719282407408</v>
      </c>
      <c r="C1857">
        <v>80</v>
      </c>
      <c r="D1857">
        <v>79.963218689000001</v>
      </c>
      <c r="E1857">
        <v>50</v>
      </c>
      <c r="F1857">
        <v>49.023525237999998</v>
      </c>
      <c r="G1857">
        <v>1384.8389893000001</v>
      </c>
      <c r="H1857">
        <v>1370.2639160000001</v>
      </c>
      <c r="I1857">
        <v>1288.7630615</v>
      </c>
      <c r="J1857">
        <v>1269.6022949000001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1475.137923</v>
      </c>
      <c r="B1858" s="1">
        <f>DATE(2014,5,15) + TIME(3,18,36)</f>
        <v>41774.137916666667</v>
      </c>
      <c r="C1858">
        <v>80</v>
      </c>
      <c r="D1858">
        <v>79.963211060000006</v>
      </c>
      <c r="E1858">
        <v>50</v>
      </c>
      <c r="F1858">
        <v>49.000473022000001</v>
      </c>
      <c r="G1858">
        <v>1384.7921143000001</v>
      </c>
      <c r="H1858">
        <v>1370.229126</v>
      </c>
      <c r="I1858">
        <v>1288.7626952999999</v>
      </c>
      <c r="J1858">
        <v>1269.5998535000001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1475.563776</v>
      </c>
      <c r="B1859" s="1">
        <f>DATE(2014,5,15) + TIME(13,31,50)</f>
        <v>41774.563773148147</v>
      </c>
      <c r="C1859">
        <v>80</v>
      </c>
      <c r="D1859">
        <v>79.963195800999998</v>
      </c>
      <c r="E1859">
        <v>50</v>
      </c>
      <c r="F1859">
        <v>48.977142334</v>
      </c>
      <c r="G1859">
        <v>1384.7448730000001</v>
      </c>
      <c r="H1859">
        <v>1370.1939697</v>
      </c>
      <c r="I1859">
        <v>1288.7617187999999</v>
      </c>
      <c r="J1859">
        <v>1269.5966797000001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1475.998098</v>
      </c>
      <c r="B1860" s="1">
        <f>DATE(2014,5,15) + TIME(23,57,15)</f>
        <v>41774.998090277775</v>
      </c>
      <c r="C1860">
        <v>80</v>
      </c>
      <c r="D1860">
        <v>79.963188170999999</v>
      </c>
      <c r="E1860">
        <v>50</v>
      </c>
      <c r="F1860">
        <v>48.953483581999997</v>
      </c>
      <c r="G1860">
        <v>1384.6972656</v>
      </c>
      <c r="H1860">
        <v>1370.1582031</v>
      </c>
      <c r="I1860">
        <v>1288.7600098</v>
      </c>
      <c r="J1860">
        <v>1269.5928954999999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1476.442225</v>
      </c>
      <c r="B1861" s="1">
        <f>DATE(2014,5,16) + TIME(10,36,48)</f>
        <v>41775.44222222222</v>
      </c>
      <c r="C1861">
        <v>80</v>
      </c>
      <c r="D1861">
        <v>79.963172912999994</v>
      </c>
      <c r="E1861">
        <v>50</v>
      </c>
      <c r="F1861">
        <v>48.929439545000001</v>
      </c>
      <c r="G1861">
        <v>1384.6490478999999</v>
      </c>
      <c r="H1861">
        <v>1370.1220702999999</v>
      </c>
      <c r="I1861">
        <v>1288.7578125</v>
      </c>
      <c r="J1861">
        <v>1269.588501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1476.8976</v>
      </c>
      <c r="B1862" s="1">
        <f>DATE(2014,5,16) + TIME(21,32,32)</f>
        <v>41775.897592592592</v>
      </c>
      <c r="C1862">
        <v>80</v>
      </c>
      <c r="D1862">
        <v>79.963165282999995</v>
      </c>
      <c r="E1862">
        <v>50</v>
      </c>
      <c r="F1862">
        <v>48.904945374</v>
      </c>
      <c r="G1862">
        <v>1384.6002197</v>
      </c>
      <c r="H1862">
        <v>1370.0853271000001</v>
      </c>
      <c r="I1862">
        <v>1288.7548827999999</v>
      </c>
      <c r="J1862">
        <v>1269.583374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1477.365812</v>
      </c>
      <c r="B1863" s="1">
        <f>DATE(2014,5,17) + TIME(8,46,46)</f>
        <v>41776.365810185183</v>
      </c>
      <c r="C1863">
        <v>80</v>
      </c>
      <c r="D1863">
        <v>79.963150024000001</v>
      </c>
      <c r="E1863">
        <v>50</v>
      </c>
      <c r="F1863">
        <v>48.879932404000002</v>
      </c>
      <c r="G1863">
        <v>1384.5507812000001</v>
      </c>
      <c r="H1863">
        <v>1370.0478516000001</v>
      </c>
      <c r="I1863">
        <v>1288.7514647999999</v>
      </c>
      <c r="J1863">
        <v>1269.5775146000001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1477.848978</v>
      </c>
      <c r="B1864" s="1">
        <f>DATE(2014,5,17) + TIME(20,22,31)</f>
        <v>41776.848969907405</v>
      </c>
      <c r="C1864">
        <v>80</v>
      </c>
      <c r="D1864">
        <v>79.963134765999996</v>
      </c>
      <c r="E1864">
        <v>50</v>
      </c>
      <c r="F1864">
        <v>48.854312897</v>
      </c>
      <c r="G1864">
        <v>1384.5004882999999</v>
      </c>
      <c r="H1864">
        <v>1370.0097656</v>
      </c>
      <c r="I1864">
        <v>1288.7473144999999</v>
      </c>
      <c r="J1864">
        <v>1269.5710449000001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1478.3472059999999</v>
      </c>
      <c r="B1865" s="1">
        <f>DATE(2014,5,18) + TIME(8,19,58)</f>
        <v>41777.347199074073</v>
      </c>
      <c r="C1865">
        <v>80</v>
      </c>
      <c r="D1865">
        <v>79.963119507000002</v>
      </c>
      <c r="E1865">
        <v>50</v>
      </c>
      <c r="F1865">
        <v>48.828056334999999</v>
      </c>
      <c r="G1865">
        <v>1384.4493408000001</v>
      </c>
      <c r="H1865">
        <v>1369.9708252</v>
      </c>
      <c r="I1865">
        <v>1288.7426757999999</v>
      </c>
      <c r="J1865">
        <v>1269.5638428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1478.8536879999999</v>
      </c>
      <c r="B1866" s="1">
        <f>DATE(2014,5,18) + TIME(20,29,18)</f>
        <v>41777.853680555556</v>
      </c>
      <c r="C1866">
        <v>80</v>
      </c>
      <c r="D1866">
        <v>79.963104247999993</v>
      </c>
      <c r="E1866">
        <v>50</v>
      </c>
      <c r="F1866">
        <v>48.801368713000002</v>
      </c>
      <c r="G1866">
        <v>1384.3973389</v>
      </c>
      <c r="H1866">
        <v>1369.9311522999999</v>
      </c>
      <c r="I1866">
        <v>1288.7373047000001</v>
      </c>
      <c r="J1866">
        <v>1269.5559082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1479.3687239999999</v>
      </c>
      <c r="B1867" s="1">
        <f>DATE(2014,5,19) + TIME(8,50,57)</f>
        <v>41778.368715277778</v>
      </c>
      <c r="C1867">
        <v>80</v>
      </c>
      <c r="D1867">
        <v>79.963088988999999</v>
      </c>
      <c r="E1867">
        <v>50</v>
      </c>
      <c r="F1867">
        <v>48.774284363</v>
      </c>
      <c r="G1867">
        <v>1384.3452147999999</v>
      </c>
      <c r="H1867">
        <v>1369.8913574000001</v>
      </c>
      <c r="I1867">
        <v>1288.7314452999999</v>
      </c>
      <c r="J1867">
        <v>1269.5473632999999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1479.8936349999999</v>
      </c>
      <c r="B1868" s="1">
        <f>DATE(2014,5,19) + TIME(21,26,50)</f>
        <v>41778.893634259257</v>
      </c>
      <c r="C1868">
        <v>80</v>
      </c>
      <c r="D1868">
        <v>79.963073730000005</v>
      </c>
      <c r="E1868">
        <v>50</v>
      </c>
      <c r="F1868">
        <v>48.74679184</v>
      </c>
      <c r="G1868">
        <v>1384.2929687999999</v>
      </c>
      <c r="H1868">
        <v>1369.8513184000001</v>
      </c>
      <c r="I1868">
        <v>1288.7250977000001</v>
      </c>
      <c r="J1868">
        <v>1269.5383300999999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1480.4298160000001</v>
      </c>
      <c r="B1869" s="1">
        <f>DATE(2014,5,20) + TIME(10,18,56)</f>
        <v>41779.429814814815</v>
      </c>
      <c r="C1869">
        <v>80</v>
      </c>
      <c r="D1869">
        <v>79.963058472</v>
      </c>
      <c r="E1869">
        <v>50</v>
      </c>
      <c r="F1869">
        <v>48.718852996999999</v>
      </c>
      <c r="G1869">
        <v>1384.2406006000001</v>
      </c>
      <c r="H1869">
        <v>1369.8111572</v>
      </c>
      <c r="I1869">
        <v>1288.7182617000001</v>
      </c>
      <c r="J1869">
        <v>1269.5286865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1480.977699</v>
      </c>
      <c r="B1870" s="1">
        <f>DATE(2014,5,20) + TIME(23,27,53)</f>
        <v>41779.977696759262</v>
      </c>
      <c r="C1870">
        <v>80</v>
      </c>
      <c r="D1870">
        <v>79.963050842000001</v>
      </c>
      <c r="E1870">
        <v>50</v>
      </c>
      <c r="F1870">
        <v>48.690452575999998</v>
      </c>
      <c r="G1870">
        <v>1384.1878661999999</v>
      </c>
      <c r="H1870">
        <v>1369.7706298999999</v>
      </c>
      <c r="I1870">
        <v>1288.7109375</v>
      </c>
      <c r="J1870">
        <v>1269.5185547000001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1481.530025</v>
      </c>
      <c r="B1871" s="1">
        <f>DATE(2014,5,21) + TIME(12,43,14)</f>
        <v>41780.530023148145</v>
      </c>
      <c r="C1871">
        <v>80</v>
      </c>
      <c r="D1871">
        <v>79.963035583000007</v>
      </c>
      <c r="E1871">
        <v>50</v>
      </c>
      <c r="F1871">
        <v>48.661811829000001</v>
      </c>
      <c r="G1871">
        <v>1384.1350098</v>
      </c>
      <c r="H1871">
        <v>1369.7299805</v>
      </c>
      <c r="I1871">
        <v>1288.703125</v>
      </c>
      <c r="J1871">
        <v>1269.5078125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1482.0884430000001</v>
      </c>
      <c r="B1872" s="1">
        <f>DATE(2014,5,22) + TIME(2,7,21)</f>
        <v>41781.088437500002</v>
      </c>
      <c r="C1872">
        <v>80</v>
      </c>
      <c r="D1872">
        <v>79.963020325000002</v>
      </c>
      <c r="E1872">
        <v>50</v>
      </c>
      <c r="F1872">
        <v>48.632938385000003</v>
      </c>
      <c r="G1872">
        <v>1384.0823975000001</v>
      </c>
      <c r="H1872">
        <v>1369.6895752</v>
      </c>
      <c r="I1872">
        <v>1288.6949463000001</v>
      </c>
      <c r="J1872">
        <v>1269.4967041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1482.6545880000001</v>
      </c>
      <c r="B1873" s="1">
        <f>DATE(2014,5,22) + TIME(15,42,36)</f>
        <v>41781.654583333337</v>
      </c>
      <c r="C1873">
        <v>80</v>
      </c>
      <c r="D1873">
        <v>79.963005065999994</v>
      </c>
      <c r="E1873">
        <v>50</v>
      </c>
      <c r="F1873">
        <v>48.603805542000003</v>
      </c>
      <c r="G1873">
        <v>1384.0301514</v>
      </c>
      <c r="H1873">
        <v>1369.6492920000001</v>
      </c>
      <c r="I1873">
        <v>1288.6865233999999</v>
      </c>
      <c r="J1873">
        <v>1269.4852295000001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1483.230149</v>
      </c>
      <c r="B1874" s="1">
        <f>DATE(2014,5,23) + TIME(5,31,24)</f>
        <v>41782.230138888888</v>
      </c>
      <c r="C1874">
        <v>80</v>
      </c>
      <c r="D1874">
        <v>79.962997436999999</v>
      </c>
      <c r="E1874">
        <v>50</v>
      </c>
      <c r="F1874">
        <v>48.574363708</v>
      </c>
      <c r="G1874">
        <v>1383.9780272999999</v>
      </c>
      <c r="H1874">
        <v>1369.6090088000001</v>
      </c>
      <c r="I1874">
        <v>1288.6776123</v>
      </c>
      <c r="J1874">
        <v>1269.4732666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1483.8169190000001</v>
      </c>
      <c r="B1875" s="1">
        <f>DATE(2014,5,23) + TIME(19,36,21)</f>
        <v>41782.81690972222</v>
      </c>
      <c r="C1875">
        <v>80</v>
      </c>
      <c r="D1875">
        <v>79.962982178000004</v>
      </c>
      <c r="E1875">
        <v>50</v>
      </c>
      <c r="F1875">
        <v>48.544548034999998</v>
      </c>
      <c r="G1875">
        <v>1383.9259033000001</v>
      </c>
      <c r="H1875">
        <v>1369.5687256000001</v>
      </c>
      <c r="I1875">
        <v>1288.668457</v>
      </c>
      <c r="J1875">
        <v>1269.4609375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1484.4168159999999</v>
      </c>
      <c r="B1876" s="1">
        <f>DATE(2014,5,24) + TIME(10,0,12)</f>
        <v>41783.416805555556</v>
      </c>
      <c r="C1876">
        <v>80</v>
      </c>
      <c r="D1876">
        <v>79.962966918999996</v>
      </c>
      <c r="E1876">
        <v>50</v>
      </c>
      <c r="F1876">
        <v>48.514286040999998</v>
      </c>
      <c r="G1876">
        <v>1383.8736572</v>
      </c>
      <c r="H1876">
        <v>1369.5283202999999</v>
      </c>
      <c r="I1876">
        <v>1288.6589355000001</v>
      </c>
      <c r="J1876">
        <v>1269.4481201000001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1485.0319730000001</v>
      </c>
      <c r="B1877" s="1">
        <f>DATE(2014,5,25) + TIME(0,46,2)</f>
        <v>41784.031967592593</v>
      </c>
      <c r="C1877">
        <v>80</v>
      </c>
      <c r="D1877">
        <v>79.962959290000001</v>
      </c>
      <c r="E1877">
        <v>50</v>
      </c>
      <c r="F1877">
        <v>48.483486176</v>
      </c>
      <c r="G1877">
        <v>1383.8211670000001</v>
      </c>
      <c r="H1877">
        <v>1369.4876709</v>
      </c>
      <c r="I1877">
        <v>1288.6490478999999</v>
      </c>
      <c r="J1877">
        <v>1269.4346923999999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1485.6651059999999</v>
      </c>
      <c r="B1878" s="1">
        <f>DATE(2014,5,25) + TIME(15,57,45)</f>
        <v>41784.66510416667</v>
      </c>
      <c r="C1878">
        <v>80</v>
      </c>
      <c r="D1878">
        <v>79.962944031000006</v>
      </c>
      <c r="E1878">
        <v>50</v>
      </c>
      <c r="F1878">
        <v>48.452041626000003</v>
      </c>
      <c r="G1878">
        <v>1383.7683105000001</v>
      </c>
      <c r="H1878">
        <v>1369.4465332</v>
      </c>
      <c r="I1878">
        <v>1288.6386719</v>
      </c>
      <c r="J1878">
        <v>1269.4207764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1486.318444</v>
      </c>
      <c r="B1879" s="1">
        <f>DATE(2014,5,26) + TIME(7,38,33)</f>
        <v>41785.318437499998</v>
      </c>
      <c r="C1879">
        <v>80</v>
      </c>
      <c r="D1879">
        <v>79.962936400999993</v>
      </c>
      <c r="E1879">
        <v>50</v>
      </c>
      <c r="F1879">
        <v>48.419853209999999</v>
      </c>
      <c r="G1879">
        <v>1383.7147216999999</v>
      </c>
      <c r="H1879">
        <v>1369.4050293</v>
      </c>
      <c r="I1879">
        <v>1288.6278076000001</v>
      </c>
      <c r="J1879">
        <v>1269.40625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1486.9853539999999</v>
      </c>
      <c r="B1880" s="1">
        <f>DATE(2014,5,26) + TIME(23,38,54)</f>
        <v>41785.985347222224</v>
      </c>
      <c r="C1880">
        <v>80</v>
      </c>
      <c r="D1880">
        <v>79.962921143000003</v>
      </c>
      <c r="E1880">
        <v>50</v>
      </c>
      <c r="F1880">
        <v>48.387058258000003</v>
      </c>
      <c r="G1880">
        <v>1383.6606445</v>
      </c>
      <c r="H1880">
        <v>1369.3630370999999</v>
      </c>
      <c r="I1880">
        <v>1288.6164550999999</v>
      </c>
      <c r="J1880">
        <v>1269.3911132999999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1487.6635510000001</v>
      </c>
      <c r="B1881" s="1">
        <f>DATE(2014,5,27) + TIME(15,55,30)</f>
        <v>41786.663541666669</v>
      </c>
      <c r="C1881">
        <v>80</v>
      </c>
      <c r="D1881">
        <v>79.962913513000004</v>
      </c>
      <c r="E1881">
        <v>50</v>
      </c>
      <c r="F1881">
        <v>48.353759766000003</v>
      </c>
      <c r="G1881">
        <v>1383.6064452999999</v>
      </c>
      <c r="H1881">
        <v>1369.3209228999999</v>
      </c>
      <c r="I1881">
        <v>1288.6046143000001</v>
      </c>
      <c r="J1881">
        <v>1269.3754882999999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1488.3550210000001</v>
      </c>
      <c r="B1882" s="1">
        <f>DATE(2014,5,28) + TIME(8,31,13)</f>
        <v>41787.355011574073</v>
      </c>
      <c r="C1882">
        <v>80</v>
      </c>
      <c r="D1882">
        <v>79.962898253999995</v>
      </c>
      <c r="E1882">
        <v>50</v>
      </c>
      <c r="F1882">
        <v>48.319961548000002</v>
      </c>
      <c r="G1882">
        <v>1383.552124</v>
      </c>
      <c r="H1882">
        <v>1369.2786865</v>
      </c>
      <c r="I1882">
        <v>1288.5925293</v>
      </c>
      <c r="J1882">
        <v>1269.359375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1489.059759</v>
      </c>
      <c r="B1883" s="1">
        <f>DATE(2014,5,29) + TIME(1,26,3)</f>
        <v>41788.059756944444</v>
      </c>
      <c r="C1883">
        <v>80</v>
      </c>
      <c r="D1883">
        <v>79.962890625</v>
      </c>
      <c r="E1883">
        <v>50</v>
      </c>
      <c r="F1883">
        <v>48.285671233999999</v>
      </c>
      <c r="G1883">
        <v>1383.4978027</v>
      </c>
      <c r="H1883">
        <v>1369.2364502</v>
      </c>
      <c r="I1883">
        <v>1288.5800781</v>
      </c>
      <c r="J1883">
        <v>1269.3426514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1489.7731080000001</v>
      </c>
      <c r="B1884" s="1">
        <f>DATE(2014,5,29) + TIME(18,33,16)</f>
        <v>41788.773101851853</v>
      </c>
      <c r="C1884">
        <v>80</v>
      </c>
      <c r="D1884">
        <v>79.962882996000005</v>
      </c>
      <c r="E1884">
        <v>50</v>
      </c>
      <c r="F1884">
        <v>48.251022339000002</v>
      </c>
      <c r="G1884">
        <v>1383.4436035000001</v>
      </c>
      <c r="H1884">
        <v>1369.1942139</v>
      </c>
      <c r="I1884">
        <v>1288.5671387</v>
      </c>
      <c r="J1884">
        <v>1269.3254394999999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1490.4969000000001</v>
      </c>
      <c r="B1885" s="1">
        <f>DATE(2014,5,30) + TIME(11,55,32)</f>
        <v>41789.496898148151</v>
      </c>
      <c r="C1885">
        <v>80</v>
      </c>
      <c r="D1885">
        <v>79.962867736999996</v>
      </c>
      <c r="E1885">
        <v>50</v>
      </c>
      <c r="F1885">
        <v>48.216018677000001</v>
      </c>
      <c r="G1885">
        <v>1383.3895264</v>
      </c>
      <c r="H1885">
        <v>1369.1520995999999</v>
      </c>
      <c r="I1885">
        <v>1288.5539550999999</v>
      </c>
      <c r="J1885">
        <v>1269.3078613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1491.2302119999999</v>
      </c>
      <c r="B1886" s="1">
        <f>DATE(2014,5,31) + TIME(5,31,30)</f>
        <v>41790.230208333334</v>
      </c>
      <c r="C1886">
        <v>80</v>
      </c>
      <c r="D1886">
        <v>79.962860106999997</v>
      </c>
      <c r="E1886">
        <v>50</v>
      </c>
      <c r="F1886">
        <v>48.180698395</v>
      </c>
      <c r="G1886">
        <v>1383.3356934000001</v>
      </c>
      <c r="H1886">
        <v>1369.1101074000001</v>
      </c>
      <c r="I1886">
        <v>1288.5404053</v>
      </c>
      <c r="J1886">
        <v>1269.2897949000001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1491.615106</v>
      </c>
      <c r="B1887" s="1">
        <f>DATE(2014,5,31) + TIME(14,45,45)</f>
        <v>41790.615104166667</v>
      </c>
      <c r="C1887">
        <v>80</v>
      </c>
      <c r="D1887">
        <v>79.962829589999998</v>
      </c>
      <c r="E1887">
        <v>50</v>
      </c>
      <c r="F1887">
        <v>48.156726837000001</v>
      </c>
      <c r="G1887">
        <v>1383.2902832</v>
      </c>
      <c r="H1887">
        <v>1369.0755615</v>
      </c>
      <c r="I1887">
        <v>1288.5272216999999</v>
      </c>
      <c r="J1887">
        <v>1269.2741699000001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1492</v>
      </c>
      <c r="B1888" s="1">
        <f>DATE(2014,6,1) + TIME(0,0,0)</f>
        <v>41791</v>
      </c>
      <c r="C1888">
        <v>80</v>
      </c>
      <c r="D1888">
        <v>79.962821959999999</v>
      </c>
      <c r="E1888">
        <v>50</v>
      </c>
      <c r="F1888">
        <v>48.134506225999999</v>
      </c>
      <c r="G1888">
        <v>1383.2589111</v>
      </c>
      <c r="H1888">
        <v>1369.0507812000001</v>
      </c>
      <c r="I1888">
        <v>1288.5192870999999</v>
      </c>
      <c r="J1888">
        <v>1269.2630615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1492.765768</v>
      </c>
      <c r="B1889" s="1">
        <f>DATE(2014,6,1) + TIME(18,22,42)</f>
        <v>41791.765763888892</v>
      </c>
      <c r="C1889">
        <v>80</v>
      </c>
      <c r="D1889">
        <v>79.962852478000002</v>
      </c>
      <c r="E1889">
        <v>50</v>
      </c>
      <c r="F1889">
        <v>48.102756499999998</v>
      </c>
      <c r="G1889">
        <v>1383.2232666</v>
      </c>
      <c r="H1889">
        <v>1369.0218506000001</v>
      </c>
      <c r="I1889">
        <v>1288.5115966999999</v>
      </c>
      <c r="J1889">
        <v>1269.2501221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1493.5375409999999</v>
      </c>
      <c r="B1890" s="1">
        <f>DATE(2014,6,2) + TIME(12,54,3)</f>
        <v>41792.537534722222</v>
      </c>
      <c r="C1890">
        <v>80</v>
      </c>
      <c r="D1890">
        <v>79.962837218999994</v>
      </c>
      <c r="E1890">
        <v>50</v>
      </c>
      <c r="F1890">
        <v>48.068492888999998</v>
      </c>
      <c r="G1890">
        <v>1383.1716309000001</v>
      </c>
      <c r="H1890">
        <v>1368.9816894999999</v>
      </c>
      <c r="I1890">
        <v>1288.4971923999999</v>
      </c>
      <c r="J1890">
        <v>1269.2312012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1494.327481</v>
      </c>
      <c r="B1891" s="1">
        <f>DATE(2014,6,3) + TIME(7,51,34)</f>
        <v>41793.327476851853</v>
      </c>
      <c r="C1891">
        <v>80</v>
      </c>
      <c r="D1891">
        <v>79.962829589999998</v>
      </c>
      <c r="E1891">
        <v>50</v>
      </c>
      <c r="F1891">
        <v>48.032588959000002</v>
      </c>
      <c r="G1891">
        <v>1383.1186522999999</v>
      </c>
      <c r="H1891">
        <v>1368.9401855000001</v>
      </c>
      <c r="I1891">
        <v>1288.4820557</v>
      </c>
      <c r="J1891">
        <v>1269.2111815999999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1495.1326140000001</v>
      </c>
      <c r="B1892" s="1">
        <f>DATE(2014,6,4) + TIME(3,10,57)</f>
        <v>41794.132604166669</v>
      </c>
      <c r="C1892">
        <v>80</v>
      </c>
      <c r="D1892">
        <v>79.962821959999999</v>
      </c>
      <c r="E1892">
        <v>50</v>
      </c>
      <c r="F1892">
        <v>47.995578766000001</v>
      </c>
      <c r="G1892">
        <v>1383.0649414</v>
      </c>
      <c r="H1892">
        <v>1368.8981934000001</v>
      </c>
      <c r="I1892">
        <v>1288.4664307</v>
      </c>
      <c r="J1892">
        <v>1269.1903076000001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1495.9556359999999</v>
      </c>
      <c r="B1893" s="1">
        <f>DATE(2014,6,4) + TIME(22,56,6)</f>
        <v>41794.955625000002</v>
      </c>
      <c r="C1893">
        <v>80</v>
      </c>
      <c r="D1893">
        <v>79.962814331000004</v>
      </c>
      <c r="E1893">
        <v>50</v>
      </c>
      <c r="F1893">
        <v>47.957675934000001</v>
      </c>
      <c r="G1893">
        <v>1383.0111084</v>
      </c>
      <c r="H1893">
        <v>1368.855957</v>
      </c>
      <c r="I1893">
        <v>1288.4503173999999</v>
      </c>
      <c r="J1893">
        <v>1269.1685791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1496.7938469999999</v>
      </c>
      <c r="B1894" s="1">
        <f>DATE(2014,6,5) + TIME(19,3,8)</f>
        <v>41795.793842592589</v>
      </c>
      <c r="C1894">
        <v>80</v>
      </c>
      <c r="D1894">
        <v>79.962806701999995</v>
      </c>
      <c r="E1894">
        <v>50</v>
      </c>
      <c r="F1894">
        <v>47.919063567999999</v>
      </c>
      <c r="G1894">
        <v>1382.9570312000001</v>
      </c>
      <c r="H1894">
        <v>1368.8135986</v>
      </c>
      <c r="I1894">
        <v>1288.4337158000001</v>
      </c>
      <c r="J1894">
        <v>1269.1462402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1497.6376760000001</v>
      </c>
      <c r="B1895" s="1">
        <f>DATE(2014,6,6) + TIME(15,18,15)</f>
        <v>41796.637673611112</v>
      </c>
      <c r="C1895">
        <v>80</v>
      </c>
      <c r="D1895">
        <v>79.962799071999996</v>
      </c>
      <c r="E1895">
        <v>50</v>
      </c>
      <c r="F1895">
        <v>47.880054473999998</v>
      </c>
      <c r="G1895">
        <v>1382.9029541</v>
      </c>
      <c r="H1895">
        <v>1368.7711182</v>
      </c>
      <c r="I1895">
        <v>1288.416626</v>
      </c>
      <c r="J1895">
        <v>1269.1231689000001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1498.489812</v>
      </c>
      <c r="B1896" s="1">
        <f>DATE(2014,6,7) + TIME(11,45,19)</f>
        <v>41797.489803240744</v>
      </c>
      <c r="C1896">
        <v>80</v>
      </c>
      <c r="D1896">
        <v>79.962791443</v>
      </c>
      <c r="E1896">
        <v>50</v>
      </c>
      <c r="F1896">
        <v>47.840744018999999</v>
      </c>
      <c r="G1896">
        <v>1382.8493652</v>
      </c>
      <c r="H1896">
        <v>1368.7290039</v>
      </c>
      <c r="I1896">
        <v>1288.3992920000001</v>
      </c>
      <c r="J1896">
        <v>1269.0996094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1499.3529329999999</v>
      </c>
      <c r="B1897" s="1">
        <f>DATE(2014,6,8) + TIME(8,28,13)</f>
        <v>41798.35292824074</v>
      </c>
      <c r="C1897">
        <v>80</v>
      </c>
      <c r="D1897">
        <v>79.962791443</v>
      </c>
      <c r="E1897">
        <v>50</v>
      </c>
      <c r="F1897">
        <v>47.801128386999999</v>
      </c>
      <c r="G1897">
        <v>1382.7960204999999</v>
      </c>
      <c r="H1897">
        <v>1368.6870117000001</v>
      </c>
      <c r="I1897">
        <v>1288.3814697</v>
      </c>
      <c r="J1897">
        <v>1269.0753173999999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1500.229799</v>
      </c>
      <c r="B1898" s="1">
        <f>DATE(2014,6,9) + TIME(5,30,54)</f>
        <v>41799.229791666665</v>
      </c>
      <c r="C1898">
        <v>80</v>
      </c>
      <c r="D1898">
        <v>79.962783813000001</v>
      </c>
      <c r="E1898">
        <v>50</v>
      </c>
      <c r="F1898">
        <v>47.761135101000001</v>
      </c>
      <c r="G1898">
        <v>1382.7429199000001</v>
      </c>
      <c r="H1898">
        <v>1368.6451416</v>
      </c>
      <c r="I1898">
        <v>1288.3632812000001</v>
      </c>
      <c r="J1898">
        <v>1269.0505370999999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1501.1233139999999</v>
      </c>
      <c r="B1899" s="1">
        <f>DATE(2014,6,10) + TIME(2,57,34)</f>
        <v>41800.123310185183</v>
      </c>
      <c r="C1899">
        <v>80</v>
      </c>
      <c r="D1899">
        <v>79.962776184000006</v>
      </c>
      <c r="E1899">
        <v>50</v>
      </c>
      <c r="F1899">
        <v>47.720668793000002</v>
      </c>
      <c r="G1899">
        <v>1382.6898193</v>
      </c>
      <c r="H1899">
        <v>1368.6032714999999</v>
      </c>
      <c r="I1899">
        <v>1288.3446045000001</v>
      </c>
      <c r="J1899">
        <v>1269.0249022999999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1502.0368390000001</v>
      </c>
      <c r="B1900" s="1">
        <f>DATE(2014,6,11) + TIME(0,53,2)</f>
        <v>41801.036828703705</v>
      </c>
      <c r="C1900">
        <v>80</v>
      </c>
      <c r="D1900">
        <v>79.962776184000006</v>
      </c>
      <c r="E1900">
        <v>50</v>
      </c>
      <c r="F1900">
        <v>47.679603577000002</v>
      </c>
      <c r="G1900">
        <v>1382.6364745999999</v>
      </c>
      <c r="H1900">
        <v>1368.5611572</v>
      </c>
      <c r="I1900">
        <v>1288.3251952999999</v>
      </c>
      <c r="J1900">
        <v>1268.9982910000001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1502.972391</v>
      </c>
      <c r="B1901" s="1">
        <f>DATE(2014,6,11) + TIME(23,20,14)</f>
        <v>41801.972384259258</v>
      </c>
      <c r="C1901">
        <v>80</v>
      </c>
      <c r="D1901">
        <v>79.962768554999997</v>
      </c>
      <c r="E1901">
        <v>50</v>
      </c>
      <c r="F1901">
        <v>47.637832641999999</v>
      </c>
      <c r="G1901">
        <v>1382.5828856999999</v>
      </c>
      <c r="H1901">
        <v>1368.5187988</v>
      </c>
      <c r="I1901">
        <v>1288.3051757999999</v>
      </c>
      <c r="J1901">
        <v>1268.9708252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1503.9195030000001</v>
      </c>
      <c r="B1902" s="1">
        <f>DATE(2014,6,12) + TIME(22,4,5)</f>
        <v>41802.919502314813</v>
      </c>
      <c r="C1902">
        <v>80</v>
      </c>
      <c r="D1902">
        <v>79.962768554999997</v>
      </c>
      <c r="E1902">
        <v>50</v>
      </c>
      <c r="F1902">
        <v>47.595516205000003</v>
      </c>
      <c r="G1902">
        <v>1382.5290527</v>
      </c>
      <c r="H1902">
        <v>1368.4761963000001</v>
      </c>
      <c r="I1902">
        <v>1288.2844238</v>
      </c>
      <c r="J1902">
        <v>1268.9421387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1504.881118</v>
      </c>
      <c r="B1903" s="1">
        <f>DATE(2014,6,13) + TIME(21,8,48)</f>
        <v>41803.881111111114</v>
      </c>
      <c r="C1903">
        <v>80</v>
      </c>
      <c r="D1903">
        <v>79.962760924999998</v>
      </c>
      <c r="E1903">
        <v>50</v>
      </c>
      <c r="F1903">
        <v>47.552700043000002</v>
      </c>
      <c r="G1903">
        <v>1382.4753418</v>
      </c>
      <c r="H1903">
        <v>1368.4337158000001</v>
      </c>
      <c r="I1903">
        <v>1288.2631836</v>
      </c>
      <c r="J1903">
        <v>1268.9127197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1505.860244</v>
      </c>
      <c r="B1904" s="1">
        <f>DATE(2014,6,14) + TIME(20,38,45)</f>
        <v>41804.860243055555</v>
      </c>
      <c r="C1904">
        <v>80</v>
      </c>
      <c r="D1904">
        <v>79.962760924999998</v>
      </c>
      <c r="E1904">
        <v>50</v>
      </c>
      <c r="F1904">
        <v>47.509346008000001</v>
      </c>
      <c r="G1904">
        <v>1382.4216309000001</v>
      </c>
      <c r="H1904">
        <v>1368.3911132999999</v>
      </c>
      <c r="I1904">
        <v>1288.2412108999999</v>
      </c>
      <c r="J1904">
        <v>1268.8823242000001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1506.859076</v>
      </c>
      <c r="B1905" s="1">
        <f>DATE(2014,6,15) + TIME(20,37,4)</f>
        <v>41805.859074074076</v>
      </c>
      <c r="C1905">
        <v>80</v>
      </c>
      <c r="D1905">
        <v>79.962760924999998</v>
      </c>
      <c r="E1905">
        <v>50</v>
      </c>
      <c r="F1905">
        <v>47.465370178000001</v>
      </c>
      <c r="G1905">
        <v>1382.3677978999999</v>
      </c>
      <c r="H1905">
        <v>1368.3483887</v>
      </c>
      <c r="I1905">
        <v>1288.2186279</v>
      </c>
      <c r="J1905">
        <v>1268.8507079999999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1507.864137</v>
      </c>
      <c r="B1906" s="1">
        <f>DATE(2014,6,16) + TIME(20,44,21)</f>
        <v>41806.864131944443</v>
      </c>
      <c r="C1906">
        <v>80</v>
      </c>
      <c r="D1906">
        <v>79.962753296000002</v>
      </c>
      <c r="E1906">
        <v>50</v>
      </c>
      <c r="F1906">
        <v>47.420997620000001</v>
      </c>
      <c r="G1906">
        <v>1382.3138428</v>
      </c>
      <c r="H1906">
        <v>1368.3055420000001</v>
      </c>
      <c r="I1906">
        <v>1288.1951904</v>
      </c>
      <c r="J1906">
        <v>1268.8181152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1508.8786809999999</v>
      </c>
      <c r="B1907" s="1">
        <f>DATE(2014,6,17) + TIME(21,5,18)</f>
        <v>41807.878680555557</v>
      </c>
      <c r="C1907">
        <v>80</v>
      </c>
      <c r="D1907">
        <v>79.962753296000002</v>
      </c>
      <c r="E1907">
        <v>50</v>
      </c>
      <c r="F1907">
        <v>47.3763237</v>
      </c>
      <c r="G1907">
        <v>1382.260376</v>
      </c>
      <c r="H1907">
        <v>1368.2630615</v>
      </c>
      <c r="I1907">
        <v>1288.1712646000001</v>
      </c>
      <c r="J1907">
        <v>1268.784668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1509.9059440000001</v>
      </c>
      <c r="B1908" s="1">
        <f>DATE(2014,6,18) + TIME(21,44,33)</f>
        <v>41808.9059375</v>
      </c>
      <c r="C1908">
        <v>80</v>
      </c>
      <c r="D1908">
        <v>79.962753296000002</v>
      </c>
      <c r="E1908">
        <v>50</v>
      </c>
      <c r="F1908">
        <v>47.331310272000003</v>
      </c>
      <c r="G1908">
        <v>1382.2071533000001</v>
      </c>
      <c r="H1908">
        <v>1368.2205810999999</v>
      </c>
      <c r="I1908">
        <v>1288.1467285000001</v>
      </c>
      <c r="J1908">
        <v>1268.7502440999999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1510.949278</v>
      </c>
      <c r="B1909" s="1">
        <f>DATE(2014,6,19) + TIME(22,46,57)</f>
        <v>41809.949270833335</v>
      </c>
      <c r="C1909">
        <v>80</v>
      </c>
      <c r="D1909">
        <v>79.962753296000002</v>
      </c>
      <c r="E1909">
        <v>50</v>
      </c>
      <c r="F1909">
        <v>47.285865784000002</v>
      </c>
      <c r="G1909">
        <v>1382.1540527</v>
      </c>
      <c r="H1909">
        <v>1368.1782227000001</v>
      </c>
      <c r="I1909">
        <v>1288.121582</v>
      </c>
      <c r="J1909">
        <v>1268.7145995999999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1512.012215</v>
      </c>
      <c r="B1910" s="1">
        <f>DATE(2014,6,21) + TIME(0,17,35)</f>
        <v>41811.01221064815</v>
      </c>
      <c r="C1910">
        <v>80</v>
      </c>
      <c r="D1910">
        <v>79.962753296000002</v>
      </c>
      <c r="E1910">
        <v>50</v>
      </c>
      <c r="F1910">
        <v>47.239856719999999</v>
      </c>
      <c r="G1910">
        <v>1382.1009521000001</v>
      </c>
      <c r="H1910">
        <v>1368.1357422000001</v>
      </c>
      <c r="I1910">
        <v>1288.0955810999999</v>
      </c>
      <c r="J1910">
        <v>1268.6778564000001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1513.0974289999999</v>
      </c>
      <c r="B1911" s="1">
        <f>DATE(2014,6,22) + TIME(2,20,17)</f>
        <v>41812.097418981481</v>
      </c>
      <c r="C1911">
        <v>80</v>
      </c>
      <c r="D1911">
        <v>79.962753296000002</v>
      </c>
      <c r="E1911">
        <v>50</v>
      </c>
      <c r="F1911">
        <v>47.193161011000001</v>
      </c>
      <c r="G1911">
        <v>1382.0476074000001</v>
      </c>
      <c r="H1911">
        <v>1368.0931396000001</v>
      </c>
      <c r="I1911">
        <v>1288.0687256000001</v>
      </c>
      <c r="J1911">
        <v>1268.6397704999999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1514.200278</v>
      </c>
      <c r="B1912" s="1">
        <f>DATE(2014,6,23) + TIME(4,48,24)</f>
        <v>41813.200277777774</v>
      </c>
      <c r="C1912">
        <v>80</v>
      </c>
      <c r="D1912">
        <v>79.962753296000002</v>
      </c>
      <c r="E1912">
        <v>50</v>
      </c>
      <c r="F1912">
        <v>47.145793914999999</v>
      </c>
      <c r="G1912">
        <v>1381.9940185999999</v>
      </c>
      <c r="H1912">
        <v>1368.0501709</v>
      </c>
      <c r="I1912">
        <v>1288.0408935999999</v>
      </c>
      <c r="J1912">
        <v>1268.6000977000001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1515.324374</v>
      </c>
      <c r="B1913" s="1">
        <f>DATE(2014,6,24) + TIME(7,47,5)</f>
        <v>41814.324363425927</v>
      </c>
      <c r="C1913">
        <v>80</v>
      </c>
      <c r="D1913">
        <v>79.962753296000002</v>
      </c>
      <c r="E1913">
        <v>50</v>
      </c>
      <c r="F1913">
        <v>47.097724915000001</v>
      </c>
      <c r="G1913">
        <v>1381.9403076000001</v>
      </c>
      <c r="H1913">
        <v>1368.0072021000001</v>
      </c>
      <c r="I1913">
        <v>1288.012207</v>
      </c>
      <c r="J1913">
        <v>1268.5589600000001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1516.473518</v>
      </c>
      <c r="B1914" s="1">
        <f>DATE(2014,6,25) + TIME(11,21,51)</f>
        <v>41815.473506944443</v>
      </c>
      <c r="C1914">
        <v>80</v>
      </c>
      <c r="D1914">
        <v>79.962760924999998</v>
      </c>
      <c r="E1914">
        <v>50</v>
      </c>
      <c r="F1914">
        <v>47.048851012999997</v>
      </c>
      <c r="G1914">
        <v>1381.8863524999999</v>
      </c>
      <c r="H1914">
        <v>1367.9638672000001</v>
      </c>
      <c r="I1914">
        <v>1287.9824219</v>
      </c>
      <c r="J1914">
        <v>1268.5162353999999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1517.6456089999999</v>
      </c>
      <c r="B1915" s="1">
        <f>DATE(2014,6,26) + TIME(15,29,40)</f>
        <v>41816.645601851851</v>
      </c>
      <c r="C1915">
        <v>80</v>
      </c>
      <c r="D1915">
        <v>79.962760924999998</v>
      </c>
      <c r="E1915">
        <v>50</v>
      </c>
      <c r="F1915">
        <v>46.999137877999999</v>
      </c>
      <c r="G1915">
        <v>1381.8320312000001</v>
      </c>
      <c r="H1915">
        <v>1367.9201660000001</v>
      </c>
      <c r="I1915">
        <v>1287.9514160000001</v>
      </c>
      <c r="J1915">
        <v>1268.4716797000001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1518.8268680000001</v>
      </c>
      <c r="B1916" s="1">
        <f>DATE(2014,6,27) + TIME(19,50,41)</f>
        <v>41817.826863425929</v>
      </c>
      <c r="C1916">
        <v>80</v>
      </c>
      <c r="D1916">
        <v>79.962760924999998</v>
      </c>
      <c r="E1916">
        <v>50</v>
      </c>
      <c r="F1916">
        <v>46.948829650999997</v>
      </c>
      <c r="G1916">
        <v>1381.7775879000001</v>
      </c>
      <c r="H1916">
        <v>1367.8764647999999</v>
      </c>
      <c r="I1916">
        <v>1287.9194336</v>
      </c>
      <c r="J1916">
        <v>1268.4254149999999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1520.0168880000001</v>
      </c>
      <c r="B1917" s="1">
        <f>DATE(2014,6,29) + TIME(0,24,19)</f>
        <v>41819.016886574071</v>
      </c>
      <c r="C1917">
        <v>80</v>
      </c>
      <c r="D1917">
        <v>79.962768554999997</v>
      </c>
      <c r="E1917">
        <v>50</v>
      </c>
      <c r="F1917">
        <v>46.898132324000002</v>
      </c>
      <c r="G1917">
        <v>1381.7235106999999</v>
      </c>
      <c r="H1917">
        <v>1367.8327637</v>
      </c>
      <c r="I1917">
        <v>1287.8865966999999</v>
      </c>
      <c r="J1917">
        <v>1268.3778076000001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1521.2195650000001</v>
      </c>
      <c r="B1918" s="1">
        <f>DATE(2014,6,30) + TIME(5,16,10)</f>
        <v>41820.219560185185</v>
      </c>
      <c r="C1918">
        <v>80</v>
      </c>
      <c r="D1918">
        <v>79.962768554999997</v>
      </c>
      <c r="E1918">
        <v>50</v>
      </c>
      <c r="F1918">
        <v>46.847080231</v>
      </c>
      <c r="G1918">
        <v>1381.6696777</v>
      </c>
      <c r="H1918">
        <v>1367.7894286999999</v>
      </c>
      <c r="I1918">
        <v>1287.8529053</v>
      </c>
      <c r="J1918">
        <v>1268.3288574000001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1522</v>
      </c>
      <c r="B1919" s="1">
        <f>DATE(2014,7,1) + TIME(0,0,0)</f>
        <v>41821</v>
      </c>
      <c r="C1919">
        <v>80</v>
      </c>
      <c r="D1919">
        <v>79.962753296000002</v>
      </c>
      <c r="E1919">
        <v>50</v>
      </c>
      <c r="F1919">
        <v>46.805084229000002</v>
      </c>
      <c r="G1919">
        <v>1381.6225586</v>
      </c>
      <c r="H1919">
        <v>1367.7519531</v>
      </c>
      <c r="I1919">
        <v>1287.8198242000001</v>
      </c>
      <c r="J1919">
        <v>1268.2823486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1523.2118519999999</v>
      </c>
      <c r="B1920" s="1">
        <f>DATE(2014,7,2) + TIME(5,5,4)</f>
        <v>41822.211851851855</v>
      </c>
      <c r="C1920">
        <v>80</v>
      </c>
      <c r="D1920">
        <v>79.962776184000006</v>
      </c>
      <c r="E1920">
        <v>50</v>
      </c>
      <c r="F1920">
        <v>46.758907317999999</v>
      </c>
      <c r="G1920">
        <v>1381.5795897999999</v>
      </c>
      <c r="H1920">
        <v>1367.7163086</v>
      </c>
      <c r="I1920">
        <v>1287.7949219</v>
      </c>
      <c r="J1920">
        <v>1268.2431641000001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1524.4464700000001</v>
      </c>
      <c r="B1921" s="1">
        <f>DATE(2014,7,3) + TIME(10,42,55)</f>
        <v>41823.446469907409</v>
      </c>
      <c r="C1921">
        <v>80</v>
      </c>
      <c r="D1921">
        <v>79.962783813000001</v>
      </c>
      <c r="E1921">
        <v>50</v>
      </c>
      <c r="F1921">
        <v>46.709186553999999</v>
      </c>
      <c r="G1921">
        <v>1381.5280762</v>
      </c>
      <c r="H1921">
        <v>1367.6746826000001</v>
      </c>
      <c r="I1921">
        <v>1287.7596435999999</v>
      </c>
      <c r="J1921">
        <v>1268.1916504000001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1525.699417</v>
      </c>
      <c r="B1922" s="1">
        <f>DATE(2014,7,4) + TIME(16,47,9)</f>
        <v>41824.69940972222</v>
      </c>
      <c r="C1922">
        <v>80</v>
      </c>
      <c r="D1922">
        <v>79.962783813000001</v>
      </c>
      <c r="E1922">
        <v>50</v>
      </c>
      <c r="F1922">
        <v>46.657596587999997</v>
      </c>
      <c r="G1922">
        <v>1381.4754639</v>
      </c>
      <c r="H1922">
        <v>1367.6319579999999</v>
      </c>
      <c r="I1922">
        <v>1287.7227783000001</v>
      </c>
      <c r="J1922">
        <v>1268.1374512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1526.9748460000001</v>
      </c>
      <c r="B1923" s="1">
        <f>DATE(2014,7,5) + TIME(23,23,46)</f>
        <v>41825.97483796296</v>
      </c>
      <c r="C1923">
        <v>80</v>
      </c>
      <c r="D1923">
        <v>79.962791443</v>
      </c>
      <c r="E1923">
        <v>50</v>
      </c>
      <c r="F1923">
        <v>46.604812621999997</v>
      </c>
      <c r="G1923">
        <v>1381.4223632999999</v>
      </c>
      <c r="H1923">
        <v>1367.5888672000001</v>
      </c>
      <c r="I1923">
        <v>1287.6845702999999</v>
      </c>
      <c r="J1923">
        <v>1268.0810547000001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1528.2770250000001</v>
      </c>
      <c r="B1924" s="1">
        <f>DATE(2014,7,7) + TIME(6,38,55)</f>
        <v>41827.277025462965</v>
      </c>
      <c r="C1924">
        <v>80</v>
      </c>
      <c r="D1924">
        <v>79.962799071999996</v>
      </c>
      <c r="E1924">
        <v>50</v>
      </c>
      <c r="F1924">
        <v>46.551002502000003</v>
      </c>
      <c r="G1924">
        <v>1381.3690185999999</v>
      </c>
      <c r="H1924">
        <v>1367.5454102000001</v>
      </c>
      <c r="I1924">
        <v>1287.6451416</v>
      </c>
      <c r="J1924">
        <v>1268.0223389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1529.610786</v>
      </c>
      <c r="B1925" s="1">
        <f>DATE(2014,7,8) + TIME(14,39,31)</f>
        <v>41828.610775462963</v>
      </c>
      <c r="C1925">
        <v>80</v>
      </c>
      <c r="D1925">
        <v>79.962806701999995</v>
      </c>
      <c r="E1925">
        <v>50</v>
      </c>
      <c r="F1925">
        <v>46.496124268000003</v>
      </c>
      <c r="G1925">
        <v>1381.3153076000001</v>
      </c>
      <c r="H1925">
        <v>1367.5015868999999</v>
      </c>
      <c r="I1925">
        <v>1287.6042480000001</v>
      </c>
      <c r="J1925">
        <v>1267.9613036999999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1530.980914</v>
      </c>
      <c r="B1926" s="1">
        <f>DATE(2014,7,9) + TIME(23,32,30)</f>
        <v>41829.980902777781</v>
      </c>
      <c r="C1926">
        <v>80</v>
      </c>
      <c r="D1926">
        <v>79.962814331000004</v>
      </c>
      <c r="E1926">
        <v>50</v>
      </c>
      <c r="F1926">
        <v>46.440048218000001</v>
      </c>
      <c r="G1926">
        <v>1381.2608643000001</v>
      </c>
      <c r="H1926">
        <v>1367.4571533000001</v>
      </c>
      <c r="I1926">
        <v>1287.5616454999999</v>
      </c>
      <c r="J1926">
        <v>1267.8975829999999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1532.3516970000001</v>
      </c>
      <c r="B1927" s="1">
        <f>DATE(2014,7,11) + TIME(8,26,26)</f>
        <v>41831.351689814815</v>
      </c>
      <c r="C1927">
        <v>80</v>
      </c>
      <c r="D1927">
        <v>79.962821959999999</v>
      </c>
      <c r="E1927">
        <v>50</v>
      </c>
      <c r="F1927">
        <v>46.383235931000002</v>
      </c>
      <c r="G1927">
        <v>1381.2061768000001</v>
      </c>
      <c r="H1927">
        <v>1367.4124756000001</v>
      </c>
      <c r="I1927">
        <v>1287.5173339999999</v>
      </c>
      <c r="J1927">
        <v>1267.8310547000001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1533.7271969999999</v>
      </c>
      <c r="B1928" s="1">
        <f>DATE(2014,7,12) + TIME(17,27,9)</f>
        <v>41832.727187500001</v>
      </c>
      <c r="C1928">
        <v>80</v>
      </c>
      <c r="D1928">
        <v>79.962829589999998</v>
      </c>
      <c r="E1928">
        <v>50</v>
      </c>
      <c r="F1928">
        <v>46.326175689999999</v>
      </c>
      <c r="G1928">
        <v>1381.1519774999999</v>
      </c>
      <c r="H1928">
        <v>1367.3681641000001</v>
      </c>
      <c r="I1928">
        <v>1287.4722899999999</v>
      </c>
      <c r="J1928">
        <v>1267.7630615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1535.111568</v>
      </c>
      <c r="B1929" s="1">
        <f>DATE(2014,7,14) + TIME(2,40,39)</f>
        <v>41834.111562500002</v>
      </c>
      <c r="C1929">
        <v>80</v>
      </c>
      <c r="D1929">
        <v>79.962837218999994</v>
      </c>
      <c r="E1929">
        <v>50</v>
      </c>
      <c r="F1929">
        <v>46.268955231</v>
      </c>
      <c r="G1929">
        <v>1381.0982666</v>
      </c>
      <c r="H1929">
        <v>1367.3240966999999</v>
      </c>
      <c r="I1929">
        <v>1287.4262695</v>
      </c>
      <c r="J1929">
        <v>1267.6933594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1536.5089559999999</v>
      </c>
      <c r="B1930" s="1">
        <f>DATE(2014,7,15) + TIME(12,12,53)</f>
        <v>41835.508946759262</v>
      </c>
      <c r="C1930">
        <v>80</v>
      </c>
      <c r="D1930">
        <v>79.962844849000007</v>
      </c>
      <c r="E1930">
        <v>50</v>
      </c>
      <c r="F1930">
        <v>46.211509704999997</v>
      </c>
      <c r="G1930">
        <v>1381.0447998</v>
      </c>
      <c r="H1930">
        <v>1367.2801514</v>
      </c>
      <c r="I1930">
        <v>1287.3793945</v>
      </c>
      <c r="J1930">
        <v>1267.6219481999999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1537.923601</v>
      </c>
      <c r="B1931" s="1">
        <f>DATE(2014,7,16) + TIME(22,9,59)</f>
        <v>41836.92359953704</v>
      </c>
      <c r="C1931">
        <v>80</v>
      </c>
      <c r="D1931">
        <v>79.962860106999997</v>
      </c>
      <c r="E1931">
        <v>50</v>
      </c>
      <c r="F1931">
        <v>46.153720856</v>
      </c>
      <c r="G1931">
        <v>1380.9914550999999</v>
      </c>
      <c r="H1931">
        <v>1367.2363281</v>
      </c>
      <c r="I1931">
        <v>1287.3312988</v>
      </c>
      <c r="J1931">
        <v>1267.5484618999999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1539.3599380000001</v>
      </c>
      <c r="B1932" s="1">
        <f>DATE(2014,7,18) + TIME(8,38,18)</f>
        <v>41838.359930555554</v>
      </c>
      <c r="C1932">
        <v>80</v>
      </c>
      <c r="D1932">
        <v>79.962867736999996</v>
      </c>
      <c r="E1932">
        <v>50</v>
      </c>
      <c r="F1932">
        <v>46.095436096</v>
      </c>
      <c r="G1932">
        <v>1380.9382324000001</v>
      </c>
      <c r="H1932">
        <v>1367.1923827999999</v>
      </c>
      <c r="I1932">
        <v>1287.2818603999999</v>
      </c>
      <c r="J1932">
        <v>1267.4727783000001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1540.8226239999999</v>
      </c>
      <c r="B1933" s="1">
        <f>DATE(2014,7,19) + TIME(19,44,34)</f>
        <v>41839.822615740741</v>
      </c>
      <c r="C1933">
        <v>80</v>
      </c>
      <c r="D1933">
        <v>79.962875366000006</v>
      </c>
      <c r="E1933">
        <v>50</v>
      </c>
      <c r="F1933">
        <v>46.036514281999999</v>
      </c>
      <c r="G1933">
        <v>1380.8847656</v>
      </c>
      <c r="H1933">
        <v>1367.1481934000001</v>
      </c>
      <c r="I1933">
        <v>1287.2310791</v>
      </c>
      <c r="J1933">
        <v>1267.3946533000001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1542.3166819999999</v>
      </c>
      <c r="B1934" s="1">
        <f>DATE(2014,7,21) + TIME(7,36,1)</f>
        <v>41841.316678240742</v>
      </c>
      <c r="C1934">
        <v>80</v>
      </c>
      <c r="D1934">
        <v>79.962890625</v>
      </c>
      <c r="E1934">
        <v>50</v>
      </c>
      <c r="F1934">
        <v>45.976787567000002</v>
      </c>
      <c r="G1934">
        <v>1380.8309326000001</v>
      </c>
      <c r="H1934">
        <v>1367.1037598</v>
      </c>
      <c r="I1934">
        <v>1287.1785889</v>
      </c>
      <c r="J1934">
        <v>1267.3137207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1543.8478439999999</v>
      </c>
      <c r="B1935" s="1">
        <f>DATE(2014,7,22) + TIME(20,20,53)</f>
        <v>41842.84783564815</v>
      </c>
      <c r="C1935">
        <v>80</v>
      </c>
      <c r="D1935">
        <v>79.962905883999994</v>
      </c>
      <c r="E1935">
        <v>50</v>
      </c>
      <c r="F1935">
        <v>45.916091919000003</v>
      </c>
      <c r="G1935">
        <v>1380.7767334</v>
      </c>
      <c r="H1935">
        <v>1367.0588379000001</v>
      </c>
      <c r="I1935">
        <v>1287.1243896000001</v>
      </c>
      <c r="J1935">
        <v>1267.2296143000001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1545.4056350000001</v>
      </c>
      <c r="B1936" s="1">
        <f>DATE(2014,7,24) + TIME(9,44,6)</f>
        <v>41844.405624999999</v>
      </c>
      <c r="C1936">
        <v>80</v>
      </c>
      <c r="D1936">
        <v>79.962913513000004</v>
      </c>
      <c r="E1936">
        <v>50</v>
      </c>
      <c r="F1936">
        <v>45.854465484999999</v>
      </c>
      <c r="G1936">
        <v>1380.7219238</v>
      </c>
      <c r="H1936">
        <v>1367.0134277</v>
      </c>
      <c r="I1936">
        <v>1287.0682373</v>
      </c>
      <c r="J1936">
        <v>1267.1423339999999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1546.9722870000001</v>
      </c>
      <c r="B1937" s="1">
        <f>DATE(2014,7,25) + TIME(23,20,5)</f>
        <v>41845.972280092596</v>
      </c>
      <c r="C1937">
        <v>80</v>
      </c>
      <c r="D1937">
        <v>79.962928771999998</v>
      </c>
      <c r="E1937">
        <v>50</v>
      </c>
      <c r="F1937">
        <v>45.792335510000001</v>
      </c>
      <c r="G1937">
        <v>1380.6671143000001</v>
      </c>
      <c r="H1937">
        <v>1366.9677733999999</v>
      </c>
      <c r="I1937">
        <v>1287.010376</v>
      </c>
      <c r="J1937">
        <v>1267.052124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1548.5458839999999</v>
      </c>
      <c r="B1938" s="1">
        <f>DATE(2014,7,27) + TIME(13,6,4)</f>
        <v>41847.54587962963</v>
      </c>
      <c r="C1938">
        <v>80</v>
      </c>
      <c r="D1938">
        <v>79.962944031000006</v>
      </c>
      <c r="E1938">
        <v>50</v>
      </c>
      <c r="F1938">
        <v>45.730121613000001</v>
      </c>
      <c r="G1938">
        <v>1380.6124268000001</v>
      </c>
      <c r="H1938">
        <v>1366.9223632999999</v>
      </c>
      <c r="I1938">
        <v>1286.9515381000001</v>
      </c>
      <c r="J1938">
        <v>1266.9599608999999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1550.1312190000001</v>
      </c>
      <c r="B1939" s="1">
        <f>DATE(2014,7,29) + TIME(3,8,57)</f>
        <v>41849.131215277775</v>
      </c>
      <c r="C1939">
        <v>80</v>
      </c>
      <c r="D1939">
        <v>79.962951660000002</v>
      </c>
      <c r="E1939">
        <v>50</v>
      </c>
      <c r="F1939">
        <v>45.667964935000001</v>
      </c>
      <c r="G1939">
        <v>1380.5581055</v>
      </c>
      <c r="H1939">
        <v>1366.8771973</v>
      </c>
      <c r="I1939">
        <v>1286.8916016000001</v>
      </c>
      <c r="J1939">
        <v>1266.8658447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1551.7331320000001</v>
      </c>
      <c r="B1940" s="1">
        <f>DATE(2014,7,30) + TIME(17,35,42)</f>
        <v>41850.733124999999</v>
      </c>
      <c r="C1940">
        <v>80</v>
      </c>
      <c r="D1940">
        <v>79.962966918999996</v>
      </c>
      <c r="E1940">
        <v>50</v>
      </c>
      <c r="F1940">
        <v>45.605827331999997</v>
      </c>
      <c r="G1940">
        <v>1380.5040283000001</v>
      </c>
      <c r="H1940">
        <v>1366.8320312000001</v>
      </c>
      <c r="I1940">
        <v>1286.8306885</v>
      </c>
      <c r="J1940">
        <v>1266.7696533000001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1553</v>
      </c>
      <c r="B1941" s="1">
        <f>DATE(2014,8,1) + TIME(0,0,0)</f>
        <v>41852</v>
      </c>
      <c r="C1941">
        <v>80</v>
      </c>
      <c r="D1941">
        <v>79.962966918999996</v>
      </c>
      <c r="E1941">
        <v>50</v>
      </c>
      <c r="F1941">
        <v>45.548984527999998</v>
      </c>
      <c r="G1941">
        <v>1380.4538574000001</v>
      </c>
      <c r="H1941">
        <v>1366.7904053</v>
      </c>
      <c r="I1941">
        <v>1286.7701416</v>
      </c>
      <c r="J1941">
        <v>1266.6749268000001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1554.623468</v>
      </c>
      <c r="B1942" s="1">
        <f>DATE(2014,8,2) + TIME(14,57,47)</f>
        <v>41853.623460648145</v>
      </c>
      <c r="C1942">
        <v>80</v>
      </c>
      <c r="D1942">
        <v>79.962997436999999</v>
      </c>
      <c r="E1942">
        <v>50</v>
      </c>
      <c r="F1942">
        <v>45.492378234999997</v>
      </c>
      <c r="G1942">
        <v>1380.40625</v>
      </c>
      <c r="H1942">
        <v>1366.75</v>
      </c>
      <c r="I1942">
        <v>1286.7180175999999</v>
      </c>
      <c r="J1942">
        <v>1266.5899658000001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1556.2989419999999</v>
      </c>
      <c r="B1943" s="1">
        <f>DATE(2014,8,4) + TIME(7,10,28)</f>
        <v>41855.298935185187</v>
      </c>
      <c r="C1943">
        <v>80</v>
      </c>
      <c r="D1943">
        <v>79.963012695000003</v>
      </c>
      <c r="E1943">
        <v>50</v>
      </c>
      <c r="F1943">
        <v>45.431957245</v>
      </c>
      <c r="G1943">
        <v>1380.3533935999999</v>
      </c>
      <c r="H1943">
        <v>1366.7055664</v>
      </c>
      <c r="I1943">
        <v>1286.6546631000001</v>
      </c>
      <c r="J1943">
        <v>1266.4895019999999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1557.997022</v>
      </c>
      <c r="B1944" s="1">
        <f>DATE(2014,8,5) + TIME(23,55,42)</f>
        <v>41856.997013888889</v>
      </c>
      <c r="C1944">
        <v>80</v>
      </c>
      <c r="D1944">
        <v>79.963027953999998</v>
      </c>
      <c r="E1944">
        <v>50</v>
      </c>
      <c r="F1944">
        <v>45.369846344000003</v>
      </c>
      <c r="G1944">
        <v>1380.2990723</v>
      </c>
      <c r="H1944">
        <v>1366.6600341999999</v>
      </c>
      <c r="I1944">
        <v>1286.588501</v>
      </c>
      <c r="J1944">
        <v>1266.3840332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1559.72145</v>
      </c>
      <c r="B1945" s="1">
        <f>DATE(2014,8,7) + TIME(17,18,53)</f>
        <v>41858.721446759257</v>
      </c>
      <c r="C1945">
        <v>80</v>
      </c>
      <c r="D1945">
        <v>79.963043213000006</v>
      </c>
      <c r="E1945">
        <v>50</v>
      </c>
      <c r="F1945">
        <v>45.307201384999999</v>
      </c>
      <c r="G1945">
        <v>1380.2443848</v>
      </c>
      <c r="H1945">
        <v>1366.6140137</v>
      </c>
      <c r="I1945">
        <v>1286.520874</v>
      </c>
      <c r="J1945">
        <v>1266.2753906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1561.477697</v>
      </c>
      <c r="B1946" s="1">
        <f>DATE(2014,8,9) + TIME(11,27,53)</f>
        <v>41860.477696759262</v>
      </c>
      <c r="C1946">
        <v>80</v>
      </c>
      <c r="D1946">
        <v>79.963066100999995</v>
      </c>
      <c r="E1946">
        <v>50</v>
      </c>
      <c r="F1946">
        <v>45.244388579999999</v>
      </c>
      <c r="G1946">
        <v>1380.1894531</v>
      </c>
      <c r="H1946">
        <v>1366.5676269999999</v>
      </c>
      <c r="I1946">
        <v>1286.4516602000001</v>
      </c>
      <c r="J1946">
        <v>1266.1639404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1563.2641160000001</v>
      </c>
      <c r="B1947" s="1">
        <f>DATE(2014,8,11) + TIME(6,20,19)</f>
        <v>41862.264108796298</v>
      </c>
      <c r="C1947">
        <v>80</v>
      </c>
      <c r="D1947">
        <v>79.963081360000004</v>
      </c>
      <c r="E1947">
        <v>50</v>
      </c>
      <c r="F1947">
        <v>45.181579589999998</v>
      </c>
      <c r="G1947">
        <v>1380.1340332</v>
      </c>
      <c r="H1947">
        <v>1366.520874</v>
      </c>
      <c r="I1947">
        <v>1286.3809814000001</v>
      </c>
      <c r="J1947">
        <v>1266.0495605000001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1565.0605909999999</v>
      </c>
      <c r="B1948" s="1">
        <f>DATE(2014,8,13) + TIME(1,27,15)</f>
        <v>41864.060590277775</v>
      </c>
      <c r="C1948">
        <v>80</v>
      </c>
      <c r="D1948">
        <v>79.963096618999998</v>
      </c>
      <c r="E1948">
        <v>50</v>
      </c>
      <c r="F1948">
        <v>45.119190216</v>
      </c>
      <c r="G1948">
        <v>1380.0784911999999</v>
      </c>
      <c r="H1948">
        <v>1366.473999</v>
      </c>
      <c r="I1948">
        <v>1286.3087158000001</v>
      </c>
      <c r="J1948">
        <v>1265.9323730000001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1566.872689</v>
      </c>
      <c r="B1949" s="1">
        <f>DATE(2014,8,14) + TIME(20,56,40)</f>
        <v>41865.872685185182</v>
      </c>
      <c r="C1949">
        <v>80</v>
      </c>
      <c r="D1949">
        <v>79.963119507000002</v>
      </c>
      <c r="E1949">
        <v>50</v>
      </c>
      <c r="F1949">
        <v>45.057655334000003</v>
      </c>
      <c r="G1949">
        <v>1380.0230713000001</v>
      </c>
      <c r="H1949">
        <v>1366.4270019999999</v>
      </c>
      <c r="I1949">
        <v>1286.2357178</v>
      </c>
      <c r="J1949">
        <v>1265.8134766000001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1568.706089</v>
      </c>
      <c r="B1950" s="1">
        <f>DATE(2014,8,16) + TIME(16,56,46)</f>
        <v>41867.706087962964</v>
      </c>
      <c r="C1950">
        <v>80</v>
      </c>
      <c r="D1950">
        <v>79.963134765999996</v>
      </c>
      <c r="E1950">
        <v>50</v>
      </c>
      <c r="F1950">
        <v>44.997085571</v>
      </c>
      <c r="G1950">
        <v>1379.9677733999999</v>
      </c>
      <c r="H1950">
        <v>1366.3800048999999</v>
      </c>
      <c r="I1950">
        <v>1286.1619873</v>
      </c>
      <c r="J1950">
        <v>1265.6928711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1570.5647260000001</v>
      </c>
      <c r="B1951" s="1">
        <f>DATE(2014,8,18) + TIME(13,33,12)</f>
        <v>41869.564722222225</v>
      </c>
      <c r="C1951">
        <v>80</v>
      </c>
      <c r="D1951">
        <v>79.963157654</v>
      </c>
      <c r="E1951">
        <v>50</v>
      </c>
      <c r="F1951">
        <v>44.937526703000003</v>
      </c>
      <c r="G1951">
        <v>1379.9123535000001</v>
      </c>
      <c r="H1951">
        <v>1366.3328856999999</v>
      </c>
      <c r="I1951">
        <v>1286.0874022999999</v>
      </c>
      <c r="J1951">
        <v>1265.5703125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1572.4407670000001</v>
      </c>
      <c r="B1952" s="1">
        <f>DATE(2014,8,20) + TIME(10,34,42)</f>
        <v>41871.440763888888</v>
      </c>
      <c r="C1952">
        <v>80</v>
      </c>
      <c r="D1952">
        <v>79.963180542000003</v>
      </c>
      <c r="E1952">
        <v>50</v>
      </c>
      <c r="F1952">
        <v>44.879161834999998</v>
      </c>
      <c r="G1952">
        <v>1379.8569336</v>
      </c>
      <c r="H1952">
        <v>1366.2856445</v>
      </c>
      <c r="I1952">
        <v>1286.0117187999999</v>
      </c>
      <c r="J1952">
        <v>1265.4459228999999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1574.3398219999999</v>
      </c>
      <c r="B1953" s="1">
        <f>DATE(2014,8,22) + TIME(8,9,20)</f>
        <v>41873.339814814812</v>
      </c>
      <c r="C1953">
        <v>80</v>
      </c>
      <c r="D1953">
        <v>79.963195800999998</v>
      </c>
      <c r="E1953">
        <v>50</v>
      </c>
      <c r="F1953">
        <v>44.822242737000003</v>
      </c>
      <c r="G1953">
        <v>1379.8013916</v>
      </c>
      <c r="H1953">
        <v>1366.2382812000001</v>
      </c>
      <c r="I1953">
        <v>1285.9354248</v>
      </c>
      <c r="J1953">
        <v>1265.3198242000001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1576.267707</v>
      </c>
      <c r="B1954" s="1">
        <f>DATE(2014,8,24) + TIME(6,25,29)</f>
        <v>41875.267696759256</v>
      </c>
      <c r="C1954">
        <v>80</v>
      </c>
      <c r="D1954">
        <v>79.963218689000001</v>
      </c>
      <c r="E1954">
        <v>50</v>
      </c>
      <c r="F1954">
        <v>44.766895294000001</v>
      </c>
      <c r="G1954">
        <v>1379.7457274999999</v>
      </c>
      <c r="H1954">
        <v>1366.1906738</v>
      </c>
      <c r="I1954">
        <v>1285.8585204999999</v>
      </c>
      <c r="J1954">
        <v>1265.1922606999999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1578.230607</v>
      </c>
      <c r="B1955" s="1">
        <f>DATE(2014,8,26) + TIME(5,32,4)</f>
        <v>41877.23060185185</v>
      </c>
      <c r="C1955">
        <v>80</v>
      </c>
      <c r="D1955">
        <v>79.963241577000005</v>
      </c>
      <c r="E1955">
        <v>50</v>
      </c>
      <c r="F1955">
        <v>44.713241576999998</v>
      </c>
      <c r="G1955">
        <v>1379.6898193</v>
      </c>
      <c r="H1955">
        <v>1366.1428223</v>
      </c>
      <c r="I1955">
        <v>1285.7807617000001</v>
      </c>
      <c r="J1955">
        <v>1265.0628661999999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1580.2351590000001</v>
      </c>
      <c r="B1956" s="1">
        <f>DATE(2014,8,28) + TIME(5,38,37)</f>
        <v>41879.235150462962</v>
      </c>
      <c r="C1956">
        <v>80</v>
      </c>
      <c r="D1956">
        <v>79.963264464999995</v>
      </c>
      <c r="E1956">
        <v>50</v>
      </c>
      <c r="F1956">
        <v>44.661449431999998</v>
      </c>
      <c r="G1956">
        <v>1379.6334228999999</v>
      </c>
      <c r="H1956">
        <v>1366.0944824000001</v>
      </c>
      <c r="I1956">
        <v>1285.7020264</v>
      </c>
      <c r="J1956">
        <v>1264.9313964999999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1582.2743599999999</v>
      </c>
      <c r="B1957" s="1">
        <f>DATE(2014,8,30) + TIME(6,35,4)</f>
        <v>41881.274351851855</v>
      </c>
      <c r="C1957">
        <v>80</v>
      </c>
      <c r="D1957">
        <v>79.963287354000002</v>
      </c>
      <c r="E1957">
        <v>50</v>
      </c>
      <c r="F1957">
        <v>44.611824036000002</v>
      </c>
      <c r="G1957">
        <v>1379.5765381000001</v>
      </c>
      <c r="H1957">
        <v>1366.0455322</v>
      </c>
      <c r="I1957">
        <v>1285.6223144999999</v>
      </c>
      <c r="J1957">
        <v>1264.7979736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1584</v>
      </c>
      <c r="B1958" s="1">
        <f>DATE(2014,9,1) + TIME(0,0,0)</f>
        <v>41883</v>
      </c>
      <c r="C1958">
        <v>80</v>
      </c>
      <c r="D1958">
        <v>79.963302612000007</v>
      </c>
      <c r="E1958">
        <v>50</v>
      </c>
      <c r="F1958">
        <v>44.56734848</v>
      </c>
      <c r="G1958">
        <v>1379.5223389</v>
      </c>
      <c r="H1958">
        <v>1365.9991454999999</v>
      </c>
      <c r="I1958">
        <v>1285.5435791</v>
      </c>
      <c r="J1958">
        <v>1264.6661377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1586.0566349999999</v>
      </c>
      <c r="B1959" s="1">
        <f>DATE(2014,9,3) + TIME(1,21,33)</f>
        <v>41885.056631944448</v>
      </c>
      <c r="C1959">
        <v>80</v>
      </c>
      <c r="D1959">
        <v>79.963333129999995</v>
      </c>
      <c r="E1959">
        <v>50</v>
      </c>
      <c r="F1959">
        <v>44.527042389000002</v>
      </c>
      <c r="G1959">
        <v>1379.4700928</v>
      </c>
      <c r="H1959">
        <v>1365.9537353999999</v>
      </c>
      <c r="I1959">
        <v>1285.4735106999999</v>
      </c>
      <c r="J1959">
        <v>1264.5471190999999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1588.1427570000001</v>
      </c>
      <c r="B1960" s="1">
        <f>DATE(2014,9,5) + TIME(3,25,34)</f>
        <v>41887.142754629633</v>
      </c>
      <c r="C1960">
        <v>80</v>
      </c>
      <c r="D1960">
        <v>79.963356017999999</v>
      </c>
      <c r="E1960">
        <v>50</v>
      </c>
      <c r="F1960">
        <v>44.487888335999997</v>
      </c>
      <c r="G1960">
        <v>1379.4140625</v>
      </c>
      <c r="H1960">
        <v>1365.9053954999999</v>
      </c>
      <c r="I1960">
        <v>1285.3950195</v>
      </c>
      <c r="J1960">
        <v>1264.4146728999999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1590.2474110000001</v>
      </c>
      <c r="B1961" s="1">
        <f>DATE(2014,9,7) + TIME(5,56,16)</f>
        <v>41889.247407407405</v>
      </c>
      <c r="C1961">
        <v>80</v>
      </c>
      <c r="D1961">
        <v>79.963386536000002</v>
      </c>
      <c r="E1961">
        <v>50</v>
      </c>
      <c r="F1961">
        <v>44.452060699</v>
      </c>
      <c r="G1961">
        <v>1379.3574219</v>
      </c>
      <c r="H1961">
        <v>1365.8563231999999</v>
      </c>
      <c r="I1961">
        <v>1285.3160399999999</v>
      </c>
      <c r="J1961">
        <v>1264.2808838000001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1592.3769950000001</v>
      </c>
      <c r="B1962" s="1">
        <f>DATE(2014,9,9) + TIME(9,2,52)</f>
        <v>41891.37699074074</v>
      </c>
      <c r="C1962">
        <v>80</v>
      </c>
      <c r="D1962">
        <v>79.963409424000005</v>
      </c>
      <c r="E1962">
        <v>50</v>
      </c>
      <c r="F1962">
        <v>44.420562744000001</v>
      </c>
      <c r="G1962">
        <v>1379.3005370999999</v>
      </c>
      <c r="H1962">
        <v>1365.8070068</v>
      </c>
      <c r="I1962">
        <v>1285.2374268000001</v>
      </c>
      <c r="J1962">
        <v>1264.1474608999999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1594.5381319999999</v>
      </c>
      <c r="B1963" s="1">
        <f>DATE(2014,9,11) + TIME(12,54,54)</f>
        <v>41893.538124999999</v>
      </c>
      <c r="C1963">
        <v>80</v>
      </c>
      <c r="D1963">
        <v>79.963432311999995</v>
      </c>
      <c r="E1963">
        <v>50</v>
      </c>
      <c r="F1963">
        <v>44.393981934000003</v>
      </c>
      <c r="G1963">
        <v>1379.2432861</v>
      </c>
      <c r="H1963">
        <v>1365.7573242000001</v>
      </c>
      <c r="I1963">
        <v>1285.1594238</v>
      </c>
      <c r="J1963">
        <v>1264.0145264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1596.737928</v>
      </c>
      <c r="B1964" s="1">
        <f>DATE(2014,9,13) + TIME(17,42,36)</f>
        <v>41895.737916666665</v>
      </c>
      <c r="C1964">
        <v>80</v>
      </c>
      <c r="D1964">
        <v>79.963462829999997</v>
      </c>
      <c r="E1964">
        <v>50</v>
      </c>
      <c r="F1964">
        <v>44.372856140000003</v>
      </c>
      <c r="G1964">
        <v>1379.1857910000001</v>
      </c>
      <c r="H1964">
        <v>1365.7072754000001</v>
      </c>
      <c r="I1964">
        <v>1285.0817870999999</v>
      </c>
      <c r="J1964">
        <v>1263.8822021000001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1598.9839649999999</v>
      </c>
      <c r="B1965" s="1">
        <f>DATE(2014,9,15) + TIME(23,36,54)</f>
        <v>41897.983958333331</v>
      </c>
      <c r="C1965">
        <v>80</v>
      </c>
      <c r="D1965">
        <v>79.963485718000001</v>
      </c>
      <c r="E1965">
        <v>50</v>
      </c>
      <c r="F1965">
        <v>44.357807158999996</v>
      </c>
      <c r="G1965">
        <v>1379.1278076000001</v>
      </c>
      <c r="H1965">
        <v>1365.6567382999999</v>
      </c>
      <c r="I1965">
        <v>1285.0047606999999</v>
      </c>
      <c r="J1965">
        <v>1263.7506103999999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1601.2389619999999</v>
      </c>
      <c r="B1966" s="1">
        <f>DATE(2014,9,18) + TIME(5,44,6)</f>
        <v>41900.238958333335</v>
      </c>
      <c r="C1966">
        <v>80</v>
      </c>
      <c r="D1966">
        <v>79.963516235</v>
      </c>
      <c r="E1966">
        <v>50</v>
      </c>
      <c r="F1966">
        <v>44.349609375</v>
      </c>
      <c r="G1966">
        <v>1379.0694579999999</v>
      </c>
      <c r="H1966">
        <v>1365.6058350000001</v>
      </c>
      <c r="I1966">
        <v>1284.9284668</v>
      </c>
      <c r="J1966">
        <v>1263.6201172000001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1603.509462</v>
      </c>
      <c r="B1967" s="1">
        <f>DATE(2014,9,20) + TIME(12,13,37)</f>
        <v>41902.509456018517</v>
      </c>
      <c r="C1967">
        <v>80</v>
      </c>
      <c r="D1967">
        <v>79.963546753000003</v>
      </c>
      <c r="E1967">
        <v>50</v>
      </c>
      <c r="F1967">
        <v>44.349021911999998</v>
      </c>
      <c r="G1967">
        <v>1379.0112305</v>
      </c>
      <c r="H1967">
        <v>1365.5548096</v>
      </c>
      <c r="I1967">
        <v>1284.8540039</v>
      </c>
      <c r="J1967">
        <v>1263.4926757999999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1605.8067940000001</v>
      </c>
      <c r="B1968" s="1">
        <f>DATE(2014,9,22) + TIME(19,21,46)</f>
        <v>41904.80678240741</v>
      </c>
      <c r="C1968">
        <v>80</v>
      </c>
      <c r="D1968">
        <v>79.963569641000007</v>
      </c>
      <c r="E1968">
        <v>50</v>
      </c>
      <c r="F1968">
        <v>44.356647490999997</v>
      </c>
      <c r="G1968">
        <v>1378.9530029</v>
      </c>
      <c r="H1968">
        <v>1365.5037841999999</v>
      </c>
      <c r="I1968">
        <v>1284.7814940999999</v>
      </c>
      <c r="J1968">
        <v>1263.3686522999999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1608.1523319999999</v>
      </c>
      <c r="B1969" s="1">
        <f>DATE(2014,9,25) + TIME(3,39,21)</f>
        <v>41907.152326388888</v>
      </c>
      <c r="C1969">
        <v>80</v>
      </c>
      <c r="D1969">
        <v>79.963600158999995</v>
      </c>
      <c r="E1969">
        <v>50</v>
      </c>
      <c r="F1969">
        <v>44.373222351000003</v>
      </c>
      <c r="G1969">
        <v>1378.8945312000001</v>
      </c>
      <c r="H1969">
        <v>1365.4523925999999</v>
      </c>
      <c r="I1969">
        <v>1284.7106934000001</v>
      </c>
      <c r="J1969">
        <v>1263.2479248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1610.5281769999999</v>
      </c>
      <c r="B1970" s="1">
        <f>DATE(2014,9,27) + TIME(12,40,34)</f>
        <v>41909.528171296297</v>
      </c>
      <c r="C1970">
        <v>80</v>
      </c>
      <c r="D1970">
        <v>79.963630675999994</v>
      </c>
      <c r="E1970">
        <v>50</v>
      </c>
      <c r="F1970">
        <v>44.399650573999999</v>
      </c>
      <c r="G1970">
        <v>1378.8354492000001</v>
      </c>
      <c r="H1970">
        <v>1365.4006348</v>
      </c>
      <c r="I1970">
        <v>1284.6414795000001</v>
      </c>
      <c r="J1970">
        <v>1263.1301269999999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1612.933403</v>
      </c>
      <c r="B1971" s="1">
        <f>DATE(2014,9,29) + TIME(22,24,6)</f>
        <v>41911.93340277778</v>
      </c>
      <c r="C1971">
        <v>80</v>
      </c>
      <c r="D1971">
        <v>79.963661193999997</v>
      </c>
      <c r="E1971">
        <v>50</v>
      </c>
      <c r="F1971">
        <v>44.436717987000002</v>
      </c>
      <c r="G1971">
        <v>1378.7762451000001</v>
      </c>
      <c r="H1971">
        <v>1365.3483887</v>
      </c>
      <c r="I1971">
        <v>1284.5744629000001</v>
      </c>
      <c r="J1971">
        <v>1263.0166016000001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1614</v>
      </c>
      <c r="B1972" s="1">
        <f>DATE(2014,10,1) + TIME(0,0,0)</f>
        <v>41913</v>
      </c>
      <c r="C1972">
        <v>80</v>
      </c>
      <c r="D1972">
        <v>79.963653563999998</v>
      </c>
      <c r="E1972">
        <v>50</v>
      </c>
      <c r="F1972">
        <v>44.473773956000002</v>
      </c>
      <c r="G1972">
        <v>1378.7321777</v>
      </c>
      <c r="H1972">
        <v>1365.3106689000001</v>
      </c>
      <c r="I1972">
        <v>1284.5203856999999</v>
      </c>
      <c r="J1972">
        <v>1262.9201660000001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1616.442143</v>
      </c>
      <c r="B1973" s="1">
        <f>DATE(2014,10,3) + TIME(10,36,41)</f>
        <v>41915.442141203705</v>
      </c>
      <c r="C1973">
        <v>80</v>
      </c>
      <c r="D1973">
        <v>79.963706970000004</v>
      </c>
      <c r="E1973">
        <v>50</v>
      </c>
      <c r="F1973">
        <v>44.515399932999998</v>
      </c>
      <c r="G1973">
        <v>1378.6866454999999</v>
      </c>
      <c r="H1973">
        <v>1365.269043</v>
      </c>
      <c r="I1973">
        <v>1284.479126</v>
      </c>
      <c r="J1973">
        <v>1262.8580322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1618.9525149999999</v>
      </c>
      <c r="B1974" s="1">
        <f>DATE(2014,10,5) + TIME(22,51,37)</f>
        <v>41917.952511574076</v>
      </c>
      <c r="C1974">
        <v>80</v>
      </c>
      <c r="D1974">
        <v>79.963745117000002</v>
      </c>
      <c r="E1974">
        <v>50</v>
      </c>
      <c r="F1974">
        <v>44.578590392999999</v>
      </c>
      <c r="G1974">
        <v>1378.6295166</v>
      </c>
      <c r="H1974">
        <v>1365.2186279</v>
      </c>
      <c r="I1974">
        <v>1284.4211425999999</v>
      </c>
      <c r="J1974">
        <v>1262.7607422000001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1621.493485</v>
      </c>
      <c r="B1975" s="1">
        <f>DATE(2014,10,8) + TIME(11,50,37)</f>
        <v>41920.493483796294</v>
      </c>
      <c r="C1975">
        <v>80</v>
      </c>
      <c r="D1975">
        <v>79.963775635000005</v>
      </c>
      <c r="E1975">
        <v>50</v>
      </c>
      <c r="F1975">
        <v>44.657936096</v>
      </c>
      <c r="G1975">
        <v>1378.5698242000001</v>
      </c>
      <c r="H1975">
        <v>1365.1657714999999</v>
      </c>
      <c r="I1975">
        <v>1284.3635254000001</v>
      </c>
      <c r="J1975">
        <v>1262.6662598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1624.034756</v>
      </c>
      <c r="B1976" s="1">
        <f>DATE(2014,10,11) + TIME(0,50,2)</f>
        <v>41923.034745370373</v>
      </c>
      <c r="C1976">
        <v>80</v>
      </c>
      <c r="D1976">
        <v>79.963806152000004</v>
      </c>
      <c r="E1976">
        <v>50</v>
      </c>
      <c r="F1976">
        <v>44.751697540000002</v>
      </c>
      <c r="G1976">
        <v>1378.5096435999999</v>
      </c>
      <c r="H1976">
        <v>1365.1124268000001</v>
      </c>
      <c r="I1976">
        <v>1284.3089600000001</v>
      </c>
      <c r="J1976">
        <v>1262.5780029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1626.5825090000001</v>
      </c>
      <c r="B1977" s="1">
        <f>DATE(2014,10,13) + TIME(13,58,48)</f>
        <v>41925.582499999997</v>
      </c>
      <c r="C1977">
        <v>80</v>
      </c>
      <c r="D1977">
        <v>79.963836670000006</v>
      </c>
      <c r="E1977">
        <v>50</v>
      </c>
      <c r="F1977">
        <v>44.858966827000003</v>
      </c>
      <c r="G1977">
        <v>1378.4495850000001</v>
      </c>
      <c r="H1977">
        <v>1365.059082</v>
      </c>
      <c r="I1977">
        <v>1284.2579346</v>
      </c>
      <c r="J1977">
        <v>1262.4978027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1629.1554639999999</v>
      </c>
      <c r="B1978" s="1">
        <f>DATE(2014,10,16) + TIME(3,43,52)</f>
        <v>41928.155462962961</v>
      </c>
      <c r="C1978">
        <v>80</v>
      </c>
      <c r="D1978">
        <v>79.963874817000004</v>
      </c>
      <c r="E1978">
        <v>50</v>
      </c>
      <c r="F1978">
        <v>44.979816436999997</v>
      </c>
      <c r="G1978">
        <v>1378.3898925999999</v>
      </c>
      <c r="H1978">
        <v>1365.0058594</v>
      </c>
      <c r="I1978">
        <v>1284.2108154</v>
      </c>
      <c r="J1978">
        <v>1262.4256591999999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1631.7652700000001</v>
      </c>
      <c r="B1979" s="1">
        <f>DATE(2014,10,18) + TIME(18,21,59)</f>
        <v>41930.765266203707</v>
      </c>
      <c r="C1979">
        <v>80</v>
      </c>
      <c r="D1979">
        <v>79.963905334000003</v>
      </c>
      <c r="E1979">
        <v>50</v>
      </c>
      <c r="F1979">
        <v>45.114791869999998</v>
      </c>
      <c r="G1979">
        <v>1378.3300781</v>
      </c>
      <c r="H1979">
        <v>1364.9526367000001</v>
      </c>
      <c r="I1979">
        <v>1284.1672363</v>
      </c>
      <c r="J1979">
        <v>1262.3613281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1634.420451</v>
      </c>
      <c r="B1980" s="1">
        <f>DATE(2014,10,21) + TIME(10,5,27)</f>
        <v>41933.420451388891</v>
      </c>
      <c r="C1980">
        <v>80</v>
      </c>
      <c r="D1980">
        <v>79.963943481000001</v>
      </c>
      <c r="E1980">
        <v>50</v>
      </c>
      <c r="F1980">
        <v>45.264404296999999</v>
      </c>
      <c r="G1980">
        <v>1378.2700195</v>
      </c>
      <c r="H1980">
        <v>1364.8990478999999</v>
      </c>
      <c r="I1980">
        <v>1284.1273193</v>
      </c>
      <c r="J1980">
        <v>1262.3050536999999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1637.1300980000001</v>
      </c>
      <c r="B1981" s="1">
        <f>DATE(2014,10,24) + TIME(3,7,20)</f>
        <v>41936.13009259259</v>
      </c>
      <c r="C1981">
        <v>80</v>
      </c>
      <c r="D1981">
        <v>79.963973999000004</v>
      </c>
      <c r="E1981">
        <v>50</v>
      </c>
      <c r="F1981">
        <v>45.428955078000001</v>
      </c>
      <c r="G1981">
        <v>1378.2095947</v>
      </c>
      <c r="H1981">
        <v>1364.8450928</v>
      </c>
      <c r="I1981">
        <v>1284.0906981999999</v>
      </c>
      <c r="J1981">
        <v>1262.2567139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1639.8934409999999</v>
      </c>
      <c r="B1982" s="1">
        <f>DATE(2014,10,26) + TIME(21,26,33)</f>
        <v>41938.893437500003</v>
      </c>
      <c r="C1982">
        <v>80</v>
      </c>
      <c r="D1982">
        <v>79.964012146000002</v>
      </c>
      <c r="E1982">
        <v>50</v>
      </c>
      <c r="F1982">
        <v>45.608623504999997</v>
      </c>
      <c r="G1982">
        <v>1378.1488036999999</v>
      </c>
      <c r="H1982">
        <v>1364.7906493999999</v>
      </c>
      <c r="I1982">
        <v>1284.0577393000001</v>
      </c>
      <c r="J1982">
        <v>1262.2164307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1642.6908370000001</v>
      </c>
      <c r="B1983" s="1">
        <f>DATE(2014,10,29) + TIME(16,34,48)</f>
        <v>41941.690833333334</v>
      </c>
      <c r="C1983">
        <v>80</v>
      </c>
      <c r="D1983">
        <v>79.964050293</v>
      </c>
      <c r="E1983">
        <v>50</v>
      </c>
      <c r="F1983">
        <v>45.802684784</v>
      </c>
      <c r="G1983">
        <v>1378.0876464999999</v>
      </c>
      <c r="H1983">
        <v>1364.7358397999999</v>
      </c>
      <c r="I1983">
        <v>1284.0285644999999</v>
      </c>
      <c r="J1983">
        <v>1262.1846923999999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1645</v>
      </c>
      <c r="B1984" s="1">
        <f>DATE(2014,11,1) + TIME(0,0,0)</f>
        <v>41944</v>
      </c>
      <c r="C1984">
        <v>80</v>
      </c>
      <c r="D1984">
        <v>79.964073181000003</v>
      </c>
      <c r="E1984">
        <v>50</v>
      </c>
      <c r="F1984">
        <v>46.000167847</v>
      </c>
      <c r="G1984">
        <v>1378.0301514</v>
      </c>
      <c r="H1984">
        <v>1364.6846923999999</v>
      </c>
      <c r="I1984">
        <v>1284.0062256000001</v>
      </c>
      <c r="J1984">
        <v>1262.1625977000001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1645.0000010000001</v>
      </c>
      <c r="B1985" s="1">
        <f>DATE(2014,11,1) + TIME(0,0,0)</f>
        <v>41944</v>
      </c>
      <c r="C1985">
        <v>80</v>
      </c>
      <c r="D1985">
        <v>79.964042664000004</v>
      </c>
      <c r="E1985">
        <v>50</v>
      </c>
      <c r="F1985">
        <v>46.000190734999997</v>
      </c>
      <c r="G1985">
        <v>1364.6746826000001</v>
      </c>
      <c r="H1985">
        <v>1352.7069091999999</v>
      </c>
      <c r="I1985">
        <v>1305.8428954999999</v>
      </c>
      <c r="J1985">
        <v>1284.0167236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1645.000004</v>
      </c>
      <c r="B1986" s="1">
        <f>DATE(2014,11,1) + TIME(0,0,0)</f>
        <v>41944</v>
      </c>
      <c r="C1986">
        <v>80</v>
      </c>
      <c r="D1986">
        <v>79.963943481000001</v>
      </c>
      <c r="E1986">
        <v>50</v>
      </c>
      <c r="F1986">
        <v>46.000251769999998</v>
      </c>
      <c r="G1986">
        <v>1364.6446533000001</v>
      </c>
      <c r="H1986">
        <v>1352.6768798999999</v>
      </c>
      <c r="I1986">
        <v>1305.8724365</v>
      </c>
      <c r="J1986">
        <v>1284.0480957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1645.0000130000001</v>
      </c>
      <c r="B1987" s="1">
        <f>DATE(2014,11,1) + TIME(0,0,1)</f>
        <v>41944.000011574077</v>
      </c>
      <c r="C1987">
        <v>80</v>
      </c>
      <c r="D1987">
        <v>79.963661193999997</v>
      </c>
      <c r="E1987">
        <v>50</v>
      </c>
      <c r="F1987">
        <v>46.000434875000003</v>
      </c>
      <c r="G1987">
        <v>1364.5554199000001</v>
      </c>
      <c r="H1987">
        <v>1352.5875243999999</v>
      </c>
      <c r="I1987">
        <v>1305.9610596</v>
      </c>
      <c r="J1987">
        <v>1284.1418457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1645.0000399999999</v>
      </c>
      <c r="B1988" s="1">
        <f>DATE(2014,11,1) + TIME(0,0,3)</f>
        <v>41944.000034722223</v>
      </c>
      <c r="C1988">
        <v>80</v>
      </c>
      <c r="D1988">
        <v>79.962814331000004</v>
      </c>
      <c r="E1988">
        <v>50</v>
      </c>
      <c r="F1988">
        <v>46.000980376999998</v>
      </c>
      <c r="G1988">
        <v>1364.2926024999999</v>
      </c>
      <c r="H1988">
        <v>1352.3244629000001</v>
      </c>
      <c r="I1988">
        <v>1306.2236327999999</v>
      </c>
      <c r="J1988">
        <v>1284.4196777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1645.000121</v>
      </c>
      <c r="B1989" s="1">
        <f>DATE(2014,11,1) + TIME(0,0,10)</f>
        <v>41944.000115740739</v>
      </c>
      <c r="C1989">
        <v>80</v>
      </c>
      <c r="D1989">
        <v>79.960426330999994</v>
      </c>
      <c r="E1989">
        <v>50</v>
      </c>
      <c r="F1989">
        <v>46.002574920999997</v>
      </c>
      <c r="G1989">
        <v>1363.5469971</v>
      </c>
      <c r="H1989">
        <v>1351.5782471</v>
      </c>
      <c r="I1989">
        <v>1306.9859618999999</v>
      </c>
      <c r="J1989">
        <v>1285.2246094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1645.000364</v>
      </c>
      <c r="B1990" s="1">
        <f>DATE(2014,11,1) + TIME(0,0,31)</f>
        <v>41944.000358796293</v>
      </c>
      <c r="C1990">
        <v>80</v>
      </c>
      <c r="D1990">
        <v>79.954254149999997</v>
      </c>
      <c r="E1990">
        <v>50</v>
      </c>
      <c r="F1990">
        <v>46.007045746000003</v>
      </c>
      <c r="G1990">
        <v>1361.6247559000001</v>
      </c>
      <c r="H1990">
        <v>1349.6541748</v>
      </c>
      <c r="I1990">
        <v>1309.0714111</v>
      </c>
      <c r="J1990">
        <v>1287.4141846</v>
      </c>
      <c r="K1990">
        <v>0</v>
      </c>
      <c r="L1990">
        <v>2400</v>
      </c>
      <c r="M1990">
        <v>2400</v>
      </c>
      <c r="N1990">
        <v>0</v>
      </c>
    </row>
    <row r="1991" spans="1:14" x14ac:dyDescent="0.25">
      <c r="A1991">
        <v>1645.0010930000001</v>
      </c>
      <c r="B1991" s="1">
        <f>DATE(2014,11,1) + TIME(0,1,34)</f>
        <v>41944.001087962963</v>
      </c>
      <c r="C1991">
        <v>80</v>
      </c>
      <c r="D1991">
        <v>79.941322326999995</v>
      </c>
      <c r="E1991">
        <v>50</v>
      </c>
      <c r="F1991">
        <v>46.018428802000003</v>
      </c>
      <c r="G1991">
        <v>1357.5915527</v>
      </c>
      <c r="H1991">
        <v>1345.6179199000001</v>
      </c>
      <c r="I1991">
        <v>1314.0142822</v>
      </c>
      <c r="J1991">
        <v>1292.5388184000001</v>
      </c>
      <c r="K1991">
        <v>0</v>
      </c>
      <c r="L1991">
        <v>2400</v>
      </c>
      <c r="M1991">
        <v>2400</v>
      </c>
      <c r="N1991">
        <v>0</v>
      </c>
    </row>
    <row r="1992" spans="1:14" x14ac:dyDescent="0.25">
      <c r="A1992">
        <v>1645.0032799999999</v>
      </c>
      <c r="B1992" s="1">
        <f>DATE(2014,11,1) + TIME(0,4,43)</f>
        <v>41944.003275462965</v>
      </c>
      <c r="C1992">
        <v>80</v>
      </c>
      <c r="D1992">
        <v>79.921333313000005</v>
      </c>
      <c r="E1992">
        <v>50</v>
      </c>
      <c r="F1992">
        <v>46.042587279999999</v>
      </c>
      <c r="G1992">
        <v>1351.4082031</v>
      </c>
      <c r="H1992">
        <v>1339.4321289</v>
      </c>
      <c r="I1992">
        <v>1322.9688721</v>
      </c>
      <c r="J1992">
        <v>1301.6350098</v>
      </c>
      <c r="K1992">
        <v>0</v>
      </c>
      <c r="L1992">
        <v>2400</v>
      </c>
      <c r="M1992">
        <v>2400</v>
      </c>
      <c r="N1992">
        <v>0</v>
      </c>
    </row>
    <row r="1993" spans="1:14" x14ac:dyDescent="0.25">
      <c r="A1993">
        <v>1645.0098410000001</v>
      </c>
      <c r="B1993" s="1">
        <f>DATE(2014,11,1) + TIME(0,14,10)</f>
        <v>41944.009837962964</v>
      </c>
      <c r="C1993">
        <v>80</v>
      </c>
      <c r="D1993">
        <v>79.897880553999997</v>
      </c>
      <c r="E1993">
        <v>50</v>
      </c>
      <c r="F1993">
        <v>46.092647552000003</v>
      </c>
      <c r="G1993">
        <v>1344.2905272999999</v>
      </c>
      <c r="H1993">
        <v>1332.3140868999999</v>
      </c>
      <c r="I1993">
        <v>1334.7304687999999</v>
      </c>
      <c r="J1993">
        <v>1313.4235839999999</v>
      </c>
      <c r="K1993">
        <v>0</v>
      </c>
      <c r="L1993">
        <v>2400</v>
      </c>
      <c r="M1993">
        <v>2400</v>
      </c>
      <c r="N1993">
        <v>0</v>
      </c>
    </row>
    <row r="1994" spans="1:14" x14ac:dyDescent="0.25">
      <c r="A1994">
        <v>1645.029524</v>
      </c>
      <c r="B1994" s="1">
        <f>DATE(2014,11,1) + TIME(0,42,30)</f>
        <v>41944.029513888891</v>
      </c>
      <c r="C1994">
        <v>80</v>
      </c>
      <c r="D1994">
        <v>79.872779846</v>
      </c>
      <c r="E1994">
        <v>50</v>
      </c>
      <c r="F1994">
        <v>46.207386016999997</v>
      </c>
      <c r="G1994">
        <v>1337.0533447</v>
      </c>
      <c r="H1994">
        <v>1325.0772704999999</v>
      </c>
      <c r="I1994">
        <v>1347.2413329999999</v>
      </c>
      <c r="J1994">
        <v>1325.9620361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1645.0872469999999</v>
      </c>
      <c r="B1995" s="1">
        <f>DATE(2014,11,1) + TIME(2,5,38)</f>
        <v>41944.087245370371</v>
      </c>
      <c r="C1995">
        <v>80</v>
      </c>
      <c r="D1995">
        <v>79.844436646000005</v>
      </c>
      <c r="E1995">
        <v>50</v>
      </c>
      <c r="F1995">
        <v>46.487674712999997</v>
      </c>
      <c r="G1995">
        <v>1329.8544922000001</v>
      </c>
      <c r="H1995">
        <v>1317.8555908000001</v>
      </c>
      <c r="I1995">
        <v>1359.6573486</v>
      </c>
      <c r="J1995">
        <v>1338.4748535000001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1645.1498300000001</v>
      </c>
      <c r="B1996" s="1">
        <f>DATE(2014,11,1) + TIME(3,35,45)</f>
        <v>41944.149826388886</v>
      </c>
      <c r="C1996">
        <v>80</v>
      </c>
      <c r="D1996">
        <v>79.824996948000006</v>
      </c>
      <c r="E1996">
        <v>50</v>
      </c>
      <c r="F1996">
        <v>46.759563446000001</v>
      </c>
      <c r="G1996">
        <v>1325.7871094</v>
      </c>
      <c r="H1996">
        <v>1313.7456055</v>
      </c>
      <c r="I1996">
        <v>1366.5489502</v>
      </c>
      <c r="J1996">
        <v>1345.4440918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1645.2167280000001</v>
      </c>
      <c r="B1997" s="1">
        <f>DATE(2014,11,1) + TIME(5,12,5)</f>
        <v>41944.216724537036</v>
      </c>
      <c r="C1997">
        <v>80</v>
      </c>
      <c r="D1997">
        <v>79.808822632000002</v>
      </c>
      <c r="E1997">
        <v>50</v>
      </c>
      <c r="F1997">
        <v>47.023269653</v>
      </c>
      <c r="G1997">
        <v>1322.9678954999999</v>
      </c>
      <c r="H1997">
        <v>1310.875</v>
      </c>
      <c r="I1997">
        <v>1371.1931152</v>
      </c>
      <c r="J1997">
        <v>1350.1586914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1645.2881110000001</v>
      </c>
      <c r="B1998" s="1">
        <f>DATE(2014,11,1) + TIME(6,54,52)</f>
        <v>41944.288101851853</v>
      </c>
      <c r="C1998">
        <v>80</v>
      </c>
      <c r="D1998">
        <v>79.794059752999999</v>
      </c>
      <c r="E1998">
        <v>50</v>
      </c>
      <c r="F1998">
        <v>47.278892517000003</v>
      </c>
      <c r="G1998">
        <v>1320.7836914</v>
      </c>
      <c r="H1998">
        <v>1308.6390381000001</v>
      </c>
      <c r="I1998">
        <v>1374.6749268000001</v>
      </c>
      <c r="J1998">
        <v>1353.7062988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1645.3644389999999</v>
      </c>
      <c r="B1999" s="1">
        <f>DATE(2014,11,1) + TIME(8,44,47)</f>
        <v>41944.364432870374</v>
      </c>
      <c r="C1999">
        <v>80</v>
      </c>
      <c r="D1999">
        <v>79.779914856000005</v>
      </c>
      <c r="E1999">
        <v>50</v>
      </c>
      <c r="F1999">
        <v>47.52640152</v>
      </c>
      <c r="G1999">
        <v>1318.9803466999999</v>
      </c>
      <c r="H1999">
        <v>1306.7880858999999</v>
      </c>
      <c r="I1999">
        <v>1377.4532471</v>
      </c>
      <c r="J1999">
        <v>1356.5476074000001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1645.4463499999999</v>
      </c>
      <c r="B2000" s="1">
        <f>DATE(2014,11,1) + TIME(10,42,44)</f>
        <v>41944.446342592593</v>
      </c>
      <c r="C2000">
        <v>80</v>
      </c>
      <c r="D2000">
        <v>79.765945435000006</v>
      </c>
      <c r="E2000">
        <v>50</v>
      </c>
      <c r="F2000">
        <v>47.765655518000003</v>
      </c>
      <c r="G2000">
        <v>1317.4321289</v>
      </c>
      <c r="H2000">
        <v>1305.1981201000001</v>
      </c>
      <c r="I2000">
        <v>1379.7602539</v>
      </c>
      <c r="J2000">
        <v>1358.9157714999999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1645.5346609999999</v>
      </c>
      <c r="B2001" s="1">
        <f>DATE(2014,11,1) + TIME(12,49,54)</f>
        <v>41944.53465277778</v>
      </c>
      <c r="C2001">
        <v>80</v>
      </c>
      <c r="D2001">
        <v>79.751876831000004</v>
      </c>
      <c r="E2001">
        <v>50</v>
      </c>
      <c r="F2001">
        <v>47.996425629000001</v>
      </c>
      <c r="G2001">
        <v>1316.0676269999999</v>
      </c>
      <c r="H2001">
        <v>1303.7977295000001</v>
      </c>
      <c r="I2001">
        <v>1381.7292480000001</v>
      </c>
      <c r="J2001">
        <v>1360.9444579999999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1645.630414</v>
      </c>
      <c r="B2002" s="1">
        <f>DATE(2014,11,1) + TIME(15,7,47)</f>
        <v>41944.63040509259</v>
      </c>
      <c r="C2002">
        <v>80</v>
      </c>
      <c r="D2002">
        <v>79.737472534000005</v>
      </c>
      <c r="E2002">
        <v>50</v>
      </c>
      <c r="F2002">
        <v>48.218421935999999</v>
      </c>
      <c r="G2002">
        <v>1314.8413086</v>
      </c>
      <c r="H2002">
        <v>1302.5415039</v>
      </c>
      <c r="I2002">
        <v>1383.4447021000001</v>
      </c>
      <c r="J2002">
        <v>1362.7185059000001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1645.7349240000001</v>
      </c>
      <c r="B2003" s="1">
        <f>DATE(2014,11,1) + TIME(17,38,17)</f>
        <v>41944.734918981485</v>
      </c>
      <c r="C2003">
        <v>80</v>
      </c>
      <c r="D2003">
        <v>79.722526549999998</v>
      </c>
      <c r="E2003">
        <v>50</v>
      </c>
      <c r="F2003">
        <v>48.431262969999999</v>
      </c>
      <c r="G2003">
        <v>1313.7222899999999</v>
      </c>
      <c r="H2003">
        <v>1301.3977050999999</v>
      </c>
      <c r="I2003">
        <v>1384.9633789</v>
      </c>
      <c r="J2003">
        <v>1364.2946777</v>
      </c>
      <c r="K2003">
        <v>0</v>
      </c>
      <c r="L2003">
        <v>2400</v>
      </c>
      <c r="M2003">
        <v>2400</v>
      </c>
      <c r="N2003">
        <v>0</v>
      </c>
    </row>
    <row r="2004" spans="1:14" x14ac:dyDescent="0.25">
      <c r="A2004">
        <v>1645.8498950000001</v>
      </c>
      <c r="B2004" s="1">
        <f>DATE(2014,11,1) + TIME(20,23,50)</f>
        <v>41944.84988425926</v>
      </c>
      <c r="C2004">
        <v>80</v>
      </c>
      <c r="D2004">
        <v>79.706825256000002</v>
      </c>
      <c r="E2004">
        <v>50</v>
      </c>
      <c r="F2004">
        <v>48.634510040000002</v>
      </c>
      <c r="G2004">
        <v>1312.6883545000001</v>
      </c>
      <c r="H2004">
        <v>1300.3432617000001</v>
      </c>
      <c r="I2004">
        <v>1386.3259277</v>
      </c>
      <c r="J2004">
        <v>1365.7137451000001</v>
      </c>
      <c r="K2004">
        <v>0</v>
      </c>
      <c r="L2004">
        <v>2400</v>
      </c>
      <c r="M2004">
        <v>2400</v>
      </c>
      <c r="N2004">
        <v>0</v>
      </c>
    </row>
    <row r="2005" spans="1:14" x14ac:dyDescent="0.25">
      <c r="A2005">
        <v>1645.9776079999999</v>
      </c>
      <c r="B2005" s="1">
        <f>DATE(2014,11,1) + TIME(23,27,45)</f>
        <v>41944.97760416667</v>
      </c>
      <c r="C2005">
        <v>80</v>
      </c>
      <c r="D2005">
        <v>79.690109253000003</v>
      </c>
      <c r="E2005">
        <v>50</v>
      </c>
      <c r="F2005">
        <v>48.827690124999997</v>
      </c>
      <c r="G2005">
        <v>1311.7218018000001</v>
      </c>
      <c r="H2005">
        <v>1299.3599853999999</v>
      </c>
      <c r="I2005">
        <v>1387.5632324000001</v>
      </c>
      <c r="J2005">
        <v>1367.0062256000001</v>
      </c>
      <c r="K2005">
        <v>0</v>
      </c>
      <c r="L2005">
        <v>2400</v>
      </c>
      <c r="M2005">
        <v>2400</v>
      </c>
      <c r="N2005">
        <v>0</v>
      </c>
    </row>
    <row r="2006" spans="1:14" x14ac:dyDescent="0.25">
      <c r="A2006">
        <v>1646.1211290000001</v>
      </c>
      <c r="B2006" s="1">
        <f>DATE(2014,11,2) + TIME(2,54,25)</f>
        <v>41945.121122685188</v>
      </c>
      <c r="C2006">
        <v>80</v>
      </c>
      <c r="D2006">
        <v>79.672073363999999</v>
      </c>
      <c r="E2006">
        <v>50</v>
      </c>
      <c r="F2006">
        <v>49.010196686</v>
      </c>
      <c r="G2006">
        <v>1310.8088379000001</v>
      </c>
      <c r="H2006">
        <v>1298.4332274999999</v>
      </c>
      <c r="I2006">
        <v>1388.6984863</v>
      </c>
      <c r="J2006">
        <v>1368.1954346</v>
      </c>
      <c r="K2006">
        <v>0</v>
      </c>
      <c r="L2006">
        <v>2400</v>
      </c>
      <c r="M2006">
        <v>2400</v>
      </c>
      <c r="N2006">
        <v>0</v>
      </c>
    </row>
    <row r="2007" spans="1:14" x14ac:dyDescent="0.25">
      <c r="A2007">
        <v>1646.284735</v>
      </c>
      <c r="B2007" s="1">
        <f>DATE(2014,11,2) + TIME(6,50,1)</f>
        <v>41945.284733796296</v>
      </c>
      <c r="C2007">
        <v>80</v>
      </c>
      <c r="D2007">
        <v>79.65234375</v>
      </c>
      <c r="E2007">
        <v>50</v>
      </c>
      <c r="F2007">
        <v>49.181304932000003</v>
      </c>
      <c r="G2007">
        <v>1309.9377440999999</v>
      </c>
      <c r="H2007">
        <v>1297.5506591999999</v>
      </c>
      <c r="I2007">
        <v>1389.7504882999999</v>
      </c>
      <c r="J2007">
        <v>1369.2996826000001</v>
      </c>
      <c r="K2007">
        <v>0</v>
      </c>
      <c r="L2007">
        <v>2400</v>
      </c>
      <c r="M2007">
        <v>2400</v>
      </c>
      <c r="N2007">
        <v>0</v>
      </c>
    </row>
    <row r="2008" spans="1:14" x14ac:dyDescent="0.25">
      <c r="A2008">
        <v>1646.4746110000001</v>
      </c>
      <c r="B2008" s="1">
        <f>DATE(2014,11,2) + TIME(11,23,26)</f>
        <v>41945.474606481483</v>
      </c>
      <c r="C2008">
        <v>80</v>
      </c>
      <c r="D2008">
        <v>79.630378723000007</v>
      </c>
      <c r="E2008">
        <v>50</v>
      </c>
      <c r="F2008">
        <v>49.340110779</v>
      </c>
      <c r="G2008">
        <v>1309.0985106999999</v>
      </c>
      <c r="H2008">
        <v>1296.7016602000001</v>
      </c>
      <c r="I2008">
        <v>1390.7340088000001</v>
      </c>
      <c r="J2008">
        <v>1370.3334961</v>
      </c>
      <c r="K2008">
        <v>0</v>
      </c>
      <c r="L2008">
        <v>2400</v>
      </c>
      <c r="M2008">
        <v>2400</v>
      </c>
      <c r="N2008">
        <v>0</v>
      </c>
    </row>
    <row r="2009" spans="1:14" x14ac:dyDescent="0.25">
      <c r="A2009">
        <v>1646.700108</v>
      </c>
      <c r="B2009" s="1">
        <f>DATE(2014,11,2) + TIME(16,48,9)</f>
        <v>41945.700104166666</v>
      </c>
      <c r="C2009">
        <v>80</v>
      </c>
      <c r="D2009">
        <v>79.605445861999996</v>
      </c>
      <c r="E2009">
        <v>50</v>
      </c>
      <c r="F2009">
        <v>49.485496521000002</v>
      </c>
      <c r="G2009">
        <v>1308.2822266000001</v>
      </c>
      <c r="H2009">
        <v>1295.8768310999999</v>
      </c>
      <c r="I2009">
        <v>1391.6606445</v>
      </c>
      <c r="J2009">
        <v>1371.3082274999999</v>
      </c>
      <c r="K2009">
        <v>0</v>
      </c>
      <c r="L2009">
        <v>2400</v>
      </c>
      <c r="M2009">
        <v>2400</v>
      </c>
      <c r="N2009">
        <v>0</v>
      </c>
    </row>
    <row r="2010" spans="1:14" x14ac:dyDescent="0.25">
      <c r="A2010">
        <v>1646.949971</v>
      </c>
      <c r="B2010" s="1">
        <f>DATE(2014,11,2) + TIME(22,47,57)</f>
        <v>41945.949965277781</v>
      </c>
      <c r="C2010">
        <v>80</v>
      </c>
      <c r="D2010">
        <v>79.578483582000004</v>
      </c>
      <c r="E2010">
        <v>50</v>
      </c>
      <c r="F2010">
        <v>49.606700897000003</v>
      </c>
      <c r="G2010">
        <v>1307.5433350000001</v>
      </c>
      <c r="H2010">
        <v>1295.1309814000001</v>
      </c>
      <c r="I2010">
        <v>1392.4693603999999</v>
      </c>
      <c r="J2010">
        <v>1372.1590576000001</v>
      </c>
      <c r="K2010">
        <v>0</v>
      </c>
      <c r="L2010">
        <v>2400</v>
      </c>
      <c r="M2010">
        <v>2400</v>
      </c>
      <c r="N2010">
        <v>0</v>
      </c>
    </row>
    <row r="2011" spans="1:14" x14ac:dyDescent="0.25">
      <c r="A2011">
        <v>1647.2030460000001</v>
      </c>
      <c r="B2011" s="1">
        <f>DATE(2014,11,3) + TIME(4,52,23)</f>
        <v>41946.203043981484</v>
      </c>
      <c r="C2011">
        <v>80</v>
      </c>
      <c r="D2011">
        <v>79.551155089999995</v>
      </c>
      <c r="E2011">
        <v>50</v>
      </c>
      <c r="F2011">
        <v>49.698783874999997</v>
      </c>
      <c r="G2011">
        <v>1306.9254149999999</v>
      </c>
      <c r="H2011">
        <v>1294.5076904</v>
      </c>
      <c r="I2011">
        <v>1393.1186522999999</v>
      </c>
      <c r="J2011">
        <v>1372.8427733999999</v>
      </c>
      <c r="K2011">
        <v>0</v>
      </c>
      <c r="L2011">
        <v>2400</v>
      </c>
      <c r="M2011">
        <v>2400</v>
      </c>
      <c r="N2011">
        <v>0</v>
      </c>
    </row>
    <row r="2012" spans="1:14" x14ac:dyDescent="0.25">
      <c r="A2012">
        <v>1647.4650779999999</v>
      </c>
      <c r="B2012" s="1">
        <f>DATE(2014,11,3) + TIME(11,9,42)</f>
        <v>41946.465069444443</v>
      </c>
      <c r="C2012">
        <v>80</v>
      </c>
      <c r="D2012">
        <v>79.523086547999995</v>
      </c>
      <c r="E2012">
        <v>50</v>
      </c>
      <c r="F2012">
        <v>49.769699097</v>
      </c>
      <c r="G2012">
        <v>1306.3956298999999</v>
      </c>
      <c r="H2012">
        <v>1293.9731445</v>
      </c>
      <c r="I2012">
        <v>1393.6547852000001</v>
      </c>
      <c r="J2012">
        <v>1373.4074707</v>
      </c>
      <c r="K2012">
        <v>0</v>
      </c>
      <c r="L2012">
        <v>2400</v>
      </c>
      <c r="M2012">
        <v>2400</v>
      </c>
      <c r="N2012">
        <v>0</v>
      </c>
    </row>
    <row r="2013" spans="1:14" x14ac:dyDescent="0.25">
      <c r="A2013">
        <v>1647.739233</v>
      </c>
      <c r="B2013" s="1">
        <f>DATE(2014,11,3) + TIME(17,44,29)</f>
        <v>41946.739224537036</v>
      </c>
      <c r="C2013">
        <v>80</v>
      </c>
      <c r="D2013">
        <v>79.494064331000004</v>
      </c>
      <c r="E2013">
        <v>50</v>
      </c>
      <c r="F2013">
        <v>49.824253081999998</v>
      </c>
      <c r="G2013">
        <v>1305.9362793</v>
      </c>
      <c r="H2013">
        <v>1293.5097656</v>
      </c>
      <c r="I2013">
        <v>1394.1005858999999</v>
      </c>
      <c r="J2013">
        <v>1373.8775635</v>
      </c>
      <c r="K2013">
        <v>0</v>
      </c>
      <c r="L2013">
        <v>2400</v>
      </c>
      <c r="M2013">
        <v>2400</v>
      </c>
      <c r="N2013">
        <v>0</v>
      </c>
    </row>
    <row r="2014" spans="1:14" x14ac:dyDescent="0.25">
      <c r="A2014">
        <v>1648.0292449999999</v>
      </c>
      <c r="B2014" s="1">
        <f>DATE(2014,11,4) + TIME(0,42,6)</f>
        <v>41947.029236111113</v>
      </c>
      <c r="C2014">
        <v>80</v>
      </c>
      <c r="D2014">
        <v>79.463813782000003</v>
      </c>
      <c r="E2014">
        <v>50</v>
      </c>
      <c r="F2014">
        <v>49.866069793999998</v>
      </c>
      <c r="G2014">
        <v>1305.534668</v>
      </c>
      <c r="H2014">
        <v>1293.1046143000001</v>
      </c>
      <c r="I2014">
        <v>1394.472168</v>
      </c>
      <c r="J2014">
        <v>1374.2698975000001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1648.339397</v>
      </c>
      <c r="B2015" s="1">
        <f>DATE(2014,11,4) + TIME(8,8,43)</f>
        <v>41947.339386574073</v>
      </c>
      <c r="C2015">
        <v>80</v>
      </c>
      <c r="D2015">
        <v>79.432022094999994</v>
      </c>
      <c r="E2015">
        <v>50</v>
      </c>
      <c r="F2015">
        <v>49.897884369000003</v>
      </c>
      <c r="G2015">
        <v>1305.1816406</v>
      </c>
      <c r="H2015">
        <v>1292.7482910000001</v>
      </c>
      <c r="I2015">
        <v>1394.7806396000001</v>
      </c>
      <c r="J2015">
        <v>1374.5964355000001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1648.675066</v>
      </c>
      <c r="B2016" s="1">
        <f>DATE(2014,11,4) + TIME(16,12,5)</f>
        <v>41947.675057870372</v>
      </c>
      <c r="C2016">
        <v>80</v>
      </c>
      <c r="D2016">
        <v>79.398284911999994</v>
      </c>
      <c r="E2016">
        <v>50</v>
      </c>
      <c r="F2016">
        <v>49.921829224</v>
      </c>
      <c r="G2016">
        <v>1304.8703613</v>
      </c>
      <c r="H2016">
        <v>1292.4338379000001</v>
      </c>
      <c r="I2016">
        <v>1395.0341797000001</v>
      </c>
      <c r="J2016">
        <v>1374.8660889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1649.039501</v>
      </c>
      <c r="B2017" s="1">
        <f>DATE(2014,11,5) + TIME(0,56,52)</f>
        <v>41948.039490740739</v>
      </c>
      <c r="C2017">
        <v>80</v>
      </c>
      <c r="D2017">
        <v>79.362350464000002</v>
      </c>
      <c r="E2017">
        <v>50</v>
      </c>
      <c r="F2017">
        <v>49.939468384000001</v>
      </c>
      <c r="G2017">
        <v>1304.5972899999999</v>
      </c>
      <c r="H2017">
        <v>1292.1578368999999</v>
      </c>
      <c r="I2017">
        <v>1395.2366943</v>
      </c>
      <c r="J2017">
        <v>1375.083374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1649.4362510000001</v>
      </c>
      <c r="B2018" s="1">
        <f>DATE(2014,11,5) + TIME(10,28,12)</f>
        <v>41948.436249999999</v>
      </c>
      <c r="C2018">
        <v>80</v>
      </c>
      <c r="D2018">
        <v>79.323928832999997</v>
      </c>
      <c r="E2018">
        <v>50</v>
      </c>
      <c r="F2018">
        <v>49.952163696</v>
      </c>
      <c r="G2018">
        <v>1304.3594971</v>
      </c>
      <c r="H2018">
        <v>1291.9172363</v>
      </c>
      <c r="I2018">
        <v>1395.3920897999999</v>
      </c>
      <c r="J2018">
        <v>1375.2525635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1649.873621</v>
      </c>
      <c r="B2019" s="1">
        <f>DATE(2014,11,5) + TIME(20,58,0)</f>
        <v>41948.873611111114</v>
      </c>
      <c r="C2019">
        <v>80</v>
      </c>
      <c r="D2019">
        <v>79.282440186000002</v>
      </c>
      <c r="E2019">
        <v>50</v>
      </c>
      <c r="F2019">
        <v>49.961120604999998</v>
      </c>
      <c r="G2019">
        <v>1304.1523437999999</v>
      </c>
      <c r="H2019">
        <v>1291.7072754000001</v>
      </c>
      <c r="I2019">
        <v>1395.5059814000001</v>
      </c>
      <c r="J2019">
        <v>1375.3796387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1650.3623520000001</v>
      </c>
      <c r="B2020" s="1">
        <f>DATE(2014,11,6) + TIME(8,41,47)</f>
        <v>41949.362349537034</v>
      </c>
      <c r="C2020">
        <v>80</v>
      </c>
      <c r="D2020">
        <v>79.237159728999998</v>
      </c>
      <c r="E2020">
        <v>50</v>
      </c>
      <c r="F2020">
        <v>49.967296599999997</v>
      </c>
      <c r="G2020">
        <v>1303.9720459</v>
      </c>
      <c r="H2020">
        <v>1291.5241699000001</v>
      </c>
      <c r="I2020">
        <v>1395.5819091999999</v>
      </c>
      <c r="J2020">
        <v>1375.4686279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1650.8969039999999</v>
      </c>
      <c r="B2021" s="1">
        <f>DATE(2014,11,6) + TIME(21,31,32)</f>
        <v>41949.896898148145</v>
      </c>
      <c r="C2021">
        <v>80</v>
      </c>
      <c r="D2021">
        <v>79.188179016000007</v>
      </c>
      <c r="E2021">
        <v>50</v>
      </c>
      <c r="F2021">
        <v>49.971340179000002</v>
      </c>
      <c r="G2021">
        <v>1303.8192139</v>
      </c>
      <c r="H2021">
        <v>1291.3685303</v>
      </c>
      <c r="I2021">
        <v>1395.6210937999999</v>
      </c>
      <c r="J2021">
        <v>1375.5209961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1651.435303</v>
      </c>
      <c r="B2022" s="1">
        <f>DATE(2014,11,7) + TIME(10,26,50)</f>
        <v>41950.435300925928</v>
      </c>
      <c r="C2022">
        <v>80</v>
      </c>
      <c r="D2022">
        <v>79.137718200999998</v>
      </c>
      <c r="E2022">
        <v>50</v>
      </c>
      <c r="F2022">
        <v>49.973789214999996</v>
      </c>
      <c r="G2022">
        <v>1303.6973877</v>
      </c>
      <c r="H2022">
        <v>1291.2440185999999</v>
      </c>
      <c r="I2022">
        <v>1395.6265868999999</v>
      </c>
      <c r="J2022">
        <v>1375.5400391000001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1651.985308</v>
      </c>
      <c r="B2023" s="1">
        <f>DATE(2014,11,7) + TIME(23,38,50)</f>
        <v>41950.985300925924</v>
      </c>
      <c r="C2023">
        <v>80</v>
      </c>
      <c r="D2023">
        <v>79.086006165000001</v>
      </c>
      <c r="E2023">
        <v>50</v>
      </c>
      <c r="F2023">
        <v>49.975296020999998</v>
      </c>
      <c r="G2023">
        <v>1303.5981445</v>
      </c>
      <c r="H2023">
        <v>1291.1420897999999</v>
      </c>
      <c r="I2023">
        <v>1395.6132812000001</v>
      </c>
      <c r="J2023">
        <v>1375.5391846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1652.554425</v>
      </c>
      <c r="B2024" s="1">
        <f>DATE(2014,11,8) + TIME(13,18,22)</f>
        <v>41951.5544212963</v>
      </c>
      <c r="C2024">
        <v>80</v>
      </c>
      <c r="D2024">
        <v>79.032897949000002</v>
      </c>
      <c r="E2024">
        <v>50</v>
      </c>
      <c r="F2024">
        <v>49.976234435999999</v>
      </c>
      <c r="G2024">
        <v>1303.5153809000001</v>
      </c>
      <c r="H2024">
        <v>1291.0566406</v>
      </c>
      <c r="I2024">
        <v>1395.5865478999999</v>
      </c>
      <c r="J2024">
        <v>1375.5246582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1653.150142</v>
      </c>
      <c r="B2025" s="1">
        <f>DATE(2014,11,9) + TIME(3,36,12)</f>
        <v>41952.150138888886</v>
      </c>
      <c r="C2025">
        <v>80</v>
      </c>
      <c r="D2025">
        <v>78.978065490999995</v>
      </c>
      <c r="E2025">
        <v>50</v>
      </c>
      <c r="F2025">
        <v>49.976829529</v>
      </c>
      <c r="G2025">
        <v>1303.4448242000001</v>
      </c>
      <c r="H2025">
        <v>1290.9832764</v>
      </c>
      <c r="I2025">
        <v>1395.550293</v>
      </c>
      <c r="J2025">
        <v>1375.5002440999999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1653.7806149999999</v>
      </c>
      <c r="B2026" s="1">
        <f>DATE(2014,11,9) + TIME(18,44,5)</f>
        <v>41952.780613425923</v>
      </c>
      <c r="C2026">
        <v>80</v>
      </c>
      <c r="D2026">
        <v>78.921012877999999</v>
      </c>
      <c r="E2026">
        <v>50</v>
      </c>
      <c r="F2026">
        <v>49.977210999</v>
      </c>
      <c r="G2026">
        <v>1303.3830565999999</v>
      </c>
      <c r="H2026">
        <v>1290.9185791</v>
      </c>
      <c r="I2026">
        <v>1395.5070800999999</v>
      </c>
      <c r="J2026">
        <v>1375.4686279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1654.455778</v>
      </c>
      <c r="B2027" s="1">
        <f>DATE(2014,11,10) + TIME(10,56,19)</f>
        <v>41953.455775462964</v>
      </c>
      <c r="C2027">
        <v>80</v>
      </c>
      <c r="D2027">
        <v>78.861106872999997</v>
      </c>
      <c r="E2027">
        <v>50</v>
      </c>
      <c r="F2027">
        <v>49.977458953999999</v>
      </c>
      <c r="G2027">
        <v>1303.3276367000001</v>
      </c>
      <c r="H2027">
        <v>1290.8599853999999</v>
      </c>
      <c r="I2027">
        <v>1395.4584961</v>
      </c>
      <c r="J2027">
        <v>1375.4318848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1655.1880160000001</v>
      </c>
      <c r="B2028" s="1">
        <f>DATE(2014,11,11) + TIME(4,30,44)</f>
        <v>41954.188009259262</v>
      </c>
      <c r="C2028">
        <v>80</v>
      </c>
      <c r="D2028">
        <v>78.797546386999997</v>
      </c>
      <c r="E2028">
        <v>50</v>
      </c>
      <c r="F2028">
        <v>49.977622986</v>
      </c>
      <c r="G2028">
        <v>1303.2764893000001</v>
      </c>
      <c r="H2028">
        <v>1290.8056641000001</v>
      </c>
      <c r="I2028">
        <v>1395.4058838000001</v>
      </c>
      <c r="J2028">
        <v>1375.3911132999999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1655.983919</v>
      </c>
      <c r="B2029" s="1">
        <f>DATE(2014,11,11) + TIME(23,36,50)</f>
        <v>41954.983912037038</v>
      </c>
      <c r="C2029">
        <v>80</v>
      </c>
      <c r="D2029">
        <v>78.729698181000003</v>
      </c>
      <c r="E2029">
        <v>50</v>
      </c>
      <c r="F2029">
        <v>49.977737427000001</v>
      </c>
      <c r="G2029">
        <v>1303.2283935999999</v>
      </c>
      <c r="H2029">
        <v>1290.7539062000001</v>
      </c>
      <c r="I2029">
        <v>1395.3499756000001</v>
      </c>
      <c r="J2029">
        <v>1375.3475341999999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1656.8217090000001</v>
      </c>
      <c r="B2030" s="1">
        <f>DATE(2014,11,12) + TIME(19,43,15)</f>
        <v>41955.821701388886</v>
      </c>
      <c r="C2030">
        <v>80</v>
      </c>
      <c r="D2030">
        <v>78.658180236999996</v>
      </c>
      <c r="E2030">
        <v>50</v>
      </c>
      <c r="F2030">
        <v>49.977809905999997</v>
      </c>
      <c r="G2030">
        <v>1303.1826172000001</v>
      </c>
      <c r="H2030">
        <v>1290.7044678</v>
      </c>
      <c r="I2030">
        <v>1395.2922363</v>
      </c>
      <c r="J2030">
        <v>1375.3022461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1657.687015</v>
      </c>
      <c r="B2031" s="1">
        <f>DATE(2014,11,13) + TIME(16,29,18)</f>
        <v>41956.687013888892</v>
      </c>
      <c r="C2031">
        <v>80</v>
      </c>
      <c r="D2031">
        <v>78.583953856999997</v>
      </c>
      <c r="E2031">
        <v>50</v>
      </c>
      <c r="F2031">
        <v>49.977863311999997</v>
      </c>
      <c r="G2031">
        <v>1303.1391602000001</v>
      </c>
      <c r="H2031">
        <v>1290.6568603999999</v>
      </c>
      <c r="I2031">
        <v>1395.2349853999999</v>
      </c>
      <c r="J2031">
        <v>1375.2574463000001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1658.5685880000001</v>
      </c>
      <c r="B2032" s="1">
        <f>DATE(2014,11,14) + TIME(13,38,45)</f>
        <v>41957.568576388891</v>
      </c>
      <c r="C2032">
        <v>80</v>
      </c>
      <c r="D2032">
        <v>78.508071899000001</v>
      </c>
      <c r="E2032">
        <v>50</v>
      </c>
      <c r="F2032">
        <v>49.977897644000002</v>
      </c>
      <c r="G2032">
        <v>1303.0974120999999</v>
      </c>
      <c r="H2032">
        <v>1290.6109618999999</v>
      </c>
      <c r="I2032">
        <v>1395.1798096</v>
      </c>
      <c r="J2032">
        <v>1375.2144774999999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1659.474162</v>
      </c>
      <c r="B2033" s="1">
        <f>DATE(2014,11,15) + TIME(11,22,47)</f>
        <v>41958.47415509259</v>
      </c>
      <c r="C2033">
        <v>80</v>
      </c>
      <c r="D2033">
        <v>78.430793761999993</v>
      </c>
      <c r="E2033">
        <v>50</v>
      </c>
      <c r="F2033">
        <v>49.977924346999998</v>
      </c>
      <c r="G2033">
        <v>1303.0570068</v>
      </c>
      <c r="H2033">
        <v>1290.5660399999999</v>
      </c>
      <c r="I2033">
        <v>1395.1274414</v>
      </c>
      <c r="J2033">
        <v>1375.1737060999999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1660.4155800000001</v>
      </c>
      <c r="B2034" s="1">
        <f>DATE(2014,11,16) + TIME(9,58,26)</f>
        <v>41959.415578703702</v>
      </c>
      <c r="C2034">
        <v>80</v>
      </c>
      <c r="D2034">
        <v>78.351783752000003</v>
      </c>
      <c r="E2034">
        <v>50</v>
      </c>
      <c r="F2034">
        <v>49.977943420000003</v>
      </c>
      <c r="G2034">
        <v>1303.0170897999999</v>
      </c>
      <c r="H2034">
        <v>1290.5213623</v>
      </c>
      <c r="I2034">
        <v>1395.0771483999999</v>
      </c>
      <c r="J2034">
        <v>1375.1347656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1661.405536</v>
      </c>
      <c r="B2035" s="1">
        <f>DATE(2014,11,17) + TIME(9,43,58)</f>
        <v>41960.405532407407</v>
      </c>
      <c r="C2035">
        <v>80</v>
      </c>
      <c r="D2035">
        <v>78.270378113000007</v>
      </c>
      <c r="E2035">
        <v>50</v>
      </c>
      <c r="F2035">
        <v>49.977958678999997</v>
      </c>
      <c r="G2035">
        <v>1302.9768065999999</v>
      </c>
      <c r="H2035">
        <v>1290.4759521000001</v>
      </c>
      <c r="I2035">
        <v>1395.0283202999999</v>
      </c>
      <c r="J2035">
        <v>1375.097168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1662.4590539999999</v>
      </c>
      <c r="B2036" s="1">
        <f>DATE(2014,11,18) + TIME(11,1,2)</f>
        <v>41961.459050925929</v>
      </c>
      <c r="C2036">
        <v>80</v>
      </c>
      <c r="D2036">
        <v>78.185699463000006</v>
      </c>
      <c r="E2036">
        <v>50</v>
      </c>
      <c r="F2036">
        <v>49.977973937999998</v>
      </c>
      <c r="G2036">
        <v>1302.9354248</v>
      </c>
      <c r="H2036">
        <v>1290.4289550999999</v>
      </c>
      <c r="I2036">
        <v>1394.9803466999999</v>
      </c>
      <c r="J2036">
        <v>1375.0603027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1663.5948739999999</v>
      </c>
      <c r="B2037" s="1">
        <f>DATE(2014,11,19) + TIME(14,16,37)</f>
        <v>41962.594872685186</v>
      </c>
      <c r="C2037">
        <v>80</v>
      </c>
      <c r="D2037">
        <v>78.096633910999998</v>
      </c>
      <c r="E2037">
        <v>50</v>
      </c>
      <c r="F2037">
        <v>49.977989196999999</v>
      </c>
      <c r="G2037">
        <v>1302.8920897999999</v>
      </c>
      <c r="H2037">
        <v>1290.3796387</v>
      </c>
      <c r="I2037">
        <v>1394.9326172000001</v>
      </c>
      <c r="J2037">
        <v>1375.0239257999999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1664.807808</v>
      </c>
      <c r="B2038" s="1">
        <f>DATE(2014,11,20) + TIME(19,23,14)</f>
        <v>41963.807800925926</v>
      </c>
      <c r="C2038">
        <v>80</v>
      </c>
      <c r="D2038">
        <v>78.002700806000007</v>
      </c>
      <c r="E2038">
        <v>50</v>
      </c>
      <c r="F2038">
        <v>49.978000641000001</v>
      </c>
      <c r="G2038">
        <v>1302.8460693</v>
      </c>
      <c r="H2038">
        <v>1290.3270264</v>
      </c>
      <c r="I2038">
        <v>1394.8845214999999</v>
      </c>
      <c r="J2038">
        <v>1374.9873047000001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1666.0363090000001</v>
      </c>
      <c r="B2039" s="1">
        <f>DATE(2014,11,22) + TIME(0,52,17)</f>
        <v>41965.036307870374</v>
      </c>
      <c r="C2039">
        <v>80</v>
      </c>
      <c r="D2039">
        <v>77.905738830999994</v>
      </c>
      <c r="E2039">
        <v>50</v>
      </c>
      <c r="F2039">
        <v>49.978012085000003</v>
      </c>
      <c r="G2039">
        <v>1302.7978516000001</v>
      </c>
      <c r="H2039">
        <v>1290.2717285000001</v>
      </c>
      <c r="I2039">
        <v>1394.8367920000001</v>
      </c>
      <c r="J2039">
        <v>1374.9511719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1667.284439</v>
      </c>
      <c r="B2040" s="1">
        <f>DATE(2014,11,23) + TIME(6,49,35)</f>
        <v>41966.284432870372</v>
      </c>
      <c r="C2040">
        <v>80</v>
      </c>
      <c r="D2040">
        <v>77.807487488000007</v>
      </c>
      <c r="E2040">
        <v>50</v>
      </c>
      <c r="F2040">
        <v>49.978019713999998</v>
      </c>
      <c r="G2040">
        <v>1302.7487793</v>
      </c>
      <c r="H2040">
        <v>1290.2148437999999</v>
      </c>
      <c r="I2040">
        <v>1394.7912598</v>
      </c>
      <c r="J2040">
        <v>1374.9167480000001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1668.5687820000001</v>
      </c>
      <c r="B2041" s="1">
        <f>DATE(2014,11,24) + TIME(13,39,2)</f>
        <v>41967.568773148145</v>
      </c>
      <c r="C2041">
        <v>80</v>
      </c>
      <c r="D2041">
        <v>77.708084106000001</v>
      </c>
      <c r="E2041">
        <v>50</v>
      </c>
      <c r="F2041">
        <v>49.978031158</v>
      </c>
      <c r="G2041">
        <v>1302.6983643000001</v>
      </c>
      <c r="H2041">
        <v>1290.15625</v>
      </c>
      <c r="I2041">
        <v>1394.7475586</v>
      </c>
      <c r="J2041">
        <v>1374.8839111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1669.9064129999999</v>
      </c>
      <c r="B2042" s="1">
        <f>DATE(2014,11,25) + TIME(21,45,14)</f>
        <v>41968.906412037039</v>
      </c>
      <c r="C2042">
        <v>80</v>
      </c>
      <c r="D2042">
        <v>77.606857300000001</v>
      </c>
      <c r="E2042">
        <v>50</v>
      </c>
      <c r="F2042">
        <v>49.978042602999999</v>
      </c>
      <c r="G2042">
        <v>1302.6459961</v>
      </c>
      <c r="H2042">
        <v>1290.0950928</v>
      </c>
      <c r="I2042">
        <v>1394.7052002</v>
      </c>
      <c r="J2042">
        <v>1374.8519286999999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1671.3161809999999</v>
      </c>
      <c r="B2043" s="1">
        <f>DATE(2014,11,27) + TIME(7,35,18)</f>
        <v>41970.316180555557</v>
      </c>
      <c r="C2043">
        <v>80</v>
      </c>
      <c r="D2043">
        <v>77.502769470000004</v>
      </c>
      <c r="E2043">
        <v>50</v>
      </c>
      <c r="F2043">
        <v>49.978057861000003</v>
      </c>
      <c r="G2043">
        <v>1302.5910644999999</v>
      </c>
      <c r="H2043">
        <v>1290.0305175999999</v>
      </c>
      <c r="I2043">
        <v>1394.6632079999999</v>
      </c>
      <c r="J2043">
        <v>1374.8204346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1672.821273</v>
      </c>
      <c r="B2044" s="1">
        <f>DATE(2014,11,28) + TIME(19,42,37)</f>
        <v>41971.821261574078</v>
      </c>
      <c r="C2044">
        <v>80</v>
      </c>
      <c r="D2044">
        <v>77.394546508999994</v>
      </c>
      <c r="E2044">
        <v>50</v>
      </c>
      <c r="F2044">
        <v>49.978069304999998</v>
      </c>
      <c r="G2044">
        <v>1302.5323486</v>
      </c>
      <c r="H2044">
        <v>1289.9613036999999</v>
      </c>
      <c r="I2044">
        <v>1394.6213379000001</v>
      </c>
      <c r="J2044">
        <v>1374.7889404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1674.4180249999999</v>
      </c>
      <c r="B2045" s="1">
        <f>DATE(2014,11,30) + TIME(10,1,57)</f>
        <v>41973.418020833335</v>
      </c>
      <c r="C2045">
        <v>80</v>
      </c>
      <c r="D2045">
        <v>77.281433105000005</v>
      </c>
      <c r="E2045">
        <v>50</v>
      </c>
      <c r="F2045">
        <v>49.978084564</v>
      </c>
      <c r="G2045">
        <v>1302.4691161999999</v>
      </c>
      <c r="H2045">
        <v>1289.8863524999999</v>
      </c>
      <c r="I2045">
        <v>1394.5788574000001</v>
      </c>
      <c r="J2045">
        <v>1374.7570800999999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1675</v>
      </c>
      <c r="B2046" s="1">
        <f>DATE(2014,12,1) + TIME(0,0,0)</f>
        <v>41974</v>
      </c>
      <c r="C2046">
        <v>80</v>
      </c>
      <c r="D2046">
        <v>77.208251953000001</v>
      </c>
      <c r="E2046">
        <v>50</v>
      </c>
      <c r="F2046">
        <v>49.978073119999998</v>
      </c>
      <c r="G2046">
        <v>1302.4141846</v>
      </c>
      <c r="H2046">
        <v>1289.8227539</v>
      </c>
      <c r="I2046">
        <v>1394.5396728999999</v>
      </c>
      <c r="J2046">
        <v>1374.7282714999999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1676.642196</v>
      </c>
      <c r="B2047" s="1">
        <f>DATE(2014,12,2) + TIME(15,24,45)</f>
        <v>41975.642187500001</v>
      </c>
      <c r="C2047">
        <v>80</v>
      </c>
      <c r="D2047">
        <v>77.111923218000001</v>
      </c>
      <c r="E2047">
        <v>50</v>
      </c>
      <c r="F2047">
        <v>49.978107452000003</v>
      </c>
      <c r="G2047">
        <v>1302.3725586</v>
      </c>
      <c r="H2047">
        <v>1289.7705077999999</v>
      </c>
      <c r="I2047">
        <v>1394.5202637</v>
      </c>
      <c r="J2047">
        <v>1374.7131348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1678.3145099999999</v>
      </c>
      <c r="B2048" s="1">
        <f>DATE(2014,12,4) + TIME(7,32,53)</f>
        <v>41977.314502314817</v>
      </c>
      <c r="C2048">
        <v>80</v>
      </c>
      <c r="D2048">
        <v>77.000205993999998</v>
      </c>
      <c r="E2048">
        <v>50</v>
      </c>
      <c r="F2048">
        <v>49.978122710999997</v>
      </c>
      <c r="G2048">
        <v>1302.3034668</v>
      </c>
      <c r="H2048">
        <v>1289.6878661999999</v>
      </c>
      <c r="I2048">
        <v>1394.4799805</v>
      </c>
      <c r="J2048">
        <v>1374.6829834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1680.032158</v>
      </c>
      <c r="B2049" s="1">
        <f>DATE(2014,12,6) + TIME(0,46,18)</f>
        <v>41979.032152777778</v>
      </c>
      <c r="C2049">
        <v>80</v>
      </c>
      <c r="D2049">
        <v>76.882789611999996</v>
      </c>
      <c r="E2049">
        <v>50</v>
      </c>
      <c r="F2049">
        <v>49.978137969999999</v>
      </c>
      <c r="G2049">
        <v>1302.2293701000001</v>
      </c>
      <c r="H2049">
        <v>1289.5986327999999</v>
      </c>
      <c r="I2049">
        <v>1394.4400635</v>
      </c>
      <c r="J2049">
        <v>1374.6529541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1681.8176209999999</v>
      </c>
      <c r="B2050" s="1">
        <f>DATE(2014,12,7) + TIME(19,37,22)</f>
        <v>41980.817615740743</v>
      </c>
      <c r="C2050">
        <v>80</v>
      </c>
      <c r="D2050">
        <v>76.762062072999996</v>
      </c>
      <c r="E2050">
        <v>50</v>
      </c>
      <c r="F2050">
        <v>49.978153229</v>
      </c>
      <c r="G2050">
        <v>1302.1512451000001</v>
      </c>
      <c r="H2050">
        <v>1289.5036620999999</v>
      </c>
      <c r="I2050">
        <v>1394.4008789</v>
      </c>
      <c r="J2050">
        <v>1374.6234131000001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1683.6497549999999</v>
      </c>
      <c r="B2051" s="1">
        <f>DATE(2014,12,9) + TIME(15,35,38)</f>
        <v>41982.649745370371</v>
      </c>
      <c r="C2051">
        <v>80</v>
      </c>
      <c r="D2051">
        <v>76.638763428000004</v>
      </c>
      <c r="E2051">
        <v>50</v>
      </c>
      <c r="F2051">
        <v>49.978172301999997</v>
      </c>
      <c r="G2051">
        <v>1302.0683594</v>
      </c>
      <c r="H2051">
        <v>1289.4025879000001</v>
      </c>
      <c r="I2051">
        <v>1394.3618164</v>
      </c>
      <c r="J2051">
        <v>1374.5941161999999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1685.520708</v>
      </c>
      <c r="B2052" s="1">
        <f>DATE(2014,12,11) + TIME(12,29,49)</f>
        <v>41984.52070601852</v>
      </c>
      <c r="C2052">
        <v>80</v>
      </c>
      <c r="D2052">
        <v>76.513885497999993</v>
      </c>
      <c r="E2052">
        <v>50</v>
      </c>
      <c r="F2052">
        <v>49.978191375999998</v>
      </c>
      <c r="G2052">
        <v>1301.9814452999999</v>
      </c>
      <c r="H2052">
        <v>1289.2956543</v>
      </c>
      <c r="I2052">
        <v>1394.3236084</v>
      </c>
      <c r="J2052">
        <v>1374.5651855000001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1687.435037</v>
      </c>
      <c r="B2053" s="1">
        <f>DATE(2014,12,13) + TIME(10,26,27)</f>
        <v>41986.435034722221</v>
      </c>
      <c r="C2053">
        <v>80</v>
      </c>
      <c r="D2053">
        <v>76.387893676999994</v>
      </c>
      <c r="E2053">
        <v>50</v>
      </c>
      <c r="F2053">
        <v>49.978210449000002</v>
      </c>
      <c r="G2053">
        <v>1301.8903809000001</v>
      </c>
      <c r="H2053">
        <v>1289.1832274999999</v>
      </c>
      <c r="I2053">
        <v>1394.2860106999999</v>
      </c>
      <c r="J2053">
        <v>1374.5368652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1689.377405</v>
      </c>
      <c r="B2054" s="1">
        <f>DATE(2014,12,15) + TIME(9,3,27)</f>
        <v>41988.377395833333</v>
      </c>
      <c r="C2054">
        <v>80</v>
      </c>
      <c r="D2054">
        <v>76.261108398000005</v>
      </c>
      <c r="E2054">
        <v>50</v>
      </c>
      <c r="F2054">
        <v>49.978229523000003</v>
      </c>
      <c r="G2054">
        <v>1301.7951660000001</v>
      </c>
      <c r="H2054">
        <v>1289.0646973</v>
      </c>
      <c r="I2054">
        <v>1394.2491454999999</v>
      </c>
      <c r="J2054">
        <v>1374.5090332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1691.352175</v>
      </c>
      <c r="B2055" s="1">
        <f>DATE(2014,12,17) + TIME(8,27,7)</f>
        <v>41990.352164351854</v>
      </c>
      <c r="C2055">
        <v>80</v>
      </c>
      <c r="D2055">
        <v>76.133964539000004</v>
      </c>
      <c r="E2055">
        <v>50</v>
      </c>
      <c r="F2055">
        <v>49.978248596</v>
      </c>
      <c r="G2055">
        <v>1301.6959228999999</v>
      </c>
      <c r="H2055">
        <v>1288.9407959</v>
      </c>
      <c r="I2055">
        <v>1394.2132568</v>
      </c>
      <c r="J2055">
        <v>1374.4818115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1693.364077</v>
      </c>
      <c r="B2056" s="1">
        <f>DATE(2014,12,19) + TIME(8,44,16)</f>
        <v>41992.364074074074</v>
      </c>
      <c r="C2056">
        <v>80</v>
      </c>
      <c r="D2056">
        <v>76.006370544000006</v>
      </c>
      <c r="E2056">
        <v>50</v>
      </c>
      <c r="F2056">
        <v>49.978271483999997</v>
      </c>
      <c r="G2056">
        <v>1301.5926514</v>
      </c>
      <c r="H2056">
        <v>1288.8107910000001</v>
      </c>
      <c r="I2056">
        <v>1394.1779785000001</v>
      </c>
      <c r="J2056">
        <v>1374.4550781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1695.417835</v>
      </c>
      <c r="B2057" s="1">
        <f>DATE(2014,12,21) + TIME(10,1,40)</f>
        <v>41994.417824074073</v>
      </c>
      <c r="C2057">
        <v>80</v>
      </c>
      <c r="D2057">
        <v>75.878067017000006</v>
      </c>
      <c r="E2057">
        <v>50</v>
      </c>
      <c r="F2057">
        <v>49.978290557999998</v>
      </c>
      <c r="G2057">
        <v>1301.4847411999999</v>
      </c>
      <c r="H2057">
        <v>1288.6744385</v>
      </c>
      <c r="I2057">
        <v>1394.1434326000001</v>
      </c>
      <c r="J2057">
        <v>1374.4287108999999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1697.518231</v>
      </c>
      <c r="B2058" s="1">
        <f>DATE(2014,12,23) + TIME(12,26,15)</f>
        <v>41996.518229166664</v>
      </c>
      <c r="C2058">
        <v>80</v>
      </c>
      <c r="D2058">
        <v>75.748771667</v>
      </c>
      <c r="E2058">
        <v>50</v>
      </c>
      <c r="F2058">
        <v>49.978313446000001</v>
      </c>
      <c r="G2058">
        <v>1301.3718262</v>
      </c>
      <c r="H2058">
        <v>1288.5310059000001</v>
      </c>
      <c r="I2058">
        <v>1394.109375</v>
      </c>
      <c r="J2058">
        <v>1374.4027100000001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1699.6672679999999</v>
      </c>
      <c r="B2059" s="1">
        <f>DATE(2014,12,25) + TIME(16,0,51)</f>
        <v>41998.667256944442</v>
      </c>
      <c r="C2059">
        <v>80</v>
      </c>
      <c r="D2059">
        <v>75.618225097999996</v>
      </c>
      <c r="E2059">
        <v>50</v>
      </c>
      <c r="F2059">
        <v>49.978336333999998</v>
      </c>
      <c r="G2059">
        <v>1301.253418</v>
      </c>
      <c r="H2059">
        <v>1288.3797606999999</v>
      </c>
      <c r="I2059">
        <v>1394.0756836</v>
      </c>
      <c r="J2059">
        <v>1374.3769531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1701.8456619999999</v>
      </c>
      <c r="B2060" s="1">
        <f>DATE(2014,12,27) + TIME(20,17,45)</f>
        <v>42000.845659722225</v>
      </c>
      <c r="C2060">
        <v>80</v>
      </c>
      <c r="D2060">
        <v>75.486595154</v>
      </c>
      <c r="E2060">
        <v>50</v>
      </c>
      <c r="F2060">
        <v>49.978359222000002</v>
      </c>
      <c r="G2060">
        <v>1301.1295166</v>
      </c>
      <c r="H2060">
        <v>1288.2207031</v>
      </c>
      <c r="I2060">
        <v>1394.0424805</v>
      </c>
      <c r="J2060">
        <v>1374.3515625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1704.058802</v>
      </c>
      <c r="B2061" s="1">
        <f>DATE(2014,12,30) + TIME(1,24,40)</f>
        <v>42003.058796296296</v>
      </c>
      <c r="C2061">
        <v>80</v>
      </c>
      <c r="D2061">
        <v>75.354331970000004</v>
      </c>
      <c r="E2061">
        <v>50</v>
      </c>
      <c r="F2061">
        <v>49.978382111000002</v>
      </c>
      <c r="G2061">
        <v>1301.0006103999999</v>
      </c>
      <c r="H2061">
        <v>1288.0543213000001</v>
      </c>
      <c r="I2061">
        <v>1394.0098877</v>
      </c>
      <c r="J2061">
        <v>1374.3265381000001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1706</v>
      </c>
      <c r="B2062" s="1">
        <f>DATE(2015,1,1) + TIME(0,0,0)</f>
        <v>42005</v>
      </c>
      <c r="C2062">
        <v>80</v>
      </c>
      <c r="D2062">
        <v>75.226676940999994</v>
      </c>
      <c r="E2062">
        <v>50</v>
      </c>
      <c r="F2062">
        <v>49.978401183999999</v>
      </c>
      <c r="G2062">
        <v>1300.8686522999999</v>
      </c>
      <c r="H2062">
        <v>1287.8835449000001</v>
      </c>
      <c r="I2062">
        <v>1393.9782714999999</v>
      </c>
      <c r="J2062">
        <v>1374.3022461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1708.237351</v>
      </c>
      <c r="B2063" s="1">
        <f>DATE(2015,1,3) + TIME(5,41,47)</f>
        <v>42007.237349537034</v>
      </c>
      <c r="C2063">
        <v>80</v>
      </c>
      <c r="D2063">
        <v>75.102989196999999</v>
      </c>
      <c r="E2063">
        <v>50</v>
      </c>
      <c r="F2063">
        <v>49.978427887000002</v>
      </c>
      <c r="G2063">
        <v>1300.7435303</v>
      </c>
      <c r="H2063">
        <v>1287.7197266000001</v>
      </c>
      <c r="I2063">
        <v>1393.9503173999999</v>
      </c>
      <c r="J2063">
        <v>1374.2806396000001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1710.5267899999999</v>
      </c>
      <c r="B2064" s="1">
        <f>DATE(2015,1,5) + TIME(12,38,34)</f>
        <v>42009.526782407411</v>
      </c>
      <c r="C2064">
        <v>80</v>
      </c>
      <c r="D2064">
        <v>74.97265625</v>
      </c>
      <c r="E2064">
        <v>50</v>
      </c>
      <c r="F2064">
        <v>49.978454589999998</v>
      </c>
      <c r="G2064">
        <v>1300.6026611</v>
      </c>
      <c r="H2064">
        <v>1287.5358887</v>
      </c>
      <c r="I2064">
        <v>1393.9197998</v>
      </c>
      <c r="J2064">
        <v>1374.2569579999999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1712.8509630000001</v>
      </c>
      <c r="B2065" s="1">
        <f>DATE(2015,1,7) + TIME(20,25,23)</f>
        <v>42011.850960648146</v>
      </c>
      <c r="C2065">
        <v>80</v>
      </c>
      <c r="D2065">
        <v>74.839233398000005</v>
      </c>
      <c r="E2065">
        <v>50</v>
      </c>
      <c r="F2065">
        <v>49.978477478000002</v>
      </c>
      <c r="G2065">
        <v>1300.4543457</v>
      </c>
      <c r="H2065">
        <v>1287.3410644999999</v>
      </c>
      <c r="I2065">
        <v>1393.8894043</v>
      </c>
      <c r="J2065">
        <v>1374.2333983999999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1715.2147689999999</v>
      </c>
      <c r="B2066" s="1">
        <f>DATE(2015,1,10) + TIME(5,9,16)</f>
        <v>42014.214768518519</v>
      </c>
      <c r="C2066">
        <v>80</v>
      </c>
      <c r="D2066">
        <v>74.704071045000006</v>
      </c>
      <c r="E2066">
        <v>50</v>
      </c>
      <c r="F2066">
        <v>49.978504180999998</v>
      </c>
      <c r="G2066">
        <v>1300.2998047000001</v>
      </c>
      <c r="H2066">
        <v>1287.137207</v>
      </c>
      <c r="I2066">
        <v>1393.859375</v>
      </c>
      <c r="J2066">
        <v>1374.2102050999999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1717.622846</v>
      </c>
      <c r="B2067" s="1">
        <f>DATE(2015,1,12) + TIME(14,56,53)</f>
        <v>42016.622835648152</v>
      </c>
      <c r="C2067">
        <v>80</v>
      </c>
      <c r="D2067">
        <v>74.567207335999996</v>
      </c>
      <c r="E2067">
        <v>50</v>
      </c>
      <c r="F2067">
        <v>49.978530884000001</v>
      </c>
      <c r="G2067">
        <v>1300.1389160000001</v>
      </c>
      <c r="H2067">
        <v>1286.9240723</v>
      </c>
      <c r="I2067">
        <v>1393.8298339999999</v>
      </c>
      <c r="J2067">
        <v>1374.1870117000001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1720.0656280000001</v>
      </c>
      <c r="B2068" s="1">
        <f>DATE(2015,1,15) + TIME(1,34,30)</f>
        <v>42019.065625000003</v>
      </c>
      <c r="C2068">
        <v>80</v>
      </c>
      <c r="D2068">
        <v>74.428520203000005</v>
      </c>
      <c r="E2068">
        <v>50</v>
      </c>
      <c r="F2068">
        <v>49.978557586999997</v>
      </c>
      <c r="G2068">
        <v>1299.9711914</v>
      </c>
      <c r="H2068">
        <v>1286.7010498</v>
      </c>
      <c r="I2068">
        <v>1393.8004149999999</v>
      </c>
      <c r="J2068">
        <v>1374.1640625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1722.541776</v>
      </c>
      <c r="B2069" s="1">
        <f>DATE(2015,1,17) + TIME(13,0,9)</f>
        <v>42021.541770833333</v>
      </c>
      <c r="C2069">
        <v>80</v>
      </c>
      <c r="D2069">
        <v>74.288162231000001</v>
      </c>
      <c r="E2069">
        <v>50</v>
      </c>
      <c r="F2069">
        <v>49.978584290000001</v>
      </c>
      <c r="G2069">
        <v>1299.7972411999999</v>
      </c>
      <c r="H2069">
        <v>1286.4688721</v>
      </c>
      <c r="I2069">
        <v>1393.7713623</v>
      </c>
      <c r="J2069">
        <v>1374.1413574000001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1725.0455959999999</v>
      </c>
      <c r="B2070" s="1">
        <f>DATE(2015,1,20) + TIME(1,5,39)</f>
        <v>42024.045590277776</v>
      </c>
      <c r="C2070">
        <v>80</v>
      </c>
      <c r="D2070">
        <v>74.146118164000001</v>
      </c>
      <c r="E2070">
        <v>50</v>
      </c>
      <c r="F2070">
        <v>49.978610992</v>
      </c>
      <c r="G2070">
        <v>1299.6170654</v>
      </c>
      <c r="H2070">
        <v>1286.2272949000001</v>
      </c>
      <c r="I2070">
        <v>1393.7426757999999</v>
      </c>
      <c r="J2070">
        <v>1374.1188964999999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1727.5834749999999</v>
      </c>
      <c r="B2071" s="1">
        <f>DATE(2015,1,22) + TIME(14,0,12)</f>
        <v>42026.583472222221</v>
      </c>
      <c r="C2071">
        <v>80</v>
      </c>
      <c r="D2071">
        <v>74.002304077000005</v>
      </c>
      <c r="E2071">
        <v>50</v>
      </c>
      <c r="F2071">
        <v>49.978641510000003</v>
      </c>
      <c r="G2071">
        <v>1299.4307861</v>
      </c>
      <c r="H2071">
        <v>1285.9766846</v>
      </c>
      <c r="I2071">
        <v>1393.7144774999999</v>
      </c>
      <c r="J2071">
        <v>1374.0966797000001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1730.1607610000001</v>
      </c>
      <c r="B2072" s="1">
        <f>DATE(2015,1,25) + TIME(3,51,29)</f>
        <v>42029.160752314812</v>
      </c>
      <c r="C2072">
        <v>80</v>
      </c>
      <c r="D2072">
        <v>73.856254578000005</v>
      </c>
      <c r="E2072">
        <v>50</v>
      </c>
      <c r="F2072">
        <v>49.978668212999999</v>
      </c>
      <c r="G2072">
        <v>1299.2380370999999</v>
      </c>
      <c r="H2072">
        <v>1285.7164307</v>
      </c>
      <c r="I2072">
        <v>1393.6864014</v>
      </c>
      <c r="J2072">
        <v>1374.0745850000001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1732.7826279999999</v>
      </c>
      <c r="B2073" s="1">
        <f>DATE(2015,1,27) + TIME(18,46,59)</f>
        <v>42031.782627314817</v>
      </c>
      <c r="C2073">
        <v>80</v>
      </c>
      <c r="D2073">
        <v>73.707412719999994</v>
      </c>
      <c r="E2073">
        <v>50</v>
      </c>
      <c r="F2073">
        <v>49.978698729999998</v>
      </c>
      <c r="G2073">
        <v>1299.0383300999999</v>
      </c>
      <c r="H2073">
        <v>1285.4459228999999</v>
      </c>
      <c r="I2073">
        <v>1393.6586914</v>
      </c>
      <c r="J2073">
        <v>1374.0526123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1735.4541819999999</v>
      </c>
      <c r="B2074" s="1">
        <f>DATE(2015,1,30) + TIME(10,54,1)</f>
        <v>42034.45417824074</v>
      </c>
      <c r="C2074">
        <v>80</v>
      </c>
      <c r="D2074">
        <v>73.555206299000005</v>
      </c>
      <c r="E2074">
        <v>50</v>
      </c>
      <c r="F2074">
        <v>49.978725433000001</v>
      </c>
      <c r="G2074">
        <v>1298.8311768000001</v>
      </c>
      <c r="H2074">
        <v>1285.1643065999999</v>
      </c>
      <c r="I2074">
        <v>1393.6311035000001</v>
      </c>
      <c r="J2074">
        <v>1374.0307617000001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1737</v>
      </c>
      <c r="B2075" s="1">
        <f>DATE(2015,2,1) + TIME(0,0,0)</f>
        <v>42036</v>
      </c>
      <c r="C2075">
        <v>80</v>
      </c>
      <c r="D2075">
        <v>73.421623229999994</v>
      </c>
      <c r="E2075">
        <v>50</v>
      </c>
      <c r="F2075">
        <v>49.978736877000003</v>
      </c>
      <c r="G2075">
        <v>1298.6290283000001</v>
      </c>
      <c r="H2075">
        <v>1284.8901367000001</v>
      </c>
      <c r="I2075">
        <v>1393.6055908000001</v>
      </c>
      <c r="J2075">
        <v>1374.0107422000001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1739.718484</v>
      </c>
      <c r="B2076" s="1">
        <f>DATE(2015,2,3) + TIME(17,14,37)</f>
        <v>42038.7184837963</v>
      </c>
      <c r="C2076">
        <v>80</v>
      </c>
      <c r="D2076">
        <v>73.298019409000005</v>
      </c>
      <c r="E2076">
        <v>50</v>
      </c>
      <c r="F2076">
        <v>49.978775024000001</v>
      </c>
      <c r="G2076">
        <v>1298.4780272999999</v>
      </c>
      <c r="H2076">
        <v>1284.6799315999999</v>
      </c>
      <c r="I2076">
        <v>1393.5872803</v>
      </c>
      <c r="J2076">
        <v>1373.9957274999999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1742.510389</v>
      </c>
      <c r="B2077" s="1">
        <f>DATE(2015,2,6) + TIME(12,14,57)</f>
        <v>42041.510381944441</v>
      </c>
      <c r="C2077">
        <v>80</v>
      </c>
      <c r="D2077">
        <v>73.14390564</v>
      </c>
      <c r="E2077">
        <v>50</v>
      </c>
      <c r="F2077">
        <v>49.978805542000003</v>
      </c>
      <c r="G2077">
        <v>1298.2611084</v>
      </c>
      <c r="H2077">
        <v>1284.3845214999999</v>
      </c>
      <c r="I2077">
        <v>1393.5605469</v>
      </c>
      <c r="J2077">
        <v>1373.9744873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1745.3312759999999</v>
      </c>
      <c r="B2078" s="1">
        <f>DATE(2015,2,9) + TIME(7,57,2)</f>
        <v>42044.331273148149</v>
      </c>
      <c r="C2078">
        <v>80</v>
      </c>
      <c r="D2078">
        <v>72.978302002000007</v>
      </c>
      <c r="E2078">
        <v>50</v>
      </c>
      <c r="F2078">
        <v>49.978836059999999</v>
      </c>
      <c r="G2078">
        <v>1298.0279541</v>
      </c>
      <c r="H2078">
        <v>1284.0645752</v>
      </c>
      <c r="I2078">
        <v>1393.5334473</v>
      </c>
      <c r="J2078">
        <v>1373.9527588000001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1748.188394</v>
      </c>
      <c r="B2079" s="1">
        <f>DATE(2015,2,12) + TIME(4,31,17)</f>
        <v>42047.188391203701</v>
      </c>
      <c r="C2079">
        <v>80</v>
      </c>
      <c r="D2079">
        <v>72.806716918999996</v>
      </c>
      <c r="E2079">
        <v>50</v>
      </c>
      <c r="F2079">
        <v>49.978866576999998</v>
      </c>
      <c r="G2079">
        <v>1297.7863769999999</v>
      </c>
      <c r="H2079">
        <v>1283.7314452999999</v>
      </c>
      <c r="I2079">
        <v>1393.5064697</v>
      </c>
      <c r="J2079">
        <v>1373.9310303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1751.0882449999999</v>
      </c>
      <c r="B2080" s="1">
        <f>DATE(2015,2,15) + TIME(2,7,4)</f>
        <v>42050.088240740741</v>
      </c>
      <c r="C2080">
        <v>80</v>
      </c>
      <c r="D2080">
        <v>72.629676818999997</v>
      </c>
      <c r="E2080">
        <v>50</v>
      </c>
      <c r="F2080">
        <v>49.978897095000001</v>
      </c>
      <c r="G2080">
        <v>1297.5372314000001</v>
      </c>
      <c r="H2080">
        <v>1283.3868408000001</v>
      </c>
      <c r="I2080">
        <v>1393.4796143000001</v>
      </c>
      <c r="J2080">
        <v>1373.9094238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1754.037247</v>
      </c>
      <c r="B2081" s="1">
        <f>DATE(2015,2,18) + TIME(0,53,38)</f>
        <v>42053.037245370368</v>
      </c>
      <c r="C2081">
        <v>80</v>
      </c>
      <c r="D2081">
        <v>72.446586608999993</v>
      </c>
      <c r="E2081">
        <v>50</v>
      </c>
      <c r="F2081">
        <v>49.978927612</v>
      </c>
      <c r="G2081">
        <v>1297.2802733999999</v>
      </c>
      <c r="H2081">
        <v>1283.0303954999999</v>
      </c>
      <c r="I2081">
        <v>1393.4527588000001</v>
      </c>
      <c r="J2081">
        <v>1373.8878173999999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1757.0418099999999</v>
      </c>
      <c r="B2082" s="1">
        <f>DATE(2015,2,21) + TIME(1,0,12)</f>
        <v>42056.041805555556</v>
      </c>
      <c r="C2082">
        <v>80</v>
      </c>
      <c r="D2082">
        <v>72.256576538000004</v>
      </c>
      <c r="E2082">
        <v>50</v>
      </c>
      <c r="F2082">
        <v>49.978961945000002</v>
      </c>
      <c r="G2082">
        <v>1297.0150146000001</v>
      </c>
      <c r="H2082">
        <v>1282.6613769999999</v>
      </c>
      <c r="I2082">
        <v>1393.4259033000001</v>
      </c>
      <c r="J2082">
        <v>1373.8660889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1760.1065349999999</v>
      </c>
      <c r="B2083" s="1">
        <f>DATE(2015,2,24) + TIME(2,33,24)</f>
        <v>42059.106527777774</v>
      </c>
      <c r="C2083">
        <v>80</v>
      </c>
      <c r="D2083">
        <v>72.058670043999996</v>
      </c>
      <c r="E2083">
        <v>50</v>
      </c>
      <c r="F2083">
        <v>49.978992462000001</v>
      </c>
      <c r="G2083">
        <v>1296.7409668</v>
      </c>
      <c r="H2083">
        <v>1282.2790527</v>
      </c>
      <c r="I2083">
        <v>1393.3989257999999</v>
      </c>
      <c r="J2083">
        <v>1373.8441161999999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1763.2189249999999</v>
      </c>
      <c r="B2084" s="1">
        <f>DATE(2015,2,27) + TIME(5,15,15)</f>
        <v>42062.218923611108</v>
      </c>
      <c r="C2084">
        <v>80</v>
      </c>
      <c r="D2084">
        <v>71.852134704999997</v>
      </c>
      <c r="E2084">
        <v>50</v>
      </c>
      <c r="F2084">
        <v>49.979026793999999</v>
      </c>
      <c r="G2084">
        <v>1296.4578856999999</v>
      </c>
      <c r="H2084">
        <v>1281.8828125</v>
      </c>
      <c r="I2084">
        <v>1393.3718262</v>
      </c>
      <c r="J2084">
        <v>1373.8220214999999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1765</v>
      </c>
      <c r="B2085" s="1">
        <f>DATE(2015,3,1) + TIME(0,0,0)</f>
        <v>42064</v>
      </c>
      <c r="C2085">
        <v>80</v>
      </c>
      <c r="D2085">
        <v>71.664482117000006</v>
      </c>
      <c r="E2085">
        <v>50</v>
      </c>
      <c r="F2085">
        <v>49.979038238999998</v>
      </c>
      <c r="G2085">
        <v>1296.1815185999999</v>
      </c>
      <c r="H2085">
        <v>1281.4979248</v>
      </c>
      <c r="I2085">
        <v>1393.3470459</v>
      </c>
      <c r="J2085">
        <v>1373.802124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1768.1531419999999</v>
      </c>
      <c r="B2086" s="1">
        <f>DATE(2015,3,4) + TIME(3,40,31)</f>
        <v>42067.153136574074</v>
      </c>
      <c r="C2086">
        <v>80</v>
      </c>
      <c r="D2086">
        <v>71.497520446999999</v>
      </c>
      <c r="E2086">
        <v>50</v>
      </c>
      <c r="F2086">
        <v>49.979080199999999</v>
      </c>
      <c r="G2086">
        <v>1295.9816894999999</v>
      </c>
      <c r="H2086">
        <v>1281.2100829999999</v>
      </c>
      <c r="I2086">
        <v>1393.3284911999999</v>
      </c>
      <c r="J2086">
        <v>1373.7863769999999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1771.3860970000001</v>
      </c>
      <c r="B2087" s="1">
        <f>DATE(2015,3,7) + TIME(9,15,58)</f>
        <v>42070.386087962965</v>
      </c>
      <c r="C2087">
        <v>80</v>
      </c>
      <c r="D2087">
        <v>71.279273986999996</v>
      </c>
      <c r="E2087">
        <v>50</v>
      </c>
      <c r="F2087">
        <v>49.979110718000001</v>
      </c>
      <c r="G2087">
        <v>1295.6932373</v>
      </c>
      <c r="H2087">
        <v>1280.8063964999999</v>
      </c>
      <c r="I2087">
        <v>1393.3020019999999</v>
      </c>
      <c r="J2087">
        <v>1373.7646483999999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1774.6754089999999</v>
      </c>
      <c r="B2088" s="1">
        <f>DATE(2015,3,10) + TIME(16,12,35)</f>
        <v>42073.675405092596</v>
      </c>
      <c r="C2088">
        <v>80</v>
      </c>
      <c r="D2088">
        <v>71.040748596</v>
      </c>
      <c r="E2088">
        <v>50</v>
      </c>
      <c r="F2088">
        <v>49.97914505</v>
      </c>
      <c r="G2088">
        <v>1295.3843993999999</v>
      </c>
      <c r="H2088">
        <v>1280.3704834</v>
      </c>
      <c r="I2088">
        <v>1393.2747803</v>
      </c>
      <c r="J2088">
        <v>1373.7421875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1778.0117379999999</v>
      </c>
      <c r="B2089" s="1">
        <f>DATE(2015,3,14) + TIME(0,16,54)</f>
        <v>42077.011736111112</v>
      </c>
      <c r="C2089">
        <v>80</v>
      </c>
      <c r="D2089">
        <v>70.788932799999998</v>
      </c>
      <c r="E2089">
        <v>50</v>
      </c>
      <c r="F2089">
        <v>49.979179381999998</v>
      </c>
      <c r="G2089">
        <v>1295.0648193</v>
      </c>
      <c r="H2089">
        <v>1279.9177245999999</v>
      </c>
      <c r="I2089">
        <v>1393.2471923999999</v>
      </c>
      <c r="J2089">
        <v>1373.7194824000001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1781.402869</v>
      </c>
      <c r="B2090" s="1">
        <f>DATE(2015,3,17) + TIME(9,40,7)</f>
        <v>42080.402858796297</v>
      </c>
      <c r="C2090">
        <v>80</v>
      </c>
      <c r="D2090">
        <v>70.524841308999996</v>
      </c>
      <c r="E2090">
        <v>50</v>
      </c>
      <c r="F2090">
        <v>49.979217529000003</v>
      </c>
      <c r="G2090">
        <v>1294.7371826000001</v>
      </c>
      <c r="H2090">
        <v>1279.4517822</v>
      </c>
      <c r="I2090">
        <v>1393.2194824000001</v>
      </c>
      <c r="J2090">
        <v>1373.6964111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1784.8567270000001</v>
      </c>
      <c r="B2091" s="1">
        <f>DATE(2015,3,20) + TIME(20,33,41)</f>
        <v>42083.856724537036</v>
      </c>
      <c r="C2091">
        <v>80</v>
      </c>
      <c r="D2091">
        <v>70.247657775999997</v>
      </c>
      <c r="E2091">
        <v>50</v>
      </c>
      <c r="F2091">
        <v>49.979251861999998</v>
      </c>
      <c r="G2091">
        <v>1294.4013672000001</v>
      </c>
      <c r="H2091">
        <v>1278.9729004000001</v>
      </c>
      <c r="I2091">
        <v>1393.1915283000001</v>
      </c>
      <c r="J2091">
        <v>1373.6730957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1788.3815729999999</v>
      </c>
      <c r="B2092" s="1">
        <f>DATE(2015,3,24) + TIME(9,9,27)</f>
        <v>42087.381562499999</v>
      </c>
      <c r="C2092">
        <v>80</v>
      </c>
      <c r="D2092">
        <v>69.956420898000005</v>
      </c>
      <c r="E2092">
        <v>50</v>
      </c>
      <c r="F2092">
        <v>49.979286193999997</v>
      </c>
      <c r="G2092">
        <v>1294.0568848</v>
      </c>
      <c r="H2092">
        <v>1278.4802245999999</v>
      </c>
      <c r="I2092">
        <v>1393.1630858999999</v>
      </c>
      <c r="J2092">
        <v>1373.6492920000001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1791.986173</v>
      </c>
      <c r="B2093" s="1">
        <f>DATE(2015,3,27) + TIME(23,40,5)</f>
        <v>42090.986168981479</v>
      </c>
      <c r="C2093">
        <v>80</v>
      </c>
      <c r="D2093">
        <v>69.648941039999997</v>
      </c>
      <c r="E2093">
        <v>50</v>
      </c>
      <c r="F2093">
        <v>49.979324341000002</v>
      </c>
      <c r="G2093">
        <v>1293.703125</v>
      </c>
      <c r="H2093">
        <v>1277.9730225000001</v>
      </c>
      <c r="I2093">
        <v>1393.1342772999999</v>
      </c>
      <c r="J2093">
        <v>1373.6251221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1795.6800249999999</v>
      </c>
      <c r="B2094" s="1">
        <f>DATE(2015,3,31) + TIME(16,19,14)</f>
        <v>42094.680023148147</v>
      </c>
      <c r="C2094">
        <v>80</v>
      </c>
      <c r="D2094">
        <v>69.323890685999999</v>
      </c>
      <c r="E2094">
        <v>50</v>
      </c>
      <c r="F2094">
        <v>49.979358673</v>
      </c>
      <c r="G2094">
        <v>1293.3397216999999</v>
      </c>
      <c r="H2094">
        <v>1277.4500731999999</v>
      </c>
      <c r="I2094">
        <v>1393.1049805</v>
      </c>
      <c r="J2094">
        <v>1373.6003418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1796</v>
      </c>
      <c r="B2095" s="1">
        <f>DATE(2015,4,1) + TIME(0,0,0)</f>
        <v>42095</v>
      </c>
      <c r="C2095">
        <v>80</v>
      </c>
      <c r="D2095">
        <v>69.196159363000007</v>
      </c>
      <c r="E2095">
        <v>50</v>
      </c>
      <c r="F2095">
        <v>49.979351043999998</v>
      </c>
      <c r="G2095">
        <v>1293.0577393000001</v>
      </c>
      <c r="H2095">
        <v>1277.0682373</v>
      </c>
      <c r="I2095">
        <v>1393.0906981999999</v>
      </c>
      <c r="J2095">
        <v>1373.5892334</v>
      </c>
      <c r="K2095">
        <v>0</v>
      </c>
      <c r="L2095">
        <v>2400</v>
      </c>
      <c r="M2095">
        <v>2400</v>
      </c>
      <c r="N209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2022-07-20T06:35:46Z</dcterms:created>
  <dcterms:modified xsi:type="dcterms:W3CDTF">2022-07-20T06:36:13Z</dcterms:modified>
</cp:coreProperties>
</file>