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kh_kv/"/>
    </mc:Choice>
  </mc:AlternateContent>
  <xr:revisionPtr revIDLastSave="0" documentId="8_{4F70B51C-0B2D-451B-9ACF-96749C6ED9F5}" xr6:coauthVersionLast="47" xr6:coauthVersionMax="47" xr10:uidLastSave="{00000000-0000-0000-0000-000000000000}"/>
  <bookViews>
    <workbookView xWindow="-26220" yWindow="2580" windowWidth="15375" windowHeight="7875" xr2:uid="{E99C5A00-BA69-4007-BE0D-824EFB15D3E2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54" i="1" l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<sst xmlns="http://schemas.openxmlformats.org/spreadsheetml/2006/main" count="15" uniqueCount="15">
  <si>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MODEL\SCENARIOS\2022\Parameterstudy_kh_kv\kh10_kv10.sr3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</si>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</sst>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0E7DC-488B-4D32-8340-029BD4A01BBB}" name="Table1" displayName="Table1" ref="A3:N2454" totalsRowShown="0">
  <autoFilter ref="A3:N2454" xr:uid="{1CD0E7DC-488B-4D32-8340-029BD4A01BBB}"/>
  <tableColumns count="14">
    <tableColumn id="1" xr3:uid="{7A51F9BF-03C0-4177-B463-6D4484019951}" name="Time (day)"/>
    <tableColumn id="2" xr3:uid="{69C8ED11-50EA-44A2-B95F-379D10A36177}" name="Date" dataDxfId="0"/>
    <tableColumn id="3" xr3:uid="{BE96B118-E9B8-4865-BB47-409A30230C17}" name="Hot well INJ-Well bottom hole temperature (C)"/>
    <tableColumn id="4" xr3:uid="{3B610C62-5F63-4E12-8734-CE39EE4AB020}" name="Hot well PROD-Well bottom hole temperature (C)"/>
    <tableColumn id="5" xr3:uid="{9F676BD0-B540-4709-BAF8-A490CEE0D8D6}" name="Warm well INJ-Well bottom hole temperature (C)"/>
    <tableColumn id="6" xr3:uid="{4740D8D6-1B6B-48DE-94A6-CCFB9FCF24C2}" name="Warm well PROD-Well bottom hole temperature (C)"/>
    <tableColumn id="7" xr3:uid="{A8139D89-BBD9-4617-B3FA-782590D42A86}" name="Hot well INJ-Well Bottom-hole Pressure (kPa)"/>
    <tableColumn id="8" xr3:uid="{D6EBD171-4C3A-444D-88C2-4BFACFD842C7}" name="Hot well PROD-Well Bottom-hole Pressure (kPa)"/>
    <tableColumn id="9" xr3:uid="{AE42E189-BCE6-4D1A-A0B0-6D726FD61819}" name="Warm well INJ-Well Bottom-hole Pressure (kPa)"/>
    <tableColumn id="10" xr3:uid="{AA59C91C-882F-4B61-A807-314330EEE9A6}" name="Warm well PROD-Well Bottom-hole Pressure (kPa)"/>
    <tableColumn id="11" xr3:uid="{F9313FF8-726D-42FF-BEBE-F4F1E4CC0ADA}" name="Hot well INJ-Fluid Rate SC (m³/day)"/>
    <tableColumn id="12" xr3:uid="{DA72581D-C6B2-4DC4-B8E1-6F9FF276228D}" name="Hot well PROD-Fluid Rate SC (m³/day)"/>
    <tableColumn id="13" xr3:uid="{09E9C032-2E66-4398-9E5B-532E9AFAF6B1}" name="Warm well INJ-Fluid Rate SC (m³/day)"/>
    <tableColumn id="14" xr3:uid="{E330A24E-CFDB-4562-A993-2ED011FC3D93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2979-1AE8-4384-A492-CD69FEC42D13}">
  <dimension ref="A1:N2454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14.999998093</v>
      </c>
      <c r="G4">
        <v>1368.8392334</v>
      </c>
      <c r="H4">
        <v>1329.4145507999999</v>
      </c>
      <c r="I4">
        <v>1329.4047852000001</v>
      </c>
      <c r="J4">
        <v>1289.9792480000001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15.000314713</v>
      </c>
      <c r="E5">
        <v>50</v>
      </c>
      <c r="F5">
        <v>14.999993324</v>
      </c>
      <c r="G5">
        <v>1368.8536377</v>
      </c>
      <c r="H5">
        <v>1329.4291992000001</v>
      </c>
      <c r="I5">
        <v>1329.3902588000001</v>
      </c>
      <c r="J5">
        <v>1289.9647216999999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15.001023292999999</v>
      </c>
      <c r="E6">
        <v>50</v>
      </c>
      <c r="F6">
        <v>14.999977112</v>
      </c>
      <c r="G6">
        <v>1368.8967285000001</v>
      </c>
      <c r="H6">
        <v>1329.4729004000001</v>
      </c>
      <c r="I6">
        <v>1329.3466797000001</v>
      </c>
      <c r="J6">
        <v>1289.9211425999999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15.003149033</v>
      </c>
      <c r="E7">
        <v>50</v>
      </c>
      <c r="F7">
        <v>14.999930382000001</v>
      </c>
      <c r="G7">
        <v>1369.0251464999999</v>
      </c>
      <c r="H7">
        <v>1329.6033935999999</v>
      </c>
      <c r="I7">
        <v>1329.2167969</v>
      </c>
      <c r="J7">
        <v>1289.7911377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15.009523392</v>
      </c>
      <c r="E8">
        <v>50</v>
      </c>
      <c r="F8">
        <v>14.999792099</v>
      </c>
      <c r="G8">
        <v>1369.4033202999999</v>
      </c>
      <c r="H8">
        <v>1329.9876709</v>
      </c>
      <c r="I8">
        <v>1328.8339844</v>
      </c>
      <c r="J8">
        <v>1289.4082031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15.028621674</v>
      </c>
      <c r="E9">
        <v>50</v>
      </c>
      <c r="F9">
        <v>14.999398232000001</v>
      </c>
      <c r="G9">
        <v>1370.479126</v>
      </c>
      <c r="H9">
        <v>1331.0820312000001</v>
      </c>
      <c r="I9">
        <v>1327.7441406</v>
      </c>
      <c r="J9">
        <v>1288.3179932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15.085732459999999</v>
      </c>
      <c r="E10">
        <v>50</v>
      </c>
      <c r="F10">
        <v>14.998374939</v>
      </c>
      <c r="G10">
        <v>1373.2692870999999</v>
      </c>
      <c r="H10">
        <v>1333.9278564000001</v>
      </c>
      <c r="I10">
        <v>1324.909668</v>
      </c>
      <c r="J10">
        <v>1285.4824219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15.255606651000001</v>
      </c>
      <c r="E11">
        <v>50</v>
      </c>
      <c r="F11">
        <v>14.996197701</v>
      </c>
      <c r="G11">
        <v>1379.159668</v>
      </c>
      <c r="H11">
        <v>1339.9844971</v>
      </c>
      <c r="I11">
        <v>1318.8625488</v>
      </c>
      <c r="J11">
        <v>1279.4329834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15.758131026999999</v>
      </c>
      <c r="E12">
        <v>50</v>
      </c>
      <c r="F12">
        <v>14.992824554</v>
      </c>
      <c r="G12">
        <v>1388.0393065999999</v>
      </c>
      <c r="H12">
        <v>1349.3520507999999</v>
      </c>
      <c r="I12">
        <v>1309.4013672000001</v>
      </c>
      <c r="J12">
        <v>1269.9681396000001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2.2897000000000001E-2</v>
      </c>
      <c r="B13" s="1">
        <f>DATE(2010,5,1) + TIME(0,32,58)</f>
        <v>40299.022893518515</v>
      </c>
      <c r="C13">
        <v>80</v>
      </c>
      <c r="D13">
        <v>16.739864349000001</v>
      </c>
      <c r="E13">
        <v>50</v>
      </c>
      <c r="F13">
        <v>14.989779472</v>
      </c>
      <c r="G13">
        <v>1395.5303954999999</v>
      </c>
      <c r="H13">
        <v>1357.7669678</v>
      </c>
      <c r="I13">
        <v>1300.6308594</v>
      </c>
      <c r="J13">
        <v>1261.1943358999999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3.6195999999999999E-2</v>
      </c>
      <c r="B14" s="1">
        <f>DATE(2010,5,1) + TIME(0,52,7)</f>
        <v>40299.036192129628</v>
      </c>
      <c r="C14">
        <v>80</v>
      </c>
      <c r="D14">
        <v>17.724514008</v>
      </c>
      <c r="E14">
        <v>50</v>
      </c>
      <c r="F14">
        <v>14.988028526000001</v>
      </c>
      <c r="G14">
        <v>1399.4421387</v>
      </c>
      <c r="H14">
        <v>1362.5589600000001</v>
      </c>
      <c r="I14">
        <v>1295.4315185999999</v>
      </c>
      <c r="J14">
        <v>1255.9931641000001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4.9702000000000003E-2</v>
      </c>
      <c r="B15" s="1">
        <f>DATE(2010,5,1) + TIME(1,11,34)</f>
        <v>40299.049699074072</v>
      </c>
      <c r="C15">
        <v>80</v>
      </c>
      <c r="D15">
        <v>18.710371017</v>
      </c>
      <c r="E15">
        <v>50</v>
      </c>
      <c r="F15">
        <v>14.986862183</v>
      </c>
      <c r="G15">
        <v>1401.7615966999999</v>
      </c>
      <c r="H15">
        <v>1365.7260742000001</v>
      </c>
      <c r="I15">
        <v>1291.8503418</v>
      </c>
      <c r="J15">
        <v>1252.4107666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6.3403000000000001E-2</v>
      </c>
      <c r="B16" s="1">
        <f>DATE(2010,5,1) + TIME(1,31,17)</f>
        <v>40299.063391203701</v>
      </c>
      <c r="C16">
        <v>80</v>
      </c>
      <c r="D16">
        <v>19.696561812999999</v>
      </c>
      <c r="E16">
        <v>50</v>
      </c>
      <c r="F16">
        <v>14.986008644</v>
      </c>
      <c r="G16">
        <v>1403.2512207</v>
      </c>
      <c r="H16">
        <v>1368.0310059000001</v>
      </c>
      <c r="I16">
        <v>1289.1390381000001</v>
      </c>
      <c r="J16">
        <v>1249.6986084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7.7294000000000002E-2</v>
      </c>
      <c r="B17" s="1">
        <f>DATE(2010,5,1) + TIME(1,51,18)</f>
        <v>40299.077291666668</v>
      </c>
      <c r="C17">
        <v>80</v>
      </c>
      <c r="D17">
        <v>20.683345795000001</v>
      </c>
      <c r="E17">
        <v>50</v>
      </c>
      <c r="F17">
        <v>14.985346794</v>
      </c>
      <c r="G17">
        <v>1404.2523193</v>
      </c>
      <c r="H17">
        <v>1369.8162841999999</v>
      </c>
      <c r="I17">
        <v>1286.9593506000001</v>
      </c>
      <c r="J17">
        <v>1247.5181885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9.1371999999999995E-2</v>
      </c>
      <c r="B18" s="1">
        <f>DATE(2010,5,1) + TIME(2,11,34)</f>
        <v>40299.091365740744</v>
      </c>
      <c r="C18">
        <v>80</v>
      </c>
      <c r="D18">
        <v>21.669706345000002</v>
      </c>
      <c r="E18">
        <v>50</v>
      </c>
      <c r="F18">
        <v>14.984813689999999</v>
      </c>
      <c r="G18">
        <v>1404.9404297000001</v>
      </c>
      <c r="H18">
        <v>1371.2580565999999</v>
      </c>
      <c r="I18">
        <v>1285.1359863</v>
      </c>
      <c r="J18">
        <v>1245.6942139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0.105645</v>
      </c>
      <c r="B19" s="1">
        <f>DATE(2010,5,1) + TIME(2,32,7)</f>
        <v>40299.105636574073</v>
      </c>
      <c r="C19">
        <v>80</v>
      </c>
      <c r="D19">
        <v>22.65562439</v>
      </c>
      <c r="E19">
        <v>50</v>
      </c>
      <c r="F19">
        <v>14.984370232</v>
      </c>
      <c r="G19">
        <v>1405.4168701000001</v>
      </c>
      <c r="H19">
        <v>1372.4592285000001</v>
      </c>
      <c r="I19">
        <v>1283.5665283000001</v>
      </c>
      <c r="J19">
        <v>1244.1241454999999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0.12012200000000001</v>
      </c>
      <c r="B20" s="1">
        <f>DATE(2010,5,1) + TIME(2,52,58)</f>
        <v>40299.120115740741</v>
      </c>
      <c r="C20">
        <v>80</v>
      </c>
      <c r="D20">
        <v>23.641305923000001</v>
      </c>
      <c r="E20">
        <v>50</v>
      </c>
      <c r="F20">
        <v>14.983996391</v>
      </c>
      <c r="G20">
        <v>1405.7443848</v>
      </c>
      <c r="H20">
        <v>1373.4838867000001</v>
      </c>
      <c r="I20">
        <v>1282.1864014</v>
      </c>
      <c r="J20">
        <v>1242.7436522999999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0.13480800000000001</v>
      </c>
      <c r="B21" s="1">
        <f>DATE(2010,5,1) + TIME(3,14,7)</f>
        <v>40299.13480324074</v>
      </c>
      <c r="C21">
        <v>80</v>
      </c>
      <c r="D21">
        <v>24.626724243000002</v>
      </c>
      <c r="E21">
        <v>50</v>
      </c>
      <c r="F21">
        <v>14.983674048999999</v>
      </c>
      <c r="G21">
        <v>1405.9637451000001</v>
      </c>
      <c r="H21">
        <v>1374.3742675999999</v>
      </c>
      <c r="I21">
        <v>1280.953125</v>
      </c>
      <c r="J21">
        <v>1241.5100098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0.14971300000000001</v>
      </c>
      <c r="B22" s="1">
        <f>DATE(2010,5,1) + TIME(3,35,35)</f>
        <v>40299.149710648147</v>
      </c>
      <c r="C22">
        <v>80</v>
      </c>
      <c r="D22">
        <v>25.612251281999999</v>
      </c>
      <c r="E22">
        <v>50</v>
      </c>
      <c r="F22">
        <v>14.983393669</v>
      </c>
      <c r="G22">
        <v>1406.1031493999999</v>
      </c>
      <c r="H22">
        <v>1375.159668</v>
      </c>
      <c r="I22">
        <v>1279.8366699000001</v>
      </c>
      <c r="J22">
        <v>1240.3931885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0.16483600000000001</v>
      </c>
      <c r="B23" s="1">
        <f>DATE(2010,5,1) + TIME(3,57,21)</f>
        <v>40299.164826388886</v>
      </c>
      <c r="C23">
        <v>80</v>
      </c>
      <c r="D23">
        <v>26.597335815000001</v>
      </c>
      <c r="E23">
        <v>50</v>
      </c>
      <c r="F23">
        <v>14.983147621000001</v>
      </c>
      <c r="G23">
        <v>1406.1824951000001</v>
      </c>
      <c r="H23">
        <v>1375.8610839999999</v>
      </c>
      <c r="I23">
        <v>1278.8157959</v>
      </c>
      <c r="J23">
        <v>1239.3720702999999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0.18018799999999999</v>
      </c>
      <c r="B24" s="1">
        <f>DATE(2010,5,1) + TIME(4,19,28)</f>
        <v>40299.180185185185</v>
      </c>
      <c r="C24">
        <v>80</v>
      </c>
      <c r="D24">
        <v>27.581869125000001</v>
      </c>
      <c r="E24">
        <v>50</v>
      </c>
      <c r="F24">
        <v>14.982930183000001</v>
      </c>
      <c r="G24">
        <v>1406.2166748</v>
      </c>
      <c r="H24">
        <v>1376.4945068</v>
      </c>
      <c r="I24">
        <v>1277.8740233999999</v>
      </c>
      <c r="J24">
        <v>1238.4300536999999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0.19578100000000001</v>
      </c>
      <c r="B25" s="1">
        <f>DATE(2010,5,1) + TIME(4,41,55)</f>
        <v>40299.195775462962</v>
      </c>
      <c r="C25">
        <v>80</v>
      </c>
      <c r="D25">
        <v>28.566068649000002</v>
      </c>
      <c r="E25">
        <v>50</v>
      </c>
      <c r="F25">
        <v>14.982736588</v>
      </c>
      <c r="G25">
        <v>1406.2165527</v>
      </c>
      <c r="H25">
        <v>1377.0720214999999</v>
      </c>
      <c r="I25">
        <v>1276.9986572</v>
      </c>
      <c r="J25">
        <v>1237.5544434000001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0.21162400000000001</v>
      </c>
      <c r="B26" s="1">
        <f>DATE(2010,5,1) + TIME(5,4,44)</f>
        <v>40299.21162037037</v>
      </c>
      <c r="C26">
        <v>80</v>
      </c>
      <c r="D26">
        <v>29.549921036000001</v>
      </c>
      <c r="E26">
        <v>50</v>
      </c>
      <c r="F26">
        <v>14.982563019000001</v>
      </c>
      <c r="G26">
        <v>1406.1907959</v>
      </c>
      <c r="H26">
        <v>1377.6029053</v>
      </c>
      <c r="I26">
        <v>1276.1798096</v>
      </c>
      <c r="J26">
        <v>1236.7353516000001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0.22772800000000001</v>
      </c>
      <c r="B27" s="1">
        <f>DATE(2010,5,1) + TIME(5,27,55)</f>
        <v>40299.227719907409</v>
      </c>
      <c r="C27">
        <v>80</v>
      </c>
      <c r="D27">
        <v>30.533525467</v>
      </c>
      <c r="E27">
        <v>50</v>
      </c>
      <c r="F27">
        <v>14.982406616</v>
      </c>
      <c r="G27">
        <v>1406.1455077999999</v>
      </c>
      <c r="H27">
        <v>1378.0946045000001</v>
      </c>
      <c r="I27">
        <v>1275.4097899999999</v>
      </c>
      <c r="J27">
        <v>1235.9652100000001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0.24410000000000001</v>
      </c>
      <c r="B28" s="1">
        <f>DATE(2010,5,1) + TIME(5,51,30)</f>
        <v>40299.244097222225</v>
      </c>
      <c r="C28">
        <v>80</v>
      </c>
      <c r="D28">
        <v>31.516742705999999</v>
      </c>
      <c r="E28">
        <v>50</v>
      </c>
      <c r="F28">
        <v>14.982265472</v>
      </c>
      <c r="G28">
        <v>1406.0856934000001</v>
      </c>
      <c r="H28">
        <v>1378.5528564000001</v>
      </c>
      <c r="I28">
        <v>1274.682251</v>
      </c>
      <c r="J28">
        <v>1235.2374268000001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0.26075100000000001</v>
      </c>
      <c r="B29" s="1">
        <f>DATE(2010,5,1) + TIME(6,15,28)</f>
        <v>40299.260740740741</v>
      </c>
      <c r="C29">
        <v>80</v>
      </c>
      <c r="D29">
        <v>32.499473571999999</v>
      </c>
      <c r="E29">
        <v>50</v>
      </c>
      <c r="F29">
        <v>14.982138634</v>
      </c>
      <c r="G29">
        <v>1406.0155029</v>
      </c>
      <c r="H29">
        <v>1378.9825439000001</v>
      </c>
      <c r="I29">
        <v>1273.9919434000001</v>
      </c>
      <c r="J29">
        <v>1234.5469971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0.27769500000000003</v>
      </c>
      <c r="B30" s="1">
        <f>DATE(2010,5,1) + TIME(6,39,52)</f>
        <v>40299.277685185189</v>
      </c>
      <c r="C30">
        <v>80</v>
      </c>
      <c r="D30">
        <v>33.481796265</v>
      </c>
      <c r="E30">
        <v>50</v>
      </c>
      <c r="F30">
        <v>14.982023239</v>
      </c>
      <c r="G30">
        <v>1405.9378661999999</v>
      </c>
      <c r="H30">
        <v>1379.3875731999999</v>
      </c>
      <c r="I30">
        <v>1273.3344727000001</v>
      </c>
      <c r="J30">
        <v>1233.8894043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0.29494399999999998</v>
      </c>
      <c r="B31" s="1">
        <f>DATE(2010,5,1) + TIME(7,4,43)</f>
        <v>40299.294942129629</v>
      </c>
      <c r="C31">
        <v>80</v>
      </c>
      <c r="D31">
        <v>34.463691711000003</v>
      </c>
      <c r="E31">
        <v>50</v>
      </c>
      <c r="F31">
        <v>14.981918335</v>
      </c>
      <c r="G31">
        <v>1405.8554687999999</v>
      </c>
      <c r="H31">
        <v>1379.7711182</v>
      </c>
      <c r="I31">
        <v>1272.7061768000001</v>
      </c>
      <c r="J31">
        <v>1233.2608643000001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0.31251099999999998</v>
      </c>
      <c r="B32" s="1">
        <f>DATE(2010,5,1) + TIME(7,30,0)</f>
        <v>40299.3125</v>
      </c>
      <c r="C32">
        <v>80</v>
      </c>
      <c r="D32">
        <v>35.445148467999999</v>
      </c>
      <c r="E32">
        <v>50</v>
      </c>
      <c r="F32">
        <v>14.981822967999999</v>
      </c>
      <c r="G32">
        <v>1405.7701416</v>
      </c>
      <c r="H32">
        <v>1380.1361084</v>
      </c>
      <c r="I32">
        <v>1272.1038818</v>
      </c>
      <c r="J32">
        <v>1232.6585693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0.33040999999999998</v>
      </c>
      <c r="B33" s="1">
        <f>DATE(2010,5,1) + TIME(7,55,47)</f>
        <v>40299.330405092594</v>
      </c>
      <c r="C33">
        <v>80</v>
      </c>
      <c r="D33">
        <v>36.426147460999999</v>
      </c>
      <c r="E33">
        <v>50</v>
      </c>
      <c r="F33">
        <v>14.981736183000001</v>
      </c>
      <c r="G33">
        <v>1405.6835937999999</v>
      </c>
      <c r="H33">
        <v>1380.4844971</v>
      </c>
      <c r="I33">
        <v>1271.5249022999999</v>
      </c>
      <c r="J33">
        <v>1232.0794678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0.34865499999999999</v>
      </c>
      <c r="B34" s="1">
        <f>DATE(2010,5,1) + TIME(8,22,3)</f>
        <v>40299.348645833335</v>
      </c>
      <c r="C34">
        <v>80</v>
      </c>
      <c r="D34">
        <v>37.406661987</v>
      </c>
      <c r="E34">
        <v>50</v>
      </c>
      <c r="F34">
        <v>14.981657028000001</v>
      </c>
      <c r="G34">
        <v>1405.5970459</v>
      </c>
      <c r="H34">
        <v>1380.8183594</v>
      </c>
      <c r="I34">
        <v>1270.9671631000001</v>
      </c>
      <c r="J34">
        <v>1231.5216064000001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0.36726399999999998</v>
      </c>
      <c r="B35" s="1">
        <f>DATE(2010,5,1) + TIME(8,48,51)</f>
        <v>40299.367256944446</v>
      </c>
      <c r="C35">
        <v>80</v>
      </c>
      <c r="D35">
        <v>38.386680603000002</v>
      </c>
      <c r="E35">
        <v>50</v>
      </c>
      <c r="F35">
        <v>14.981584549000001</v>
      </c>
      <c r="G35">
        <v>1405.5115966999999</v>
      </c>
      <c r="H35">
        <v>1381.1394043</v>
      </c>
      <c r="I35">
        <v>1270.4284668</v>
      </c>
      <c r="J35">
        <v>1230.9827881000001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0.38625100000000001</v>
      </c>
      <c r="B36" s="1">
        <f>DATE(2010,5,1) + TIME(9,16,12)</f>
        <v>40299.386250000003</v>
      </c>
      <c r="C36">
        <v>80</v>
      </c>
      <c r="D36">
        <v>39.366172790999997</v>
      </c>
      <c r="E36">
        <v>50</v>
      </c>
      <c r="F36">
        <v>14.981518745000001</v>
      </c>
      <c r="G36">
        <v>1405.4281006000001</v>
      </c>
      <c r="H36">
        <v>1381.4488524999999</v>
      </c>
      <c r="I36">
        <v>1269.9071045000001</v>
      </c>
      <c r="J36">
        <v>1230.4613036999999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0.405636</v>
      </c>
      <c r="B37" s="1">
        <f>DATE(2010,5,1) + TIME(9,44,6)</f>
        <v>40299.405624999999</v>
      </c>
      <c r="C37">
        <v>80</v>
      </c>
      <c r="D37">
        <v>40.345195769999997</v>
      </c>
      <c r="E37">
        <v>50</v>
      </c>
      <c r="F37">
        <v>14.981458664</v>
      </c>
      <c r="G37">
        <v>1405.3470459</v>
      </c>
      <c r="H37">
        <v>1381.7480469</v>
      </c>
      <c r="I37">
        <v>1269.4014893000001</v>
      </c>
      <c r="J37">
        <v>1229.9556885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0.42543700000000001</v>
      </c>
      <c r="B38" s="1">
        <f>DATE(2010,5,1) + TIME(10,12,37)</f>
        <v>40299.425428240742</v>
      </c>
      <c r="C38">
        <v>80</v>
      </c>
      <c r="D38">
        <v>41.323715210000003</v>
      </c>
      <c r="E38">
        <v>50</v>
      </c>
      <c r="F38">
        <v>14.981405258000001</v>
      </c>
      <c r="G38">
        <v>1405.2689209</v>
      </c>
      <c r="H38">
        <v>1382.0379639</v>
      </c>
      <c r="I38">
        <v>1268.9104004000001</v>
      </c>
      <c r="J38">
        <v>1229.4645995999999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0.44567200000000001</v>
      </c>
      <c r="B39" s="1">
        <f>DATE(2010,5,1) + TIME(10,41,46)</f>
        <v>40299.445671296293</v>
      </c>
      <c r="C39">
        <v>80</v>
      </c>
      <c r="D39">
        <v>42.301502227999997</v>
      </c>
      <c r="E39">
        <v>50</v>
      </c>
      <c r="F39">
        <v>14.981355667000001</v>
      </c>
      <c r="G39">
        <v>1405.1943358999999</v>
      </c>
      <c r="H39">
        <v>1382.3194579999999</v>
      </c>
      <c r="I39">
        <v>1268.4326172000001</v>
      </c>
      <c r="J39">
        <v>1228.9866943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0.46636699999999998</v>
      </c>
      <c r="B40" s="1">
        <f>DATE(2010,5,1) + TIME(11,11,34)</f>
        <v>40299.466365740744</v>
      </c>
      <c r="C40">
        <v>80</v>
      </c>
      <c r="D40">
        <v>43.278656005999999</v>
      </c>
      <c r="E40">
        <v>50</v>
      </c>
      <c r="F40">
        <v>14.981310843999999</v>
      </c>
      <c r="G40">
        <v>1405.1235352000001</v>
      </c>
      <c r="H40">
        <v>1382.5932617000001</v>
      </c>
      <c r="I40">
        <v>1267.9670410000001</v>
      </c>
      <c r="J40">
        <v>1228.5209961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0.48754500000000001</v>
      </c>
      <c r="B41" s="1">
        <f>DATE(2010,5,1) + TIME(11,42,3)</f>
        <v>40299.487534722219</v>
      </c>
      <c r="C41">
        <v>80</v>
      </c>
      <c r="D41">
        <v>44.255146027000002</v>
      </c>
      <c r="E41">
        <v>50</v>
      </c>
      <c r="F41">
        <v>14.98127079</v>
      </c>
      <c r="G41">
        <v>1405.0565185999999</v>
      </c>
      <c r="H41">
        <v>1382.8599853999999</v>
      </c>
      <c r="I41">
        <v>1267.5125731999999</v>
      </c>
      <c r="J41">
        <v>1228.0665283000001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0.50923399999999996</v>
      </c>
      <c r="B42" s="1">
        <f>DATE(2010,5,1) + TIME(12,13,17)</f>
        <v>40299.50922453704</v>
      </c>
      <c r="C42">
        <v>80</v>
      </c>
      <c r="D42">
        <v>45.230937957999998</v>
      </c>
      <c r="E42">
        <v>50</v>
      </c>
      <c r="F42">
        <v>14.981235504000001</v>
      </c>
      <c r="G42">
        <v>1404.9937743999999</v>
      </c>
      <c r="H42">
        <v>1383.1204834</v>
      </c>
      <c r="I42">
        <v>1267.0683594</v>
      </c>
      <c r="J42">
        <v>1227.6223144999999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0.53146099999999996</v>
      </c>
      <c r="B43" s="1">
        <f>DATE(2010,5,1) + TIME(12,45,18)</f>
        <v>40299.531458333331</v>
      </c>
      <c r="C43">
        <v>80</v>
      </c>
      <c r="D43">
        <v>46.205997467000003</v>
      </c>
      <c r="E43">
        <v>50</v>
      </c>
      <c r="F43">
        <v>14.981203079</v>
      </c>
      <c r="G43">
        <v>1404.9353027</v>
      </c>
      <c r="H43">
        <v>1383.375</v>
      </c>
      <c r="I43">
        <v>1266.6336670000001</v>
      </c>
      <c r="J43">
        <v>1227.1876221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0.55425599999999997</v>
      </c>
      <c r="B44" s="1">
        <f>DATE(2010,5,1) + TIME(13,18,7)</f>
        <v>40299.554247685184</v>
      </c>
      <c r="C44">
        <v>80</v>
      </c>
      <c r="D44">
        <v>47.180278778000002</v>
      </c>
      <c r="E44">
        <v>50</v>
      </c>
      <c r="F44">
        <v>14.981174469000001</v>
      </c>
      <c r="G44">
        <v>1404.8811035000001</v>
      </c>
      <c r="H44">
        <v>1383.6241454999999</v>
      </c>
      <c r="I44">
        <v>1266.2077637</v>
      </c>
      <c r="J44">
        <v>1226.7615966999999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0.57765299999999997</v>
      </c>
      <c r="B45" s="1">
        <f>DATE(2010,5,1) + TIME(13,51,49)</f>
        <v>40299.577650462961</v>
      </c>
      <c r="C45">
        <v>80</v>
      </c>
      <c r="D45">
        <v>48.153736115000001</v>
      </c>
      <c r="E45">
        <v>50</v>
      </c>
      <c r="F45">
        <v>14.981149673000001</v>
      </c>
      <c r="G45">
        <v>1404.8311768000001</v>
      </c>
      <c r="H45">
        <v>1383.8681641000001</v>
      </c>
      <c r="I45">
        <v>1265.7900391000001</v>
      </c>
      <c r="J45">
        <v>1226.3438721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0.60168699999999997</v>
      </c>
      <c r="B46" s="1">
        <f>DATE(2010,5,1) + TIME(14,26,25)</f>
        <v>40299.601678240739</v>
      </c>
      <c r="C46">
        <v>80</v>
      </c>
      <c r="D46">
        <v>49.126327515</v>
      </c>
      <c r="E46">
        <v>50</v>
      </c>
      <c r="F46">
        <v>14.981127739</v>
      </c>
      <c r="G46">
        <v>1404.7856445</v>
      </c>
      <c r="H46">
        <v>1384.1075439000001</v>
      </c>
      <c r="I46">
        <v>1265.3796387</v>
      </c>
      <c r="J46">
        <v>1225.9334716999999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0.62639999999999996</v>
      </c>
      <c r="B47" s="1">
        <f>DATE(2010,5,1) + TIME(15,2,0)</f>
        <v>40299.626388888886</v>
      </c>
      <c r="C47">
        <v>80</v>
      </c>
      <c r="D47">
        <v>50.097949982000003</v>
      </c>
      <c r="E47">
        <v>50</v>
      </c>
      <c r="F47">
        <v>14.981109619</v>
      </c>
      <c r="G47">
        <v>1404.7445068</v>
      </c>
      <c r="H47">
        <v>1384.3425293</v>
      </c>
      <c r="I47">
        <v>1264.9763184000001</v>
      </c>
      <c r="J47">
        <v>1225.5300293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0.651833</v>
      </c>
      <c r="B48" s="1">
        <f>DATE(2010,5,1) + TIME(15,38,38)</f>
        <v>40299.651828703703</v>
      </c>
      <c r="C48">
        <v>80</v>
      </c>
      <c r="D48">
        <v>51.068233489999997</v>
      </c>
      <c r="E48">
        <v>50</v>
      </c>
      <c r="F48">
        <v>14.98109436</v>
      </c>
      <c r="G48">
        <v>1404.7076416</v>
      </c>
      <c r="H48">
        <v>1384.5732422000001</v>
      </c>
      <c r="I48">
        <v>1264.5792236</v>
      </c>
      <c r="J48">
        <v>1225.1329346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0.67804600000000004</v>
      </c>
      <c r="B49" s="1">
        <f>DATE(2010,5,1) + TIME(16,16,23)</f>
        <v>40299.678043981483</v>
      </c>
      <c r="C49">
        <v>80</v>
      </c>
      <c r="D49">
        <v>52.037841796999999</v>
      </c>
      <c r="E49">
        <v>50</v>
      </c>
      <c r="F49">
        <v>14.981081009</v>
      </c>
      <c r="G49">
        <v>1404.6749268000001</v>
      </c>
      <c r="H49">
        <v>1384.800293</v>
      </c>
      <c r="I49">
        <v>1264.1877440999999</v>
      </c>
      <c r="J49">
        <v>1224.7414550999999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0.70508099999999996</v>
      </c>
      <c r="B50" s="1">
        <f>DATE(2010,5,1) + TIME(16,55,18)</f>
        <v>40299.705069444448</v>
      </c>
      <c r="C50">
        <v>80</v>
      </c>
      <c r="D50">
        <v>53.006328582999998</v>
      </c>
      <c r="E50">
        <v>50</v>
      </c>
      <c r="F50">
        <v>14.981071472</v>
      </c>
      <c r="G50">
        <v>1404.6464844</v>
      </c>
      <c r="H50">
        <v>1385.0235596</v>
      </c>
      <c r="I50">
        <v>1263.8017577999999</v>
      </c>
      <c r="J50">
        <v>1224.3553466999999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0.73299499999999995</v>
      </c>
      <c r="B51" s="1">
        <f>DATE(2010,5,1) + TIME(17,35,30)</f>
        <v>40299.732986111114</v>
      </c>
      <c r="C51">
        <v>80</v>
      </c>
      <c r="D51">
        <v>53.973628998000002</v>
      </c>
      <c r="E51">
        <v>50</v>
      </c>
      <c r="F51">
        <v>14.981064796</v>
      </c>
      <c r="G51">
        <v>1404.6221923999999</v>
      </c>
      <c r="H51">
        <v>1385.2432861</v>
      </c>
      <c r="I51">
        <v>1263.4205322</v>
      </c>
      <c r="J51">
        <v>1223.9742432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0.761853</v>
      </c>
      <c r="B52" s="1">
        <f>DATE(2010,5,1) + TIME(18,17,4)</f>
        <v>40299.76185185185</v>
      </c>
      <c r="C52">
        <v>80</v>
      </c>
      <c r="D52">
        <v>54.939643859999997</v>
      </c>
      <c r="E52">
        <v>50</v>
      </c>
      <c r="F52">
        <v>14.981060028</v>
      </c>
      <c r="G52">
        <v>1404.6016846</v>
      </c>
      <c r="H52">
        <v>1385.4597168</v>
      </c>
      <c r="I52">
        <v>1263.0438231999999</v>
      </c>
      <c r="J52">
        <v>1223.5974120999999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0.79172600000000004</v>
      </c>
      <c r="B53" s="1">
        <f>DATE(2010,5,1) + TIME(19,0,5)</f>
        <v>40299.791724537034</v>
      </c>
      <c r="C53">
        <v>80</v>
      </c>
      <c r="D53">
        <v>55.904285430999998</v>
      </c>
      <c r="E53">
        <v>50</v>
      </c>
      <c r="F53">
        <v>14.981058121</v>
      </c>
      <c r="G53">
        <v>1404.5852050999999</v>
      </c>
      <c r="H53">
        <v>1385.6729736</v>
      </c>
      <c r="I53">
        <v>1262.6711425999999</v>
      </c>
      <c r="J53">
        <v>1223.2247314000001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0.82269400000000004</v>
      </c>
      <c r="B54" s="1">
        <f>DATE(2010,5,1) + TIME(19,44,40)</f>
        <v>40299.822685185187</v>
      </c>
      <c r="C54">
        <v>80</v>
      </c>
      <c r="D54">
        <v>56.867446899000001</v>
      </c>
      <c r="E54">
        <v>50</v>
      </c>
      <c r="F54">
        <v>14.981058121</v>
      </c>
      <c r="G54">
        <v>1404.5723877</v>
      </c>
      <c r="H54">
        <v>1385.8831786999999</v>
      </c>
      <c r="I54">
        <v>1262.3020019999999</v>
      </c>
      <c r="J54">
        <v>1222.8555908000001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0.85484599999999999</v>
      </c>
      <c r="B55" s="1">
        <f>DATE(2010,5,1) + TIME(20,30,58)</f>
        <v>40299.854837962965</v>
      </c>
      <c r="C55">
        <v>80</v>
      </c>
      <c r="D55">
        <v>57.829010009999998</v>
      </c>
      <c r="E55">
        <v>50</v>
      </c>
      <c r="F55">
        <v>14.981061935</v>
      </c>
      <c r="G55">
        <v>1404.5633545000001</v>
      </c>
      <c r="H55">
        <v>1386.090332</v>
      </c>
      <c r="I55">
        <v>1261.9359131000001</v>
      </c>
      <c r="J55">
        <v>1222.4895019999999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0.88828399999999996</v>
      </c>
      <c r="B56" s="1">
        <f>DATE(2010,5,1) + TIME(21,19,7)</f>
        <v>40299.888275462959</v>
      </c>
      <c r="C56">
        <v>80</v>
      </c>
      <c r="D56">
        <v>58.788837432999998</v>
      </c>
      <c r="E56">
        <v>50</v>
      </c>
      <c r="F56">
        <v>14.981066704</v>
      </c>
      <c r="G56">
        <v>1404.5577393000001</v>
      </c>
      <c r="H56">
        <v>1386.2946777</v>
      </c>
      <c r="I56">
        <v>1261.5726318</v>
      </c>
      <c r="J56">
        <v>1222.1262207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0.92312099999999997</v>
      </c>
      <c r="B57" s="1">
        <f>DATE(2010,5,1) + TIME(22,9,17)</f>
        <v>40299.923113425924</v>
      </c>
      <c r="C57">
        <v>80</v>
      </c>
      <c r="D57">
        <v>59.746784210000001</v>
      </c>
      <c r="E57">
        <v>50</v>
      </c>
      <c r="F57">
        <v>14.981074333</v>
      </c>
      <c r="G57">
        <v>1404.5556641000001</v>
      </c>
      <c r="H57">
        <v>1386.4963379000001</v>
      </c>
      <c r="I57">
        <v>1261.2116699000001</v>
      </c>
      <c r="J57">
        <v>1221.7652588000001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0.95948800000000001</v>
      </c>
      <c r="B58" s="1">
        <f>DATE(2010,5,1) + TIME(23,1,39)</f>
        <v>40299.959479166668</v>
      </c>
      <c r="C58">
        <v>80</v>
      </c>
      <c r="D58">
        <v>60.702194214000002</v>
      </c>
      <c r="E58">
        <v>50</v>
      </c>
      <c r="F58">
        <v>14.981084824</v>
      </c>
      <c r="G58">
        <v>1404.5570068</v>
      </c>
      <c r="H58">
        <v>1386.6951904</v>
      </c>
      <c r="I58">
        <v>1260.8525391000001</v>
      </c>
      <c r="J58">
        <v>1221.4061279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0.99755099999999997</v>
      </c>
      <c r="B59" s="1">
        <f>DATE(2010,5,1) + TIME(23,56,28)</f>
        <v>40299.997546296298</v>
      </c>
      <c r="C59">
        <v>80</v>
      </c>
      <c r="D59">
        <v>61.655616760000001</v>
      </c>
      <c r="E59">
        <v>50</v>
      </c>
      <c r="F59">
        <v>14.981097221000001</v>
      </c>
      <c r="G59">
        <v>1404.5615233999999</v>
      </c>
      <c r="H59">
        <v>1386.8916016000001</v>
      </c>
      <c r="I59">
        <v>1260.4945068</v>
      </c>
      <c r="J59">
        <v>1221.0480957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1.0374749999999999</v>
      </c>
      <c r="B60" s="1">
        <f>DATE(2010,5,2) + TIME(0,53,57)</f>
        <v>40300.037465277775</v>
      </c>
      <c r="C60">
        <v>80</v>
      </c>
      <c r="D60">
        <v>62.606731414999999</v>
      </c>
      <c r="E60">
        <v>50</v>
      </c>
      <c r="F60">
        <v>14.98111248</v>
      </c>
      <c r="G60">
        <v>1404.5692139</v>
      </c>
      <c r="H60">
        <v>1387.0855713000001</v>
      </c>
      <c r="I60">
        <v>1260.1373291</v>
      </c>
      <c r="J60">
        <v>1220.690918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1.07945</v>
      </c>
      <c r="B61" s="1">
        <f>DATE(2010,5,2) + TIME(1,54,24)</f>
        <v>40300.079444444447</v>
      </c>
      <c r="C61">
        <v>80</v>
      </c>
      <c r="D61">
        <v>63.555126190000003</v>
      </c>
      <c r="E61">
        <v>50</v>
      </c>
      <c r="F61">
        <v>14.9811306</v>
      </c>
      <c r="G61">
        <v>1404.5800781</v>
      </c>
      <c r="H61">
        <v>1387.2770995999999</v>
      </c>
      <c r="I61">
        <v>1259.7805175999999</v>
      </c>
      <c r="J61">
        <v>1220.3342285000001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1.1236550000000001</v>
      </c>
      <c r="B62" s="1">
        <f>DATE(2010,5,2) + TIME(2,58,3)</f>
        <v>40300.123645833337</v>
      </c>
      <c r="C62">
        <v>80</v>
      </c>
      <c r="D62">
        <v>64.499412536999998</v>
      </c>
      <c r="E62">
        <v>50</v>
      </c>
      <c r="F62">
        <v>14.981150627</v>
      </c>
      <c r="G62">
        <v>1404.5938721</v>
      </c>
      <c r="H62">
        <v>1387.4659423999999</v>
      </c>
      <c r="I62">
        <v>1259.4239502</v>
      </c>
      <c r="J62">
        <v>1219.9776611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1.170347</v>
      </c>
      <c r="B63" s="1">
        <f>DATE(2010,5,2) + TIME(4,5,18)</f>
        <v>40300.170347222222</v>
      </c>
      <c r="C63">
        <v>80</v>
      </c>
      <c r="D63">
        <v>65.439262389999996</v>
      </c>
      <c r="E63">
        <v>50</v>
      </c>
      <c r="F63">
        <v>14.981173515</v>
      </c>
      <c r="G63">
        <v>1404.6104736</v>
      </c>
      <c r="H63">
        <v>1387.6522216999999</v>
      </c>
      <c r="I63">
        <v>1259.0670166</v>
      </c>
      <c r="J63">
        <v>1219.6207274999999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1.2198310000000001</v>
      </c>
      <c r="B64" s="1">
        <f>DATE(2010,5,2) + TIME(5,16,33)</f>
        <v>40300.219826388886</v>
      </c>
      <c r="C64">
        <v>80</v>
      </c>
      <c r="D64">
        <v>66.374183654999996</v>
      </c>
      <c r="E64">
        <v>50</v>
      </c>
      <c r="F64">
        <v>14.981198311</v>
      </c>
      <c r="G64">
        <v>1404.6297606999999</v>
      </c>
      <c r="H64">
        <v>1387.8359375</v>
      </c>
      <c r="I64">
        <v>1258.7092285000001</v>
      </c>
      <c r="J64">
        <v>1219.2628173999999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1.2457910000000001</v>
      </c>
      <c r="B65" s="1">
        <f>DATE(2010,5,2) + TIME(5,53,56)</f>
        <v>40300.245787037034</v>
      </c>
      <c r="C65">
        <v>80</v>
      </c>
      <c r="D65">
        <v>66.849349975999999</v>
      </c>
      <c r="E65">
        <v>50</v>
      </c>
      <c r="F65">
        <v>14.981211662</v>
      </c>
      <c r="G65">
        <v>1404.6525879000001</v>
      </c>
      <c r="H65">
        <v>1387.9038086</v>
      </c>
      <c r="I65">
        <v>1258.5268555</v>
      </c>
      <c r="J65">
        <v>1219.0804443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1.2717499999999999</v>
      </c>
      <c r="B66" s="1">
        <f>DATE(2010,5,2) + TIME(6,31,19)</f>
        <v>40300.271747685183</v>
      </c>
      <c r="C66">
        <v>80</v>
      </c>
      <c r="D66">
        <v>67.308570861999996</v>
      </c>
      <c r="E66">
        <v>50</v>
      </c>
      <c r="F66">
        <v>14.981224060000001</v>
      </c>
      <c r="G66">
        <v>1404.6505127</v>
      </c>
      <c r="H66">
        <v>1387.9810791</v>
      </c>
      <c r="I66">
        <v>1258.3496094</v>
      </c>
      <c r="J66">
        <v>1218.9033202999999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1.2977099999999999</v>
      </c>
      <c r="B67" s="1">
        <f>DATE(2010,5,2) + TIME(7,8,42)</f>
        <v>40300.297708333332</v>
      </c>
      <c r="C67">
        <v>80</v>
      </c>
      <c r="D67">
        <v>67.752349854000002</v>
      </c>
      <c r="E67">
        <v>50</v>
      </c>
      <c r="F67">
        <v>14.981237411</v>
      </c>
      <c r="G67">
        <v>1404.65625</v>
      </c>
      <c r="H67">
        <v>1388.0611572</v>
      </c>
      <c r="I67">
        <v>1258.1772461</v>
      </c>
      <c r="J67">
        <v>1218.730957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1.3236699999999999</v>
      </c>
      <c r="B68" s="1">
        <f>DATE(2010,5,2) + TIME(7,46,5)</f>
        <v>40300.32366898148</v>
      </c>
      <c r="C68">
        <v>80</v>
      </c>
      <c r="D68">
        <v>68.181152343999997</v>
      </c>
      <c r="E68">
        <v>50</v>
      </c>
      <c r="F68">
        <v>14.981250763</v>
      </c>
      <c r="G68">
        <v>1404.6645507999999</v>
      </c>
      <c r="H68">
        <v>1388.1401367000001</v>
      </c>
      <c r="I68">
        <v>1258.0097656</v>
      </c>
      <c r="J68">
        <v>1218.5634766000001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1.349629</v>
      </c>
      <c r="B69" s="1">
        <f>DATE(2010,5,2) + TIME(8,23,27)</f>
        <v>40300.349618055552</v>
      </c>
      <c r="C69">
        <v>80</v>
      </c>
      <c r="D69">
        <v>68.595443725999999</v>
      </c>
      <c r="E69">
        <v>50</v>
      </c>
      <c r="F69">
        <v>14.981264114</v>
      </c>
      <c r="G69">
        <v>1404.6737060999999</v>
      </c>
      <c r="H69">
        <v>1388.2166748</v>
      </c>
      <c r="I69">
        <v>1257.8466797000001</v>
      </c>
      <c r="J69">
        <v>1218.4005127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1.375589</v>
      </c>
      <c r="B70" s="1">
        <f>DATE(2010,5,2) + TIME(9,0,50)</f>
        <v>40300.375578703701</v>
      </c>
      <c r="C70">
        <v>80</v>
      </c>
      <c r="D70">
        <v>68.995666503999999</v>
      </c>
      <c r="E70">
        <v>50</v>
      </c>
      <c r="F70">
        <v>14.981278419000001</v>
      </c>
      <c r="G70">
        <v>1404.6834716999999</v>
      </c>
      <c r="H70">
        <v>1388.2906493999999</v>
      </c>
      <c r="I70">
        <v>1257.6881103999999</v>
      </c>
      <c r="J70">
        <v>1218.2418213000001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1.4015489999999999</v>
      </c>
      <c r="B71" s="1">
        <f>DATE(2010,5,2) + TIME(9,38,13)</f>
        <v>40300.401539351849</v>
      </c>
      <c r="C71">
        <v>80</v>
      </c>
      <c r="D71">
        <v>69.382263183999996</v>
      </c>
      <c r="E71">
        <v>50</v>
      </c>
      <c r="F71">
        <v>14.981291771</v>
      </c>
      <c r="G71">
        <v>1404.6932373</v>
      </c>
      <c r="H71">
        <v>1388.3618164</v>
      </c>
      <c r="I71">
        <v>1257.5336914</v>
      </c>
      <c r="J71">
        <v>1218.0874022999999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1.427508</v>
      </c>
      <c r="B72" s="1">
        <f>DATE(2010,5,2) + TIME(10,15,36)</f>
        <v>40300.427499999998</v>
      </c>
      <c r="C72">
        <v>80</v>
      </c>
      <c r="D72">
        <v>69.755661011000001</v>
      </c>
      <c r="E72">
        <v>50</v>
      </c>
      <c r="F72">
        <v>14.981306075999999</v>
      </c>
      <c r="G72">
        <v>1404.7032471</v>
      </c>
      <c r="H72">
        <v>1388.4304199000001</v>
      </c>
      <c r="I72">
        <v>1257.3833007999999</v>
      </c>
      <c r="J72">
        <v>1217.9370117000001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1.453468</v>
      </c>
      <c r="B73" s="1">
        <f>DATE(2010,5,2) + TIME(10,52,59)</f>
        <v>40300.453460648147</v>
      </c>
      <c r="C73">
        <v>80</v>
      </c>
      <c r="D73">
        <v>70.116180420000006</v>
      </c>
      <c r="E73">
        <v>50</v>
      </c>
      <c r="F73">
        <v>14.981320381</v>
      </c>
      <c r="G73">
        <v>1404.7130127</v>
      </c>
      <c r="H73">
        <v>1388.4964600000001</v>
      </c>
      <c r="I73">
        <v>1257.2368164</v>
      </c>
      <c r="J73">
        <v>1217.7905272999999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1.5053879999999999</v>
      </c>
      <c r="B74" s="1">
        <f>DATE(2010,5,2) + TIME(12,7,45)</f>
        <v>40300.505381944444</v>
      </c>
      <c r="C74">
        <v>80</v>
      </c>
      <c r="D74">
        <v>70.787803650000001</v>
      </c>
      <c r="E74">
        <v>50</v>
      </c>
      <c r="F74">
        <v>14.981350899000001</v>
      </c>
      <c r="G74">
        <v>1404.7386475000001</v>
      </c>
      <c r="H74">
        <v>1388.6534423999999</v>
      </c>
      <c r="I74">
        <v>1256.9582519999999</v>
      </c>
      <c r="J74">
        <v>1217.5120850000001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1.557366</v>
      </c>
      <c r="B75" s="1">
        <f>DATE(2010,5,2) + TIME(13,22,36)</f>
        <v>40300.55736111111</v>
      </c>
      <c r="C75">
        <v>80</v>
      </c>
      <c r="D75">
        <v>71.415298461999996</v>
      </c>
      <c r="E75">
        <v>50</v>
      </c>
      <c r="F75">
        <v>14.981381416</v>
      </c>
      <c r="G75">
        <v>1404.7681885</v>
      </c>
      <c r="H75">
        <v>1388.7750243999999</v>
      </c>
      <c r="I75">
        <v>1256.6928711</v>
      </c>
      <c r="J75">
        <v>1217.2467041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1.6096900000000001</v>
      </c>
      <c r="B76" s="1">
        <f>DATE(2010,5,2) + TIME(14,37,57)</f>
        <v>40300.6096875</v>
      </c>
      <c r="C76">
        <v>80</v>
      </c>
      <c r="D76">
        <v>72.004310607999997</v>
      </c>
      <c r="E76">
        <v>50</v>
      </c>
      <c r="F76">
        <v>14.981411934</v>
      </c>
      <c r="G76">
        <v>1404.7893065999999</v>
      </c>
      <c r="H76">
        <v>1388.8826904</v>
      </c>
      <c r="I76">
        <v>1256.4384766000001</v>
      </c>
      <c r="J76">
        <v>1216.9923096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1.6624380000000001</v>
      </c>
      <c r="B77" s="1">
        <f>DATE(2010,5,2) + TIME(15,53,54)</f>
        <v>40300.662430555552</v>
      </c>
      <c r="C77">
        <v>80</v>
      </c>
      <c r="D77">
        <v>72.557525635000005</v>
      </c>
      <c r="E77">
        <v>50</v>
      </c>
      <c r="F77">
        <v>14.981443405</v>
      </c>
      <c r="G77">
        <v>1404.8077393000001</v>
      </c>
      <c r="H77">
        <v>1388.9815673999999</v>
      </c>
      <c r="I77">
        <v>1256.1942139</v>
      </c>
      <c r="J77">
        <v>1216.7480469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1.715689</v>
      </c>
      <c r="B78" s="1">
        <f>DATE(2010,5,2) + TIME(17,10,35)</f>
        <v>40300.715682870374</v>
      </c>
      <c r="C78">
        <v>80</v>
      </c>
      <c r="D78">
        <v>73.077354431000003</v>
      </c>
      <c r="E78">
        <v>50</v>
      </c>
      <c r="F78">
        <v>14.981474876</v>
      </c>
      <c r="G78">
        <v>1404.8244629000001</v>
      </c>
      <c r="H78">
        <v>1389.0732422000001</v>
      </c>
      <c r="I78">
        <v>1255.9591064000001</v>
      </c>
      <c r="J78">
        <v>1216.5129394999999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1.7695179999999999</v>
      </c>
      <c r="B79" s="1">
        <f>DATE(2010,5,2) + TIME(18,28,6)</f>
        <v>40300.769513888888</v>
      </c>
      <c r="C79">
        <v>80</v>
      </c>
      <c r="D79">
        <v>73.565933228000006</v>
      </c>
      <c r="E79">
        <v>50</v>
      </c>
      <c r="F79">
        <v>14.981506348</v>
      </c>
      <c r="G79">
        <v>1404.8398437999999</v>
      </c>
      <c r="H79">
        <v>1389.1583252</v>
      </c>
      <c r="I79">
        <v>1255.7324219</v>
      </c>
      <c r="J79">
        <v>1216.2863769999999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1.823996</v>
      </c>
      <c r="B80" s="1">
        <f>DATE(2010,5,2) + TIME(19,46,33)</f>
        <v>40300.823993055557</v>
      </c>
      <c r="C80">
        <v>80</v>
      </c>
      <c r="D80">
        <v>74.025177002000007</v>
      </c>
      <c r="E80">
        <v>50</v>
      </c>
      <c r="F80">
        <v>14.981537819</v>
      </c>
      <c r="G80">
        <v>1404.8538818</v>
      </c>
      <c r="H80">
        <v>1389.2374268000001</v>
      </c>
      <c r="I80">
        <v>1255.5135498</v>
      </c>
      <c r="J80">
        <v>1216.0675048999999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1.879211</v>
      </c>
      <c r="B81" s="1">
        <f>DATE(2010,5,2) + TIME(21,6,3)</f>
        <v>40300.879201388889</v>
      </c>
      <c r="C81">
        <v>80</v>
      </c>
      <c r="D81">
        <v>74.456947326999995</v>
      </c>
      <c r="E81">
        <v>50</v>
      </c>
      <c r="F81">
        <v>14.981570244</v>
      </c>
      <c r="G81">
        <v>1404.8665771000001</v>
      </c>
      <c r="H81">
        <v>1389.3109131000001</v>
      </c>
      <c r="I81">
        <v>1255.3020019999999</v>
      </c>
      <c r="J81">
        <v>1215.8560791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1.935246</v>
      </c>
      <c r="B82" s="1">
        <f>DATE(2010,5,2) + TIME(22,26,45)</f>
        <v>40300.935243055559</v>
      </c>
      <c r="C82">
        <v>80</v>
      </c>
      <c r="D82">
        <v>74.862869262999993</v>
      </c>
      <c r="E82">
        <v>50</v>
      </c>
      <c r="F82">
        <v>14.981602669000001</v>
      </c>
      <c r="G82">
        <v>1404.8780518000001</v>
      </c>
      <c r="H82">
        <v>1389.3792725000001</v>
      </c>
      <c r="I82">
        <v>1255.097168</v>
      </c>
      <c r="J82">
        <v>1215.6512451000001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1.992184</v>
      </c>
      <c r="B83" s="1">
        <f>DATE(2010,5,2) + TIME(23,48,44)</f>
        <v>40300.992175925923</v>
      </c>
      <c r="C83">
        <v>80</v>
      </c>
      <c r="D83">
        <v>75.244255065999994</v>
      </c>
      <c r="E83">
        <v>50</v>
      </c>
      <c r="F83">
        <v>14.981636047</v>
      </c>
      <c r="G83">
        <v>1404.8880615</v>
      </c>
      <c r="H83">
        <v>1389.4426269999999</v>
      </c>
      <c r="I83">
        <v>1254.8985596</v>
      </c>
      <c r="J83">
        <v>1215.4526367000001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2.0501149999999999</v>
      </c>
      <c r="B84" s="1">
        <f>DATE(2010,5,3) + TIME(1,12,9)</f>
        <v>40301.050104166665</v>
      </c>
      <c r="C84">
        <v>80</v>
      </c>
      <c r="D84">
        <v>75.602546692000004</v>
      </c>
      <c r="E84">
        <v>50</v>
      </c>
      <c r="F84">
        <v>14.981669426</v>
      </c>
      <c r="G84">
        <v>1404.8966064000001</v>
      </c>
      <c r="H84">
        <v>1389.5012207</v>
      </c>
      <c r="I84">
        <v>1254.7058105000001</v>
      </c>
      <c r="J84">
        <v>1215.2598877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2.1091310000000001</v>
      </c>
      <c r="B85" s="1">
        <f>DATE(2010,5,3) + TIME(2,37,8)</f>
        <v>40301.109120370369</v>
      </c>
      <c r="C85">
        <v>80</v>
      </c>
      <c r="D85">
        <v>75.939117432000003</v>
      </c>
      <c r="E85">
        <v>50</v>
      </c>
      <c r="F85">
        <v>14.981703758</v>
      </c>
      <c r="G85">
        <v>1404.9035644999999</v>
      </c>
      <c r="H85">
        <v>1389.5552978999999</v>
      </c>
      <c r="I85">
        <v>1254.5184326000001</v>
      </c>
      <c r="J85">
        <v>1215.0726318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2.1693310000000001</v>
      </c>
      <c r="B86" s="1">
        <f>DATE(2010,5,3) + TIME(4,3,50)</f>
        <v>40301.169328703705</v>
      </c>
      <c r="C86">
        <v>80</v>
      </c>
      <c r="D86">
        <v>76.255142211999996</v>
      </c>
      <c r="E86">
        <v>50</v>
      </c>
      <c r="F86">
        <v>14.981738091</v>
      </c>
      <c r="G86">
        <v>1404.9090576000001</v>
      </c>
      <c r="H86">
        <v>1389.6049805</v>
      </c>
      <c r="I86">
        <v>1254.3361815999999</v>
      </c>
      <c r="J86">
        <v>1214.8903809000001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2.230823</v>
      </c>
      <c r="B87" s="1">
        <f>DATE(2010,5,3) + TIME(5,32,23)</f>
        <v>40301.230821759258</v>
      </c>
      <c r="C87">
        <v>80</v>
      </c>
      <c r="D87">
        <v>76.551712035999998</v>
      </c>
      <c r="E87">
        <v>50</v>
      </c>
      <c r="F87">
        <v>14.981773376</v>
      </c>
      <c r="G87">
        <v>1404.9128418</v>
      </c>
      <c r="H87">
        <v>1389.6506348</v>
      </c>
      <c r="I87">
        <v>1254.1588135</v>
      </c>
      <c r="J87">
        <v>1214.7130127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2.2937210000000001</v>
      </c>
      <c r="B88" s="1">
        <f>DATE(2010,5,3) + TIME(7,2,57)</f>
        <v>40301.293715277781</v>
      </c>
      <c r="C88">
        <v>80</v>
      </c>
      <c r="D88">
        <v>76.829841614000003</v>
      </c>
      <c r="E88">
        <v>50</v>
      </c>
      <c r="F88">
        <v>14.981808662000001</v>
      </c>
      <c r="G88">
        <v>1404.9149170000001</v>
      </c>
      <c r="H88">
        <v>1389.6921387</v>
      </c>
      <c r="I88">
        <v>1253.9858397999999</v>
      </c>
      <c r="J88">
        <v>1214.5400391000001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2.3581439999999998</v>
      </c>
      <c r="B89" s="1">
        <f>DATE(2010,5,3) + TIME(8,35,43)</f>
        <v>40301.358136574076</v>
      </c>
      <c r="C89">
        <v>80</v>
      </c>
      <c r="D89">
        <v>77.090476989999999</v>
      </c>
      <c r="E89">
        <v>50</v>
      </c>
      <c r="F89">
        <v>14.981845856</v>
      </c>
      <c r="G89">
        <v>1404.9151611</v>
      </c>
      <c r="H89">
        <v>1389.7297363</v>
      </c>
      <c r="I89">
        <v>1253.8171387</v>
      </c>
      <c r="J89">
        <v>1214.3714600000001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2.4242520000000001</v>
      </c>
      <c r="B90" s="1">
        <f>DATE(2010,5,3) + TIME(10,10,55)</f>
        <v>40301.424247685187</v>
      </c>
      <c r="C90">
        <v>80</v>
      </c>
      <c r="D90">
        <v>77.334587096999996</v>
      </c>
      <c r="E90">
        <v>50</v>
      </c>
      <c r="F90">
        <v>14.981883049</v>
      </c>
      <c r="G90">
        <v>1404.9134521000001</v>
      </c>
      <c r="H90">
        <v>1389.7634277</v>
      </c>
      <c r="I90">
        <v>1253.6524658000001</v>
      </c>
      <c r="J90">
        <v>1214.2066649999999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2.4921600000000002</v>
      </c>
      <c r="B91" s="1">
        <f>DATE(2010,5,3) + TIME(11,48,42)</f>
        <v>40301.492152777777</v>
      </c>
      <c r="C91">
        <v>80</v>
      </c>
      <c r="D91">
        <v>77.562896729000002</v>
      </c>
      <c r="E91">
        <v>50</v>
      </c>
      <c r="F91">
        <v>14.981921196</v>
      </c>
      <c r="G91">
        <v>1404.9099120999999</v>
      </c>
      <c r="H91">
        <v>1389.793457</v>
      </c>
      <c r="I91">
        <v>1253.4914550999999</v>
      </c>
      <c r="J91">
        <v>1214.0457764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2.5620240000000001</v>
      </c>
      <c r="B92" s="1">
        <f>DATE(2010,5,3) + TIME(13,29,18)</f>
        <v>40301.562013888892</v>
      </c>
      <c r="C92">
        <v>80</v>
      </c>
      <c r="D92">
        <v>77.776176453000005</v>
      </c>
      <c r="E92">
        <v>50</v>
      </c>
      <c r="F92">
        <v>14.981960297000001</v>
      </c>
      <c r="G92">
        <v>1404.9041748</v>
      </c>
      <c r="H92">
        <v>1389.8195800999999</v>
      </c>
      <c r="I92">
        <v>1253.3342285000001</v>
      </c>
      <c r="J92">
        <v>1213.8885498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2.6340150000000002</v>
      </c>
      <c r="B93" s="1">
        <f>DATE(2010,5,3) + TIME(15,12,58)</f>
        <v>40301.634004629632</v>
      </c>
      <c r="C93">
        <v>80</v>
      </c>
      <c r="D93">
        <v>77.975158691000004</v>
      </c>
      <c r="E93">
        <v>50</v>
      </c>
      <c r="F93">
        <v>14.982000351</v>
      </c>
      <c r="G93">
        <v>1404.8962402</v>
      </c>
      <c r="H93">
        <v>1389.8420410000001</v>
      </c>
      <c r="I93">
        <v>1253.1802978999999</v>
      </c>
      <c r="J93">
        <v>1213.7347411999999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2.7083189999999999</v>
      </c>
      <c r="B94" s="1">
        <f>DATE(2010,5,3) + TIME(16,59,58)</f>
        <v>40301.708310185182</v>
      </c>
      <c r="C94">
        <v>80</v>
      </c>
      <c r="D94">
        <v>78.160537719999994</v>
      </c>
      <c r="E94">
        <v>50</v>
      </c>
      <c r="F94">
        <v>14.982041359</v>
      </c>
      <c r="G94">
        <v>1404.8859863</v>
      </c>
      <c r="H94">
        <v>1389.8607178</v>
      </c>
      <c r="I94">
        <v>1253.0297852000001</v>
      </c>
      <c r="J94">
        <v>1213.5842285000001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2.7851460000000001</v>
      </c>
      <c r="B95" s="1">
        <f>DATE(2010,5,3) + TIME(18,50,36)</f>
        <v>40301.785138888888</v>
      </c>
      <c r="C95">
        <v>80</v>
      </c>
      <c r="D95">
        <v>78.332954407000003</v>
      </c>
      <c r="E95">
        <v>50</v>
      </c>
      <c r="F95">
        <v>14.982084274</v>
      </c>
      <c r="G95">
        <v>1404.8732910000001</v>
      </c>
      <c r="H95">
        <v>1389.8757324000001</v>
      </c>
      <c r="I95">
        <v>1252.8824463000001</v>
      </c>
      <c r="J95">
        <v>1213.4368896000001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2.8644150000000002</v>
      </c>
      <c r="B96" s="1">
        <f>DATE(2010,5,3) + TIME(20,44,45)</f>
        <v>40301.86440972222</v>
      </c>
      <c r="C96">
        <v>80</v>
      </c>
      <c r="D96">
        <v>78.492477417000003</v>
      </c>
      <c r="E96">
        <v>50</v>
      </c>
      <c r="F96">
        <v>14.982128143000001</v>
      </c>
      <c r="G96">
        <v>1404.8576660000001</v>
      </c>
      <c r="H96">
        <v>1389.8864745999999</v>
      </c>
      <c r="I96">
        <v>1252.7385254000001</v>
      </c>
      <c r="J96">
        <v>1213.2930908000001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2.9460579999999998</v>
      </c>
      <c r="B97" s="1">
        <f>DATE(2010,5,3) + TIME(22,42,19)</f>
        <v>40301.946053240739</v>
      </c>
      <c r="C97">
        <v>80</v>
      </c>
      <c r="D97">
        <v>78.639350891000007</v>
      </c>
      <c r="E97">
        <v>50</v>
      </c>
      <c r="F97">
        <v>14.982172966</v>
      </c>
      <c r="G97">
        <v>1404.8391113</v>
      </c>
      <c r="H97">
        <v>1389.8929443</v>
      </c>
      <c r="I97">
        <v>1252.5986327999999</v>
      </c>
      <c r="J97">
        <v>1213.1531981999999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3.0302910000000001</v>
      </c>
      <c r="B98" s="1">
        <f>DATE(2010,5,4) + TIME(0,43,37)</f>
        <v>40302.030289351853</v>
      </c>
      <c r="C98">
        <v>80</v>
      </c>
      <c r="D98">
        <v>78.774353027000004</v>
      </c>
      <c r="E98">
        <v>50</v>
      </c>
      <c r="F98">
        <v>14.982219696</v>
      </c>
      <c r="G98">
        <v>1404.8176269999999</v>
      </c>
      <c r="H98">
        <v>1389.8955077999999</v>
      </c>
      <c r="I98">
        <v>1252.4625243999999</v>
      </c>
      <c r="J98">
        <v>1213.0172118999999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3.1171419999999999</v>
      </c>
      <c r="B99" s="1">
        <f>DATE(2010,5,4) + TIME(2,48,41)</f>
        <v>40302.1171412037</v>
      </c>
      <c r="C99">
        <v>80</v>
      </c>
      <c r="D99">
        <v>78.897956848000007</v>
      </c>
      <c r="E99">
        <v>50</v>
      </c>
      <c r="F99">
        <v>14.98226738</v>
      </c>
      <c r="G99">
        <v>1404.7929687999999</v>
      </c>
      <c r="H99">
        <v>1389.8937988</v>
      </c>
      <c r="I99">
        <v>1252.3303223</v>
      </c>
      <c r="J99">
        <v>1212.8850098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3.2067480000000002</v>
      </c>
      <c r="B100" s="1">
        <f>DATE(2010,5,4) + TIME(4,57,43)</f>
        <v>40302.206747685188</v>
      </c>
      <c r="C100">
        <v>80</v>
      </c>
      <c r="D100">
        <v>79.010803222999996</v>
      </c>
      <c r="E100">
        <v>50</v>
      </c>
      <c r="F100">
        <v>14.982316970999999</v>
      </c>
      <c r="G100">
        <v>1404.7651367000001</v>
      </c>
      <c r="H100">
        <v>1389.8880615</v>
      </c>
      <c r="I100">
        <v>1252.2020264</v>
      </c>
      <c r="J100">
        <v>1212.7568358999999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3.2993549999999998</v>
      </c>
      <c r="B101" s="1">
        <f>DATE(2010,5,4) + TIME(7,11,4)</f>
        <v>40302.299351851849</v>
      </c>
      <c r="C101">
        <v>80</v>
      </c>
      <c r="D101">
        <v>79.113616942999997</v>
      </c>
      <c r="E101">
        <v>50</v>
      </c>
      <c r="F101">
        <v>14.982367516</v>
      </c>
      <c r="G101">
        <v>1404.7340088000001</v>
      </c>
      <c r="H101">
        <v>1389.8781738</v>
      </c>
      <c r="I101">
        <v>1252.0776367000001</v>
      </c>
      <c r="J101">
        <v>1212.6324463000001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3.3952300000000002</v>
      </c>
      <c r="B102" s="1">
        <f>DATE(2010,5,4) + TIME(9,29,7)</f>
        <v>40302.395219907405</v>
      </c>
      <c r="C102">
        <v>80</v>
      </c>
      <c r="D102">
        <v>79.207084656000006</v>
      </c>
      <c r="E102">
        <v>50</v>
      </c>
      <c r="F102">
        <v>14.982419968</v>
      </c>
      <c r="G102">
        <v>1404.6995850000001</v>
      </c>
      <c r="H102">
        <v>1389.8642577999999</v>
      </c>
      <c r="I102">
        <v>1251.9569091999999</v>
      </c>
      <c r="J102">
        <v>1212.5117187999999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3.494542</v>
      </c>
      <c r="B103" s="1">
        <f>DATE(2010,5,4) + TIME(11,52,8)</f>
        <v>40302.494537037041</v>
      </c>
      <c r="C103">
        <v>80</v>
      </c>
      <c r="D103">
        <v>79.291732788000004</v>
      </c>
      <c r="E103">
        <v>50</v>
      </c>
      <c r="F103">
        <v>14.982475280999999</v>
      </c>
      <c r="G103">
        <v>1404.661499</v>
      </c>
      <c r="H103">
        <v>1389.8460693</v>
      </c>
      <c r="I103">
        <v>1251.8399658000001</v>
      </c>
      <c r="J103">
        <v>1212.3948975000001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3.597464</v>
      </c>
      <c r="B104" s="1">
        <f>DATE(2010,5,4) + TIME(14,20,20)</f>
        <v>40302.597453703704</v>
      </c>
      <c r="C104">
        <v>80</v>
      </c>
      <c r="D104">
        <v>79.368103027000004</v>
      </c>
      <c r="E104">
        <v>50</v>
      </c>
      <c r="F104">
        <v>14.982531548000001</v>
      </c>
      <c r="G104">
        <v>1404.6195068</v>
      </c>
      <c r="H104">
        <v>1389.8236084</v>
      </c>
      <c r="I104">
        <v>1251.7269286999999</v>
      </c>
      <c r="J104">
        <v>1212.2818603999999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3.65008</v>
      </c>
      <c r="B105" s="1">
        <f>DATE(2010,5,4) + TIME(15,36,6)</f>
        <v>40302.650069444448</v>
      </c>
      <c r="C105">
        <v>80</v>
      </c>
      <c r="D105">
        <v>79.404251099000007</v>
      </c>
      <c r="E105">
        <v>50</v>
      </c>
      <c r="F105">
        <v>14.982561111000001</v>
      </c>
      <c r="G105">
        <v>1404.5509033000001</v>
      </c>
      <c r="H105">
        <v>1389.7631836</v>
      </c>
      <c r="I105">
        <v>1251.6712646000001</v>
      </c>
      <c r="J105">
        <v>1212.2261963000001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3.702696</v>
      </c>
      <c r="B106" s="1">
        <f>DATE(2010,5,4) + TIME(16,51,52)</f>
        <v>40302.702685185184</v>
      </c>
      <c r="C106">
        <v>80</v>
      </c>
      <c r="D106">
        <v>79.437957764000004</v>
      </c>
      <c r="E106">
        <v>50</v>
      </c>
      <c r="F106">
        <v>14.982590675000001</v>
      </c>
      <c r="G106">
        <v>1404.5135498</v>
      </c>
      <c r="H106">
        <v>1389.7362060999999</v>
      </c>
      <c r="I106">
        <v>1251.6175536999999</v>
      </c>
      <c r="J106">
        <v>1212.1724853999999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3.755312</v>
      </c>
      <c r="B107" s="1">
        <f>DATE(2010,5,4) + TIME(18,7,38)</f>
        <v>40302.755300925928</v>
      </c>
      <c r="C107">
        <v>80</v>
      </c>
      <c r="D107">
        <v>79.469299316000004</v>
      </c>
      <c r="E107">
        <v>50</v>
      </c>
      <c r="F107">
        <v>14.982621193</v>
      </c>
      <c r="G107">
        <v>1404.4840088000001</v>
      </c>
      <c r="H107">
        <v>1389.7161865</v>
      </c>
      <c r="I107">
        <v>1251.5656738</v>
      </c>
      <c r="J107">
        <v>1212.1206055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3.807928</v>
      </c>
      <c r="B108" s="1">
        <f>DATE(2010,5,4) + TIME(19,23,24)</f>
        <v>40302.807916666665</v>
      </c>
      <c r="C108">
        <v>80</v>
      </c>
      <c r="D108">
        <v>79.498451232999997</v>
      </c>
      <c r="E108">
        <v>50</v>
      </c>
      <c r="F108">
        <v>14.982650757</v>
      </c>
      <c r="G108">
        <v>1404.4562988</v>
      </c>
      <c r="H108">
        <v>1389.6976318</v>
      </c>
      <c r="I108">
        <v>1251.515625</v>
      </c>
      <c r="J108">
        <v>1212.0706786999999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3.91316</v>
      </c>
      <c r="B109" s="1">
        <f>DATE(2010,5,4) + TIME(21,54,57)</f>
        <v>40302.913159722222</v>
      </c>
      <c r="C109">
        <v>80</v>
      </c>
      <c r="D109">
        <v>79.549247742000006</v>
      </c>
      <c r="E109">
        <v>50</v>
      </c>
      <c r="F109">
        <v>14.982707977</v>
      </c>
      <c r="G109">
        <v>1404.4549560999999</v>
      </c>
      <c r="H109">
        <v>1389.7131348</v>
      </c>
      <c r="I109">
        <v>1251.4224853999999</v>
      </c>
      <c r="J109">
        <v>1211.9775391000001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4.0183949999999999</v>
      </c>
      <c r="B110" s="1">
        <f>DATE(2010,5,5) + TIME(0,26,29)</f>
        <v>40303.018391203703</v>
      </c>
      <c r="C110">
        <v>80</v>
      </c>
      <c r="D110">
        <v>79.593284607000001</v>
      </c>
      <c r="E110">
        <v>50</v>
      </c>
      <c r="F110">
        <v>14.982765197999999</v>
      </c>
      <c r="G110">
        <v>1404.4085693</v>
      </c>
      <c r="H110">
        <v>1389.682251</v>
      </c>
      <c r="I110">
        <v>1251.3356934000001</v>
      </c>
      <c r="J110">
        <v>1211.8908690999999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4.123958</v>
      </c>
      <c r="B111" s="1">
        <f>DATE(2010,5,5) + TIME(2,58,29)</f>
        <v>40303.12394675926</v>
      </c>
      <c r="C111">
        <v>80</v>
      </c>
      <c r="D111">
        <v>79.631660460999996</v>
      </c>
      <c r="E111">
        <v>50</v>
      </c>
      <c r="F111">
        <v>14.982823372</v>
      </c>
      <c r="G111">
        <v>1404.3536377</v>
      </c>
      <c r="H111">
        <v>1389.6425781</v>
      </c>
      <c r="I111">
        <v>1251.2546387</v>
      </c>
      <c r="J111">
        <v>1211.8098144999999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4.2300399999999998</v>
      </c>
      <c r="B112" s="1">
        <f>DATE(2010,5,5) + TIME(5,31,15)</f>
        <v>40303.230034722219</v>
      </c>
      <c r="C112">
        <v>80</v>
      </c>
      <c r="D112">
        <v>79.665168761999993</v>
      </c>
      <c r="E112">
        <v>50</v>
      </c>
      <c r="F112">
        <v>14.982881546</v>
      </c>
      <c r="G112">
        <v>1404.2952881000001</v>
      </c>
      <c r="H112">
        <v>1389.5992432</v>
      </c>
      <c r="I112">
        <v>1251.1788329999999</v>
      </c>
      <c r="J112">
        <v>1211.7341309000001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4.3367969999999998</v>
      </c>
      <c r="B113" s="1">
        <f>DATE(2010,5,5) + TIME(8,4,59)</f>
        <v>40303.336793981478</v>
      </c>
      <c r="C113">
        <v>80</v>
      </c>
      <c r="D113">
        <v>79.694465636999993</v>
      </c>
      <c r="E113">
        <v>50</v>
      </c>
      <c r="F113">
        <v>14.982939719999999</v>
      </c>
      <c r="G113">
        <v>1404.2348632999999</v>
      </c>
      <c r="H113">
        <v>1389.5533447</v>
      </c>
      <c r="I113">
        <v>1251.1079102000001</v>
      </c>
      <c r="J113">
        <v>1211.6632079999999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4.4443960000000002</v>
      </c>
      <c r="B114" s="1">
        <f>DATE(2010,5,5) + TIME(10,39,55)</f>
        <v>40303.444386574076</v>
      </c>
      <c r="C114">
        <v>80</v>
      </c>
      <c r="D114">
        <v>79.720092773000005</v>
      </c>
      <c r="E114">
        <v>50</v>
      </c>
      <c r="F114">
        <v>14.982997894</v>
      </c>
      <c r="G114">
        <v>1404.1726074000001</v>
      </c>
      <c r="H114">
        <v>1389.505249</v>
      </c>
      <c r="I114">
        <v>1251.0415039</v>
      </c>
      <c r="J114">
        <v>1211.5968018000001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4.5530080000000002</v>
      </c>
      <c r="B115" s="1">
        <f>DATE(2010,5,5) + TIME(13,16,19)</f>
        <v>40303.552997685183</v>
      </c>
      <c r="C115">
        <v>80</v>
      </c>
      <c r="D115">
        <v>79.742538452000005</v>
      </c>
      <c r="E115">
        <v>50</v>
      </c>
      <c r="F115">
        <v>14.983057976</v>
      </c>
      <c r="G115">
        <v>1404.1086425999999</v>
      </c>
      <c r="H115">
        <v>1389.4549560999999</v>
      </c>
      <c r="I115">
        <v>1250.9792480000001</v>
      </c>
      <c r="J115">
        <v>1211.534668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4.662795</v>
      </c>
      <c r="B116" s="1">
        <f>DATE(2010,5,5) + TIME(15,54,25)</f>
        <v>40303.662789351853</v>
      </c>
      <c r="C116">
        <v>80</v>
      </c>
      <c r="D116">
        <v>79.762207031000003</v>
      </c>
      <c r="E116">
        <v>50</v>
      </c>
      <c r="F116">
        <v>14.983118057</v>
      </c>
      <c r="G116">
        <v>1404.0428466999999</v>
      </c>
      <c r="H116">
        <v>1389.4027100000001</v>
      </c>
      <c r="I116">
        <v>1250.9208983999999</v>
      </c>
      <c r="J116">
        <v>1211.4764404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4.7739250000000002</v>
      </c>
      <c r="B117" s="1">
        <f>DATE(2010,5,5) + TIME(18,34,27)</f>
        <v>40303.773923611108</v>
      </c>
      <c r="C117">
        <v>80</v>
      </c>
      <c r="D117">
        <v>79.779457092000001</v>
      </c>
      <c r="E117">
        <v>50</v>
      </c>
      <c r="F117">
        <v>14.983178139</v>
      </c>
      <c r="G117">
        <v>1403.9753418</v>
      </c>
      <c r="H117">
        <v>1389.3486327999999</v>
      </c>
      <c r="I117">
        <v>1250.8662108999999</v>
      </c>
      <c r="J117">
        <v>1211.4217529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4.8865689999999997</v>
      </c>
      <c r="B118" s="1">
        <f>DATE(2010,5,5) + TIME(21,16,39)</f>
        <v>40303.886562500003</v>
      </c>
      <c r="C118">
        <v>80</v>
      </c>
      <c r="D118">
        <v>79.794578552000004</v>
      </c>
      <c r="E118">
        <v>50</v>
      </c>
      <c r="F118">
        <v>14.983239173999999</v>
      </c>
      <c r="G118">
        <v>1403.9061279</v>
      </c>
      <c r="H118">
        <v>1389.2924805</v>
      </c>
      <c r="I118">
        <v>1250.8150635</v>
      </c>
      <c r="J118">
        <v>1211.3706055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5.0009030000000001</v>
      </c>
      <c r="B119" s="1">
        <f>DATE(2010,5,6) + TIME(0,1,18)</f>
        <v>40304.000902777778</v>
      </c>
      <c r="C119">
        <v>80</v>
      </c>
      <c r="D119">
        <v>79.807846068999993</v>
      </c>
      <c r="E119">
        <v>50</v>
      </c>
      <c r="F119">
        <v>14.983301163</v>
      </c>
      <c r="G119">
        <v>1403.8350829999999</v>
      </c>
      <c r="H119">
        <v>1389.234375</v>
      </c>
      <c r="I119">
        <v>1250.7670897999999</v>
      </c>
      <c r="J119">
        <v>1211.3227539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5.1171150000000001</v>
      </c>
      <c r="B120" s="1">
        <f>DATE(2010,5,6) + TIME(2,48,38)</f>
        <v>40304.117106481484</v>
      </c>
      <c r="C120">
        <v>80</v>
      </c>
      <c r="D120">
        <v>79.819480896000002</v>
      </c>
      <c r="E120">
        <v>50</v>
      </c>
      <c r="F120">
        <v>14.983364105</v>
      </c>
      <c r="G120">
        <v>1403.762207</v>
      </c>
      <c r="H120">
        <v>1389.1744385</v>
      </c>
      <c r="I120">
        <v>1250.722168</v>
      </c>
      <c r="J120">
        <v>1211.2779541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5.235398</v>
      </c>
      <c r="B121" s="1">
        <f>DATE(2010,5,6) + TIME(5,38,58)</f>
        <v>40304.235393518517</v>
      </c>
      <c r="C121">
        <v>80</v>
      </c>
      <c r="D121">
        <v>79.829681395999998</v>
      </c>
      <c r="E121">
        <v>50</v>
      </c>
      <c r="F121">
        <v>14.983428001</v>
      </c>
      <c r="G121">
        <v>1403.6873779</v>
      </c>
      <c r="H121">
        <v>1389.1124268000001</v>
      </c>
      <c r="I121">
        <v>1250.6801757999999</v>
      </c>
      <c r="J121">
        <v>1211.2359618999999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5.3559599999999996</v>
      </c>
      <c r="B122" s="1">
        <f>DATE(2010,5,6) + TIME(8,32,34)</f>
        <v>40304.355949074074</v>
      </c>
      <c r="C122">
        <v>80</v>
      </c>
      <c r="D122">
        <v>79.838630675999994</v>
      </c>
      <c r="E122">
        <v>50</v>
      </c>
      <c r="F122">
        <v>14.983491898</v>
      </c>
      <c r="G122">
        <v>1403.6105957</v>
      </c>
      <c r="H122">
        <v>1389.0483397999999</v>
      </c>
      <c r="I122">
        <v>1250.6409911999999</v>
      </c>
      <c r="J122">
        <v>1211.1968993999999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5.4790460000000003</v>
      </c>
      <c r="B123" s="1">
        <f>DATE(2010,5,6) + TIME(11,29,49)</f>
        <v>40304.479039351849</v>
      </c>
      <c r="C123">
        <v>80</v>
      </c>
      <c r="D123">
        <v>79.846481323000006</v>
      </c>
      <c r="E123">
        <v>50</v>
      </c>
      <c r="F123">
        <v>14.983557701000001</v>
      </c>
      <c r="G123">
        <v>1403.5318603999999</v>
      </c>
      <c r="H123">
        <v>1388.9822998</v>
      </c>
      <c r="I123">
        <v>1250.6043701000001</v>
      </c>
      <c r="J123">
        <v>1211.1604004000001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5.6049030000000002</v>
      </c>
      <c r="B124" s="1">
        <f>DATE(2010,5,6) + TIME(14,31,3)</f>
        <v>40304.604895833334</v>
      </c>
      <c r="C124">
        <v>80</v>
      </c>
      <c r="D124">
        <v>79.853363036999994</v>
      </c>
      <c r="E124">
        <v>50</v>
      </c>
      <c r="F124">
        <v>14.983624458</v>
      </c>
      <c r="G124">
        <v>1403.4508057</v>
      </c>
      <c r="H124">
        <v>1388.9140625</v>
      </c>
      <c r="I124">
        <v>1250.5703125</v>
      </c>
      <c r="J124">
        <v>1211.1263428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5.7337600000000002</v>
      </c>
      <c r="B125" s="1">
        <f>DATE(2010,5,6) + TIME(17,36,36)</f>
        <v>40304.733749999999</v>
      </c>
      <c r="C125">
        <v>80</v>
      </c>
      <c r="D125">
        <v>79.859390258999994</v>
      </c>
      <c r="E125">
        <v>50</v>
      </c>
      <c r="F125">
        <v>14.983692168999999</v>
      </c>
      <c r="G125">
        <v>1403.3675536999999</v>
      </c>
      <c r="H125">
        <v>1388.8436279</v>
      </c>
      <c r="I125">
        <v>1250.5385742000001</v>
      </c>
      <c r="J125">
        <v>1211.0947266000001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5.8659039999999996</v>
      </c>
      <c r="B126" s="1">
        <f>DATE(2010,5,6) + TIME(20,46,54)</f>
        <v>40304.865902777776</v>
      </c>
      <c r="C126">
        <v>80</v>
      </c>
      <c r="D126">
        <v>79.864669800000001</v>
      </c>
      <c r="E126">
        <v>50</v>
      </c>
      <c r="F126">
        <v>14.983760834</v>
      </c>
      <c r="G126">
        <v>1403.2819824000001</v>
      </c>
      <c r="H126">
        <v>1388.770874</v>
      </c>
      <c r="I126">
        <v>1250.5092772999999</v>
      </c>
      <c r="J126">
        <v>1211.0654297000001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6.0015080000000003</v>
      </c>
      <c r="B127" s="1">
        <f>DATE(2010,5,7) + TIME(0,2,10)</f>
        <v>40305.001504629632</v>
      </c>
      <c r="C127">
        <v>80</v>
      </c>
      <c r="D127">
        <v>79.869285583000007</v>
      </c>
      <c r="E127">
        <v>50</v>
      </c>
      <c r="F127">
        <v>14.983830451999999</v>
      </c>
      <c r="G127">
        <v>1403.1939697</v>
      </c>
      <c r="H127">
        <v>1388.6958007999999</v>
      </c>
      <c r="I127">
        <v>1250.4820557</v>
      </c>
      <c r="J127">
        <v>1211.0383300999999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6.140269</v>
      </c>
      <c r="B128" s="1">
        <f>DATE(2010,5,7) + TIME(3,21,59)</f>
        <v>40305.140266203707</v>
      </c>
      <c r="C128">
        <v>80</v>
      </c>
      <c r="D128">
        <v>79.873306274000001</v>
      </c>
      <c r="E128">
        <v>50</v>
      </c>
      <c r="F128">
        <v>14.983901978</v>
      </c>
      <c r="G128">
        <v>1403.1032714999999</v>
      </c>
      <c r="H128">
        <v>1388.6181641000001</v>
      </c>
      <c r="I128">
        <v>1250.4571533000001</v>
      </c>
      <c r="J128">
        <v>1211.0135498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6.2824929999999997</v>
      </c>
      <c r="B129" s="1">
        <f>DATE(2010,5,7) + TIME(6,46,47)</f>
        <v>40305.282488425924</v>
      </c>
      <c r="C129">
        <v>80</v>
      </c>
      <c r="D129">
        <v>79.876808166999993</v>
      </c>
      <c r="E129">
        <v>50</v>
      </c>
      <c r="F129">
        <v>14.983974457</v>
      </c>
      <c r="G129">
        <v>1403.0102539</v>
      </c>
      <c r="H129">
        <v>1388.5383300999999</v>
      </c>
      <c r="I129">
        <v>1250.4344481999999</v>
      </c>
      <c r="J129">
        <v>1210.9908447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6.4285009999999998</v>
      </c>
      <c r="B130" s="1">
        <f>DATE(2010,5,7) + TIME(10,17,2)</f>
        <v>40305.428495370368</v>
      </c>
      <c r="C130">
        <v>80</v>
      </c>
      <c r="D130">
        <v>79.879859924000002</v>
      </c>
      <c r="E130">
        <v>50</v>
      </c>
      <c r="F130">
        <v>14.984047889999999</v>
      </c>
      <c r="G130">
        <v>1402.9149170000001</v>
      </c>
      <c r="H130">
        <v>1388.4561768000001</v>
      </c>
      <c r="I130">
        <v>1250.4138184000001</v>
      </c>
      <c r="J130">
        <v>1210.9702147999999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6.5786480000000003</v>
      </c>
      <c r="B131" s="1">
        <f>DATE(2010,5,7) + TIME(13,53,15)</f>
        <v>40305.578645833331</v>
      </c>
      <c r="C131">
        <v>80</v>
      </c>
      <c r="D131">
        <v>79.882514954000001</v>
      </c>
      <c r="E131">
        <v>50</v>
      </c>
      <c r="F131">
        <v>14.984122276000001</v>
      </c>
      <c r="G131">
        <v>1402.8171387</v>
      </c>
      <c r="H131">
        <v>1388.371582</v>
      </c>
      <c r="I131">
        <v>1250.3950195</v>
      </c>
      <c r="J131">
        <v>1210.9515381000001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6.7330180000000004</v>
      </c>
      <c r="B132" s="1">
        <f>DATE(2010,5,7) + TIME(17,35,32)</f>
        <v>40305.73300925926</v>
      </c>
      <c r="C132">
        <v>80</v>
      </c>
      <c r="D132">
        <v>79.884826660000002</v>
      </c>
      <c r="E132">
        <v>50</v>
      </c>
      <c r="F132">
        <v>14.98419857</v>
      </c>
      <c r="G132">
        <v>1402.7166748</v>
      </c>
      <c r="H132">
        <v>1388.2845459</v>
      </c>
      <c r="I132">
        <v>1250.3782959</v>
      </c>
      <c r="J132">
        <v>1210.9348144999999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6.8916740000000001</v>
      </c>
      <c r="B133" s="1">
        <f>DATE(2010,5,7) + TIME(21,24,0)</f>
        <v>40305.89166666667</v>
      </c>
      <c r="C133">
        <v>80</v>
      </c>
      <c r="D133">
        <v>79.886833190999994</v>
      </c>
      <c r="E133">
        <v>50</v>
      </c>
      <c r="F133">
        <v>14.984275818</v>
      </c>
      <c r="G133">
        <v>1402.6135254000001</v>
      </c>
      <c r="H133">
        <v>1388.1950684000001</v>
      </c>
      <c r="I133">
        <v>1250.3632812000001</v>
      </c>
      <c r="J133">
        <v>1210.9199219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6.9716930000000001</v>
      </c>
      <c r="B134" s="1">
        <f>DATE(2010,5,7) + TIME(23,19,14)</f>
        <v>40305.971689814818</v>
      </c>
      <c r="C134">
        <v>80</v>
      </c>
      <c r="D134">
        <v>79.887641907000003</v>
      </c>
      <c r="E134">
        <v>50</v>
      </c>
      <c r="F134">
        <v>14.98431778</v>
      </c>
      <c r="G134">
        <v>1402.5150146000001</v>
      </c>
      <c r="H134">
        <v>1388.1085204999999</v>
      </c>
      <c r="I134">
        <v>1250.3563231999999</v>
      </c>
      <c r="J134">
        <v>1210.9130858999999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7.0517120000000002</v>
      </c>
      <c r="B135" s="1">
        <f>DATE(2010,5,8) + TIME(1,14,27)</f>
        <v>40306.051701388889</v>
      </c>
      <c r="C135">
        <v>80</v>
      </c>
      <c r="D135">
        <v>79.888458252000007</v>
      </c>
      <c r="E135">
        <v>50</v>
      </c>
      <c r="F135">
        <v>14.984359741</v>
      </c>
      <c r="G135">
        <v>1402.4504394999999</v>
      </c>
      <c r="H135">
        <v>1388.0516356999999</v>
      </c>
      <c r="I135">
        <v>1250.3499756000001</v>
      </c>
      <c r="J135">
        <v>1210.9066161999999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7.1317320000000004</v>
      </c>
      <c r="B136" s="1">
        <f>DATE(2010,5,8) + TIME(3,9,41)</f>
        <v>40306.131724537037</v>
      </c>
      <c r="C136">
        <v>80</v>
      </c>
      <c r="D136">
        <v>79.889236449999999</v>
      </c>
      <c r="E136">
        <v>50</v>
      </c>
      <c r="F136">
        <v>14.984400749000001</v>
      </c>
      <c r="G136">
        <v>1402.3935547000001</v>
      </c>
      <c r="H136">
        <v>1388.0017089999999</v>
      </c>
      <c r="I136">
        <v>1250.3439940999999</v>
      </c>
      <c r="J136">
        <v>1210.9007568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7.2117509999999996</v>
      </c>
      <c r="B137" s="1">
        <f>DATE(2010,5,8) + TIME(5,4,55)</f>
        <v>40306.211747685185</v>
      </c>
      <c r="C137">
        <v>80</v>
      </c>
      <c r="D137">
        <v>79.889953613000003</v>
      </c>
      <c r="E137">
        <v>50</v>
      </c>
      <c r="F137">
        <v>14.984440804</v>
      </c>
      <c r="G137">
        <v>1402.3388672000001</v>
      </c>
      <c r="H137">
        <v>1387.9537353999999</v>
      </c>
      <c r="I137">
        <v>1250.338501</v>
      </c>
      <c r="J137">
        <v>1210.8953856999999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7.2917699999999996</v>
      </c>
      <c r="B138" s="1">
        <f>DATE(2010,5,8) + TIME(7,0,8)</f>
        <v>40306.291759259257</v>
      </c>
      <c r="C138">
        <v>80</v>
      </c>
      <c r="D138">
        <v>79.890609741000006</v>
      </c>
      <c r="E138">
        <v>50</v>
      </c>
      <c r="F138">
        <v>14.984480858</v>
      </c>
      <c r="G138">
        <v>1402.2852783000001</v>
      </c>
      <c r="H138">
        <v>1387.9068603999999</v>
      </c>
      <c r="I138">
        <v>1250.3336182</v>
      </c>
      <c r="J138">
        <v>1210.8905029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7.4518089999999999</v>
      </c>
      <c r="B139" s="1">
        <f>DATE(2010,5,8) + TIME(10,50,36)</f>
        <v>40306.451805555553</v>
      </c>
      <c r="C139">
        <v>80</v>
      </c>
      <c r="D139">
        <v>79.891876221000004</v>
      </c>
      <c r="E139">
        <v>50</v>
      </c>
      <c r="F139">
        <v>14.984554291</v>
      </c>
      <c r="G139">
        <v>1402.2297363</v>
      </c>
      <c r="H139">
        <v>1387.8591309000001</v>
      </c>
      <c r="I139">
        <v>1250.3253173999999</v>
      </c>
      <c r="J139">
        <v>1210.8822021000001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7.6119130000000004</v>
      </c>
      <c r="B140" s="1">
        <f>DATE(2010,5,8) + TIME(14,41,9)</f>
        <v>40306.611909722225</v>
      </c>
      <c r="C140">
        <v>80</v>
      </c>
      <c r="D140">
        <v>79.892852782999995</v>
      </c>
      <c r="E140">
        <v>50</v>
      </c>
      <c r="F140">
        <v>14.984627723999999</v>
      </c>
      <c r="G140">
        <v>1402.1331786999999</v>
      </c>
      <c r="H140">
        <v>1387.7752685999999</v>
      </c>
      <c r="I140">
        <v>1250.3183594</v>
      </c>
      <c r="J140">
        <v>1210.8753661999999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7.7726110000000004</v>
      </c>
      <c r="B141" s="1">
        <f>DATE(2010,5,8) + TIME(18,32,33)</f>
        <v>40306.772604166668</v>
      </c>
      <c r="C141">
        <v>80</v>
      </c>
      <c r="D141">
        <v>79.893684386999993</v>
      </c>
      <c r="E141">
        <v>50</v>
      </c>
      <c r="F141">
        <v>14.984700202999999</v>
      </c>
      <c r="G141">
        <v>1402.0311279</v>
      </c>
      <c r="H141">
        <v>1387.6861572</v>
      </c>
      <c r="I141">
        <v>1250.3128661999999</v>
      </c>
      <c r="J141">
        <v>1210.8699951000001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7.9342259999999998</v>
      </c>
      <c r="B142" s="1">
        <f>DATE(2010,5,8) + TIME(22,25,17)</f>
        <v>40306.934224537035</v>
      </c>
      <c r="C142">
        <v>80</v>
      </c>
      <c r="D142">
        <v>79.894401549999998</v>
      </c>
      <c r="E142">
        <v>50</v>
      </c>
      <c r="F142">
        <v>14.984772681999999</v>
      </c>
      <c r="G142">
        <v>1401.9279785000001</v>
      </c>
      <c r="H142">
        <v>1387.5957031</v>
      </c>
      <c r="I142">
        <v>1250.3084716999999</v>
      </c>
      <c r="J142">
        <v>1210.8656006000001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8.0970320000000005</v>
      </c>
      <c r="B143" s="1">
        <f>DATE(2010,5,9) + TIME(2,19,43)</f>
        <v>40307.097025462965</v>
      </c>
      <c r="C143">
        <v>80</v>
      </c>
      <c r="D143">
        <v>79.895027161000002</v>
      </c>
      <c r="E143">
        <v>50</v>
      </c>
      <c r="F143">
        <v>14.984845161000001</v>
      </c>
      <c r="G143">
        <v>1401.8244629000001</v>
      </c>
      <c r="H143">
        <v>1387.5050048999999</v>
      </c>
      <c r="I143">
        <v>1250.3050536999999</v>
      </c>
      <c r="J143">
        <v>1210.8623047000001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8.2612889999999997</v>
      </c>
      <c r="B144" s="1">
        <f>DATE(2010,5,9) + TIME(6,16,15)</f>
        <v>40307.261284722219</v>
      </c>
      <c r="C144">
        <v>80</v>
      </c>
      <c r="D144">
        <v>79.895576477000006</v>
      </c>
      <c r="E144">
        <v>50</v>
      </c>
      <c r="F144">
        <v>14.984916687</v>
      </c>
      <c r="G144">
        <v>1401.7207031</v>
      </c>
      <c r="H144">
        <v>1387.4139404</v>
      </c>
      <c r="I144">
        <v>1250.3026123</v>
      </c>
      <c r="J144">
        <v>1210.8599853999999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8.4272609999999997</v>
      </c>
      <c r="B145" s="1">
        <f>DATE(2010,5,9) + TIME(10,15,15)</f>
        <v>40307.427256944444</v>
      </c>
      <c r="C145">
        <v>80</v>
      </c>
      <c r="D145">
        <v>79.896057128999999</v>
      </c>
      <c r="E145">
        <v>50</v>
      </c>
      <c r="F145">
        <v>14.984989166</v>
      </c>
      <c r="G145">
        <v>1401.6169434000001</v>
      </c>
      <c r="H145">
        <v>1387.3227539</v>
      </c>
      <c r="I145">
        <v>1250.3011475000001</v>
      </c>
      <c r="J145">
        <v>1210.8585204999999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8.5952169999999999</v>
      </c>
      <c r="B146" s="1">
        <f>DATE(2010,5,9) + TIME(14,17,6)</f>
        <v>40307.595208333332</v>
      </c>
      <c r="C146">
        <v>80</v>
      </c>
      <c r="D146">
        <v>79.896476746000005</v>
      </c>
      <c r="E146">
        <v>50</v>
      </c>
      <c r="F146">
        <v>14.985060691999999</v>
      </c>
      <c r="G146">
        <v>1401.5129394999999</v>
      </c>
      <c r="H146">
        <v>1387.2313231999999</v>
      </c>
      <c r="I146">
        <v>1250.3004149999999</v>
      </c>
      <c r="J146">
        <v>1210.8577881000001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8.7654350000000001</v>
      </c>
      <c r="B147" s="1">
        <f>DATE(2010,5,9) + TIME(18,22,13)</f>
        <v>40307.765428240738</v>
      </c>
      <c r="C147">
        <v>80</v>
      </c>
      <c r="D147">
        <v>79.896850585999999</v>
      </c>
      <c r="E147">
        <v>50</v>
      </c>
      <c r="F147">
        <v>14.985133170999999</v>
      </c>
      <c r="G147">
        <v>1401.4085693</v>
      </c>
      <c r="H147">
        <v>1387.1395264</v>
      </c>
      <c r="I147">
        <v>1250.300293</v>
      </c>
      <c r="J147">
        <v>1210.8579102000001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8.9382029999999997</v>
      </c>
      <c r="B148" s="1">
        <f>DATE(2010,5,9) + TIME(22,31,0)</f>
        <v>40307.938194444447</v>
      </c>
      <c r="C148">
        <v>80</v>
      </c>
      <c r="D148">
        <v>79.897186278999996</v>
      </c>
      <c r="E148">
        <v>50</v>
      </c>
      <c r="F148">
        <v>14.985205649999999</v>
      </c>
      <c r="G148">
        <v>1401.3038329999999</v>
      </c>
      <c r="H148">
        <v>1387.0472411999999</v>
      </c>
      <c r="I148">
        <v>1250.3010254000001</v>
      </c>
      <c r="J148">
        <v>1210.8586425999999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9.1138250000000003</v>
      </c>
      <c r="B149" s="1">
        <f>DATE(2010,5,10) + TIME(2,43,54)</f>
        <v>40308.113819444443</v>
      </c>
      <c r="C149">
        <v>80</v>
      </c>
      <c r="D149">
        <v>79.897476196</v>
      </c>
      <c r="E149">
        <v>50</v>
      </c>
      <c r="F149">
        <v>14.985278129999999</v>
      </c>
      <c r="G149">
        <v>1401.1984863</v>
      </c>
      <c r="H149">
        <v>1386.9544678</v>
      </c>
      <c r="I149">
        <v>1250.3022461</v>
      </c>
      <c r="J149">
        <v>1210.8599853999999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9.2926210000000005</v>
      </c>
      <c r="B150" s="1">
        <f>DATE(2010,5,10) + TIME(7,1,22)</f>
        <v>40308.292615740742</v>
      </c>
      <c r="C150">
        <v>80</v>
      </c>
      <c r="D150">
        <v>79.897735596000004</v>
      </c>
      <c r="E150">
        <v>50</v>
      </c>
      <c r="F150">
        <v>14.985350608999999</v>
      </c>
      <c r="G150">
        <v>1401.0924072</v>
      </c>
      <c r="H150">
        <v>1386.8609618999999</v>
      </c>
      <c r="I150">
        <v>1250.3040771000001</v>
      </c>
      <c r="J150">
        <v>1210.8618164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9.47499</v>
      </c>
      <c r="B151" s="1">
        <f>DATE(2010,5,10) + TIME(11,23,59)</f>
        <v>40308.474988425929</v>
      </c>
      <c r="C151">
        <v>80</v>
      </c>
      <c r="D151">
        <v>79.897972107000001</v>
      </c>
      <c r="E151">
        <v>50</v>
      </c>
      <c r="F151">
        <v>14.985423087999999</v>
      </c>
      <c r="G151">
        <v>1400.9857178</v>
      </c>
      <c r="H151">
        <v>1386.7668457</v>
      </c>
      <c r="I151">
        <v>1250.3065185999999</v>
      </c>
      <c r="J151">
        <v>1210.8642577999999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9.6612639999999992</v>
      </c>
      <c r="B152" s="1">
        <f>DATE(2010,5,10) + TIME(15,52,13)</f>
        <v>40308.661261574074</v>
      </c>
      <c r="C152">
        <v>80</v>
      </c>
      <c r="D152">
        <v>79.898178100999999</v>
      </c>
      <c r="E152">
        <v>50</v>
      </c>
      <c r="F152">
        <v>14.985496521</v>
      </c>
      <c r="G152">
        <v>1400.8779297000001</v>
      </c>
      <c r="H152">
        <v>1386.6717529</v>
      </c>
      <c r="I152">
        <v>1250.3093262</v>
      </c>
      <c r="J152">
        <v>1210.8671875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9.8518240000000006</v>
      </c>
      <c r="B153" s="1">
        <f>DATE(2010,5,10) + TIME(20,26,37)</f>
        <v>40308.851817129631</v>
      </c>
      <c r="C153">
        <v>80</v>
      </c>
      <c r="D153">
        <v>79.898361206000004</v>
      </c>
      <c r="E153">
        <v>50</v>
      </c>
      <c r="F153">
        <v>14.985569954000001</v>
      </c>
      <c r="G153">
        <v>1400.769043</v>
      </c>
      <c r="H153">
        <v>1386.5756836</v>
      </c>
      <c r="I153">
        <v>1250.3126221</v>
      </c>
      <c r="J153">
        <v>1210.8706055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10.0458</v>
      </c>
      <c r="B154" s="1">
        <f>DATE(2010,5,11) + TIME(1,5,57)</f>
        <v>40309.045798611114</v>
      </c>
      <c r="C154">
        <v>80</v>
      </c>
      <c r="D154">
        <v>79.898521423000005</v>
      </c>
      <c r="E154">
        <v>50</v>
      </c>
      <c r="F154">
        <v>14.985644341</v>
      </c>
      <c r="G154">
        <v>1400.6591797000001</v>
      </c>
      <c r="H154">
        <v>1386.4786377</v>
      </c>
      <c r="I154">
        <v>1250.3162841999999</v>
      </c>
      <c r="J154">
        <v>1210.8743896000001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10.243435</v>
      </c>
      <c r="B155" s="1">
        <f>DATE(2010,5,11) + TIME(5,50,32)</f>
        <v>40309.243425925924</v>
      </c>
      <c r="C155">
        <v>80</v>
      </c>
      <c r="D155">
        <v>79.898658752000003</v>
      </c>
      <c r="E155">
        <v>50</v>
      </c>
      <c r="F155">
        <v>14.985717772999999</v>
      </c>
      <c r="G155">
        <v>1400.5484618999999</v>
      </c>
      <c r="H155">
        <v>1386.3808594</v>
      </c>
      <c r="I155">
        <v>1250.3204346</v>
      </c>
      <c r="J155">
        <v>1210.8785399999999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10.444971000000001</v>
      </c>
      <c r="B156" s="1">
        <f>DATE(2010,5,11) + TIME(10,40,45)</f>
        <v>40309.444965277777</v>
      </c>
      <c r="C156">
        <v>80</v>
      </c>
      <c r="D156">
        <v>79.898780822999996</v>
      </c>
      <c r="E156">
        <v>50</v>
      </c>
      <c r="F156">
        <v>14.985792160000001</v>
      </c>
      <c r="G156">
        <v>1400.4370117000001</v>
      </c>
      <c r="H156">
        <v>1386.2823486</v>
      </c>
      <c r="I156">
        <v>1250.3248291</v>
      </c>
      <c r="J156">
        <v>1210.8829346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10.650969</v>
      </c>
      <c r="B157" s="1">
        <f>DATE(2010,5,11) + TIME(15,37,23)</f>
        <v>40309.650960648149</v>
      </c>
      <c r="C157">
        <v>80</v>
      </c>
      <c r="D157">
        <v>79.898895264000004</v>
      </c>
      <c r="E157">
        <v>50</v>
      </c>
      <c r="F157">
        <v>14.985867499999999</v>
      </c>
      <c r="G157">
        <v>1400.324707</v>
      </c>
      <c r="H157">
        <v>1386.1831055</v>
      </c>
      <c r="I157">
        <v>1250.3294678</v>
      </c>
      <c r="J157">
        <v>1210.8876952999999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10.861890000000001</v>
      </c>
      <c r="B158" s="1">
        <f>DATE(2010,5,11) + TIME(20,41,7)</f>
        <v>40309.861886574072</v>
      </c>
      <c r="C158">
        <v>80</v>
      </c>
      <c r="D158">
        <v>79.898986816000004</v>
      </c>
      <c r="E158">
        <v>50</v>
      </c>
      <c r="F158">
        <v>14.985942841</v>
      </c>
      <c r="G158">
        <v>1400.2114257999999</v>
      </c>
      <c r="H158">
        <v>1386.0827637</v>
      </c>
      <c r="I158">
        <v>1250.3344727000001</v>
      </c>
      <c r="J158">
        <v>1210.8928223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10.967592</v>
      </c>
      <c r="B159" s="1">
        <f>DATE(2010,5,11) + TIME(23,13,19)</f>
        <v>40309.967581018522</v>
      </c>
      <c r="C159">
        <v>80</v>
      </c>
      <c r="D159">
        <v>79.898925781000003</v>
      </c>
      <c r="E159">
        <v>50</v>
      </c>
      <c r="F159">
        <v>14.985983849</v>
      </c>
      <c r="G159">
        <v>1400.1153564000001</v>
      </c>
      <c r="H159">
        <v>1385.9987793</v>
      </c>
      <c r="I159">
        <v>1250.3370361</v>
      </c>
      <c r="J159">
        <v>1210.8953856999999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11.073295</v>
      </c>
      <c r="B160" s="1">
        <f>DATE(2010,5,12) + TIME(1,45,32)</f>
        <v>40310.073287037034</v>
      </c>
      <c r="C160">
        <v>80</v>
      </c>
      <c r="D160">
        <v>79.898948669000006</v>
      </c>
      <c r="E160">
        <v>50</v>
      </c>
      <c r="F160">
        <v>14.986024857</v>
      </c>
      <c r="G160">
        <v>1400.0479736</v>
      </c>
      <c r="H160">
        <v>1385.9385986</v>
      </c>
      <c r="I160">
        <v>1250.3395995999999</v>
      </c>
      <c r="J160">
        <v>1210.8980713000001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11.178997000000001</v>
      </c>
      <c r="B161" s="1">
        <f>DATE(2010,5,12) + TIME(4,17,45)</f>
        <v>40310.178993055553</v>
      </c>
      <c r="C161">
        <v>80</v>
      </c>
      <c r="D161">
        <v>79.898979186999995</v>
      </c>
      <c r="E161">
        <v>50</v>
      </c>
      <c r="F161">
        <v>14.986064911</v>
      </c>
      <c r="G161">
        <v>1399.9876709</v>
      </c>
      <c r="H161">
        <v>1385.8847656</v>
      </c>
      <c r="I161">
        <v>1250.3421631000001</v>
      </c>
      <c r="J161">
        <v>1210.9006348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11.284700000000001</v>
      </c>
      <c r="B162" s="1">
        <f>DATE(2010,5,12) + TIME(6,49,58)</f>
        <v>40310.284699074073</v>
      </c>
      <c r="C162">
        <v>80</v>
      </c>
      <c r="D162">
        <v>79.899009704999997</v>
      </c>
      <c r="E162">
        <v>50</v>
      </c>
      <c r="F162">
        <v>14.986104012</v>
      </c>
      <c r="G162">
        <v>1399.9296875</v>
      </c>
      <c r="H162">
        <v>1385.8331298999999</v>
      </c>
      <c r="I162">
        <v>1250.3448486</v>
      </c>
      <c r="J162">
        <v>1210.9034423999999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11.496105</v>
      </c>
      <c r="B163" s="1">
        <f>DATE(2010,5,12) + TIME(11,54,23)</f>
        <v>40310.496099537035</v>
      </c>
      <c r="C163">
        <v>80</v>
      </c>
      <c r="D163">
        <v>79.899177550999994</v>
      </c>
      <c r="E163">
        <v>50</v>
      </c>
      <c r="F163">
        <v>14.98617363</v>
      </c>
      <c r="G163">
        <v>1399.8607178</v>
      </c>
      <c r="H163">
        <v>1385.7712402</v>
      </c>
      <c r="I163">
        <v>1250.3502197</v>
      </c>
      <c r="J163">
        <v>1210.9088135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11.707647</v>
      </c>
      <c r="B164" s="1">
        <f>DATE(2010,5,12) + TIME(16,59,0)</f>
        <v>40310.707638888889</v>
      </c>
      <c r="C164">
        <v>80</v>
      </c>
      <c r="D164">
        <v>79.899238585999996</v>
      </c>
      <c r="E164">
        <v>50</v>
      </c>
      <c r="F164">
        <v>14.986243247999999</v>
      </c>
      <c r="G164">
        <v>1399.7583007999999</v>
      </c>
      <c r="H164">
        <v>1385.6807861</v>
      </c>
      <c r="I164">
        <v>1250.3557129000001</v>
      </c>
      <c r="J164">
        <v>1210.9143065999999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11.91999</v>
      </c>
      <c r="B165" s="1">
        <f>DATE(2010,5,12) + TIME(22,4,47)</f>
        <v>40310.919988425929</v>
      </c>
      <c r="C165">
        <v>80</v>
      </c>
      <c r="D165">
        <v>79.899276732999994</v>
      </c>
      <c r="E165">
        <v>50</v>
      </c>
      <c r="F165">
        <v>14.986311913</v>
      </c>
      <c r="G165">
        <v>1399.6516113</v>
      </c>
      <c r="H165">
        <v>1385.5864257999999</v>
      </c>
      <c r="I165">
        <v>1250.3610839999999</v>
      </c>
      <c r="J165">
        <v>1210.9197998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12.133563000000001</v>
      </c>
      <c r="B166" s="1">
        <f>DATE(2010,5,13) + TIME(3,12,19)</f>
        <v>40311.133553240739</v>
      </c>
      <c r="C166">
        <v>80</v>
      </c>
      <c r="D166">
        <v>79.899299622000001</v>
      </c>
      <c r="E166">
        <v>50</v>
      </c>
      <c r="F166">
        <v>14.986379622999999</v>
      </c>
      <c r="G166">
        <v>1399.5445557</v>
      </c>
      <c r="H166">
        <v>1385.4915771000001</v>
      </c>
      <c r="I166">
        <v>1250.3664550999999</v>
      </c>
      <c r="J166">
        <v>1210.925293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12.348735</v>
      </c>
      <c r="B167" s="1">
        <f>DATE(2010,5,13) + TIME(8,22,10)</f>
        <v>40311.348726851851</v>
      </c>
      <c r="C167">
        <v>80</v>
      </c>
      <c r="D167">
        <v>79.899322510000005</v>
      </c>
      <c r="E167">
        <v>50</v>
      </c>
      <c r="F167">
        <v>14.986448288</v>
      </c>
      <c r="G167">
        <v>1399.4378661999999</v>
      </c>
      <c r="H167">
        <v>1385.3969727000001</v>
      </c>
      <c r="I167">
        <v>1250.3718262</v>
      </c>
      <c r="J167">
        <v>1210.9306641000001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12.565873</v>
      </c>
      <c r="B168" s="1">
        <f>DATE(2010,5,13) + TIME(13,34,51)</f>
        <v>40311.565868055557</v>
      </c>
      <c r="C168">
        <v>80</v>
      </c>
      <c r="D168">
        <v>79.899337768999999</v>
      </c>
      <c r="E168">
        <v>50</v>
      </c>
      <c r="F168">
        <v>14.986515999</v>
      </c>
      <c r="G168">
        <v>1399.3316649999999</v>
      </c>
      <c r="H168">
        <v>1385.3027344</v>
      </c>
      <c r="I168">
        <v>1250.3773193</v>
      </c>
      <c r="J168">
        <v>1210.9361572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12.785345</v>
      </c>
      <c r="B169" s="1">
        <f>DATE(2010,5,13) + TIME(18,50,53)</f>
        <v>40311.78533564815</v>
      </c>
      <c r="C169">
        <v>80</v>
      </c>
      <c r="D169">
        <v>79.899345397999994</v>
      </c>
      <c r="E169">
        <v>50</v>
      </c>
      <c r="F169">
        <v>14.98658371</v>
      </c>
      <c r="G169">
        <v>1399.2258300999999</v>
      </c>
      <c r="H169">
        <v>1385.2086182</v>
      </c>
      <c r="I169">
        <v>1250.3826904</v>
      </c>
      <c r="J169">
        <v>1210.9417725000001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13.007533</v>
      </c>
      <c r="B170" s="1">
        <f>DATE(2010,5,14) + TIME(0,10,50)</f>
        <v>40312.007523148146</v>
      </c>
      <c r="C170">
        <v>80</v>
      </c>
      <c r="D170">
        <v>79.899353027000004</v>
      </c>
      <c r="E170">
        <v>50</v>
      </c>
      <c r="F170">
        <v>14.986651420999999</v>
      </c>
      <c r="G170">
        <v>1399.1201172000001</v>
      </c>
      <c r="H170">
        <v>1385.1147461</v>
      </c>
      <c r="I170">
        <v>1250.3881836</v>
      </c>
      <c r="J170">
        <v>1210.9472656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13.23283</v>
      </c>
      <c r="B171" s="1">
        <f>DATE(2010,5,14) + TIME(5,35,16)</f>
        <v>40312.232824074075</v>
      </c>
      <c r="C171">
        <v>80</v>
      </c>
      <c r="D171">
        <v>79.899353027000004</v>
      </c>
      <c r="E171">
        <v>50</v>
      </c>
      <c r="F171">
        <v>14.986719130999999</v>
      </c>
      <c r="G171">
        <v>1399.0145264</v>
      </c>
      <c r="H171">
        <v>1385.0209961</v>
      </c>
      <c r="I171">
        <v>1250.3936768000001</v>
      </c>
      <c r="J171">
        <v>1210.9527588000001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13.461649</v>
      </c>
      <c r="B172" s="1">
        <f>DATE(2010,5,14) + TIME(11,4,46)</f>
        <v>40312.461643518516</v>
      </c>
      <c r="C172">
        <v>80</v>
      </c>
      <c r="D172">
        <v>79.899353027000004</v>
      </c>
      <c r="E172">
        <v>50</v>
      </c>
      <c r="F172">
        <v>14.986785889</v>
      </c>
      <c r="G172">
        <v>1398.9089355000001</v>
      </c>
      <c r="H172">
        <v>1384.927124</v>
      </c>
      <c r="I172">
        <v>1250.3990478999999</v>
      </c>
      <c r="J172">
        <v>1210.9582519999999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13.694424</v>
      </c>
      <c r="B173" s="1">
        <f>DATE(2010,5,14) + TIME(16,39,58)</f>
        <v>40312.694421296299</v>
      </c>
      <c r="C173">
        <v>80</v>
      </c>
      <c r="D173">
        <v>79.899353027000004</v>
      </c>
      <c r="E173">
        <v>50</v>
      </c>
      <c r="F173">
        <v>14.9868536</v>
      </c>
      <c r="G173">
        <v>1398.8031006000001</v>
      </c>
      <c r="H173">
        <v>1384.8330077999999</v>
      </c>
      <c r="I173">
        <v>1250.4045410000001</v>
      </c>
      <c r="J173">
        <v>1210.9638672000001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13.931692999999999</v>
      </c>
      <c r="B174" s="1">
        <f>DATE(2010,5,14) + TIME(22,21,38)</f>
        <v>40312.931689814817</v>
      </c>
      <c r="C174">
        <v>80</v>
      </c>
      <c r="D174">
        <v>79.899345397999994</v>
      </c>
      <c r="E174">
        <v>50</v>
      </c>
      <c r="F174">
        <v>14.98692131</v>
      </c>
      <c r="G174">
        <v>1398.6968993999999</v>
      </c>
      <c r="H174">
        <v>1384.7385254000001</v>
      </c>
      <c r="I174">
        <v>1250.4100341999999</v>
      </c>
      <c r="J174">
        <v>1210.9693603999999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14.173907</v>
      </c>
      <c r="B175" s="1">
        <f>DATE(2010,5,15) + TIME(4,10,25)</f>
        <v>40313.173900462964</v>
      </c>
      <c r="C175">
        <v>80</v>
      </c>
      <c r="D175">
        <v>79.899337768999999</v>
      </c>
      <c r="E175">
        <v>50</v>
      </c>
      <c r="F175">
        <v>14.986989020999999</v>
      </c>
      <c r="G175">
        <v>1398.5900879000001</v>
      </c>
      <c r="H175">
        <v>1384.6434326000001</v>
      </c>
      <c r="I175">
        <v>1250.4156493999999</v>
      </c>
      <c r="J175">
        <v>1210.9749756000001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14.420019</v>
      </c>
      <c r="B176" s="1">
        <f>DATE(2010,5,15) + TIME(10,4,49)</f>
        <v>40313.420011574075</v>
      </c>
      <c r="C176">
        <v>80</v>
      </c>
      <c r="D176">
        <v>79.899322510000005</v>
      </c>
      <c r="E176">
        <v>50</v>
      </c>
      <c r="F176">
        <v>14.987057686</v>
      </c>
      <c r="G176">
        <v>1398.4826660000001</v>
      </c>
      <c r="H176">
        <v>1384.5479736</v>
      </c>
      <c r="I176">
        <v>1250.4211425999999</v>
      </c>
      <c r="J176">
        <v>1210.9805908000001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14.669686</v>
      </c>
      <c r="B177" s="1">
        <f>DATE(2010,5,15) + TIME(16,4,20)</f>
        <v>40313.669675925928</v>
      </c>
      <c r="C177">
        <v>80</v>
      </c>
      <c r="D177">
        <v>79.899307250999996</v>
      </c>
      <c r="E177">
        <v>50</v>
      </c>
      <c r="F177">
        <v>14.987125397</v>
      </c>
      <c r="G177">
        <v>1398.3751221</v>
      </c>
      <c r="H177">
        <v>1384.4522704999999</v>
      </c>
      <c r="I177">
        <v>1250.4265137</v>
      </c>
      <c r="J177">
        <v>1210.9860839999999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14.923410000000001</v>
      </c>
      <c r="B178" s="1">
        <f>DATE(2010,5,15) + TIME(22,9,42)</f>
        <v>40313.923402777778</v>
      </c>
      <c r="C178">
        <v>80</v>
      </c>
      <c r="D178">
        <v>79.899291992000002</v>
      </c>
      <c r="E178">
        <v>50</v>
      </c>
      <c r="F178">
        <v>14.987193108</v>
      </c>
      <c r="G178">
        <v>1398.2674560999999</v>
      </c>
      <c r="H178">
        <v>1384.3563231999999</v>
      </c>
      <c r="I178">
        <v>1250.4320068</v>
      </c>
      <c r="J178">
        <v>1210.9915771000001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15.181678</v>
      </c>
      <c r="B179" s="1">
        <f>DATE(2010,5,16) + TIME(4,21,36)</f>
        <v>40314.181666666664</v>
      </c>
      <c r="C179">
        <v>80</v>
      </c>
      <c r="D179">
        <v>79.899269103999998</v>
      </c>
      <c r="E179">
        <v>50</v>
      </c>
      <c r="F179">
        <v>14.987260817999999</v>
      </c>
      <c r="G179">
        <v>1398.1595459</v>
      </c>
      <c r="H179">
        <v>1384.2602539</v>
      </c>
      <c r="I179">
        <v>1250.4375</v>
      </c>
      <c r="J179">
        <v>1210.9970702999999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15.313198</v>
      </c>
      <c r="B180" s="1">
        <f>DATE(2010,5,16) + TIME(7,31,0)</f>
        <v>40314.313194444447</v>
      </c>
      <c r="C180">
        <v>80</v>
      </c>
      <c r="D180">
        <v>79.899177550999994</v>
      </c>
      <c r="E180">
        <v>50</v>
      </c>
      <c r="F180">
        <v>14.987299919</v>
      </c>
      <c r="G180">
        <v>1398.0711670000001</v>
      </c>
      <c r="H180">
        <v>1384.1827393000001</v>
      </c>
      <c r="I180">
        <v>1250.4403076000001</v>
      </c>
      <c r="J180">
        <v>1211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15.444718</v>
      </c>
      <c r="B181" s="1">
        <f>DATE(2010,5,16) + TIME(10,40,23)</f>
        <v>40314.444710648146</v>
      </c>
      <c r="C181">
        <v>80</v>
      </c>
      <c r="D181">
        <v>79.899147033999995</v>
      </c>
      <c r="E181">
        <v>50</v>
      </c>
      <c r="F181">
        <v>14.987338066</v>
      </c>
      <c r="G181">
        <v>1398.0069579999999</v>
      </c>
      <c r="H181">
        <v>1384.1251221</v>
      </c>
      <c r="I181">
        <v>1250.4429932</v>
      </c>
      <c r="J181">
        <v>1211.0028076000001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15.576238</v>
      </c>
      <c r="B182" s="1">
        <f>DATE(2010,5,16) + TIME(13,49,46)</f>
        <v>40314.576226851852</v>
      </c>
      <c r="C182">
        <v>80</v>
      </c>
      <c r="D182">
        <v>79.899131775000001</v>
      </c>
      <c r="E182">
        <v>50</v>
      </c>
      <c r="F182">
        <v>14.987375259</v>
      </c>
      <c r="G182">
        <v>1397.9490966999999</v>
      </c>
      <c r="H182">
        <v>1384.0731201000001</v>
      </c>
      <c r="I182">
        <v>1250.4458007999999</v>
      </c>
      <c r="J182">
        <v>1211.0054932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15.707758</v>
      </c>
      <c r="B183" s="1">
        <f>DATE(2010,5,16) + TIME(16,59,10)</f>
        <v>40314.707754629628</v>
      </c>
      <c r="C183">
        <v>80</v>
      </c>
      <c r="D183">
        <v>79.899124146000005</v>
      </c>
      <c r="E183">
        <v>50</v>
      </c>
      <c r="F183">
        <v>14.987411499</v>
      </c>
      <c r="G183">
        <v>1397.8934326000001</v>
      </c>
      <c r="H183">
        <v>1384.0233154</v>
      </c>
      <c r="I183">
        <v>1250.4484863</v>
      </c>
      <c r="J183">
        <v>1211.0083007999999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15.839278</v>
      </c>
      <c r="B184" s="1">
        <f>DATE(2010,5,16) + TIME(20,8,33)</f>
        <v>40314.839270833334</v>
      </c>
      <c r="C184">
        <v>80</v>
      </c>
      <c r="D184">
        <v>79.899116516000007</v>
      </c>
      <c r="E184">
        <v>50</v>
      </c>
      <c r="F184">
        <v>14.987446784999999</v>
      </c>
      <c r="G184">
        <v>1397.8388672000001</v>
      </c>
      <c r="H184">
        <v>1383.9746094</v>
      </c>
      <c r="I184">
        <v>1250.4512939000001</v>
      </c>
      <c r="J184">
        <v>1211.0111084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15.970798</v>
      </c>
      <c r="B185" s="1">
        <f>DATE(2010,5,16) + TIME(23,17,56)</f>
        <v>40314.97078703704</v>
      </c>
      <c r="C185">
        <v>80</v>
      </c>
      <c r="D185">
        <v>79.899116516000007</v>
      </c>
      <c r="E185">
        <v>50</v>
      </c>
      <c r="F185">
        <v>14.987482071000001</v>
      </c>
      <c r="G185">
        <v>1397.7851562000001</v>
      </c>
      <c r="H185">
        <v>1383.9265137</v>
      </c>
      <c r="I185">
        <v>1250.4539795000001</v>
      </c>
      <c r="J185">
        <v>1211.0139160000001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16.102318</v>
      </c>
      <c r="B186" s="1">
        <f>DATE(2010,5,17) + TIME(2,27,20)</f>
        <v>40315.102314814816</v>
      </c>
      <c r="C186">
        <v>80</v>
      </c>
      <c r="D186">
        <v>79.899108886999997</v>
      </c>
      <c r="E186">
        <v>50</v>
      </c>
      <c r="F186">
        <v>14.987516403000001</v>
      </c>
      <c r="G186">
        <v>1397.7320557</v>
      </c>
      <c r="H186">
        <v>1383.8790283000001</v>
      </c>
      <c r="I186">
        <v>1250.4567870999999</v>
      </c>
      <c r="J186">
        <v>1211.0166016000001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16.233839</v>
      </c>
      <c r="B187" s="1">
        <f>DATE(2010,5,17) + TIME(5,36,43)</f>
        <v>40315.233831018515</v>
      </c>
      <c r="C187">
        <v>80</v>
      </c>
      <c r="D187">
        <v>79.899101256999998</v>
      </c>
      <c r="E187">
        <v>50</v>
      </c>
      <c r="F187">
        <v>14.987550734999999</v>
      </c>
      <c r="G187">
        <v>1397.6794434000001</v>
      </c>
      <c r="H187">
        <v>1383.8320312000001</v>
      </c>
      <c r="I187">
        <v>1250.4594727000001</v>
      </c>
      <c r="J187">
        <v>1211.0194091999999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16.496879</v>
      </c>
      <c r="B188" s="1">
        <f>DATE(2010,5,17) + TIME(11,55,30)</f>
        <v>40315.496874999997</v>
      </c>
      <c r="C188">
        <v>80</v>
      </c>
      <c r="D188">
        <v>79.899169921999999</v>
      </c>
      <c r="E188">
        <v>50</v>
      </c>
      <c r="F188">
        <v>14.987609862999999</v>
      </c>
      <c r="G188">
        <v>1397.6134033000001</v>
      </c>
      <c r="H188">
        <v>1383.7719727000001</v>
      </c>
      <c r="I188">
        <v>1250.4644774999999</v>
      </c>
      <c r="J188">
        <v>1211.0245361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16.760404000000001</v>
      </c>
      <c r="B189" s="1">
        <f>DATE(2010,5,17) + TIME(18,14,58)</f>
        <v>40315.760393518518</v>
      </c>
      <c r="C189">
        <v>80</v>
      </c>
      <c r="D189">
        <v>79.899162292</v>
      </c>
      <c r="E189">
        <v>50</v>
      </c>
      <c r="F189">
        <v>14.987669945</v>
      </c>
      <c r="G189">
        <v>1397.5184326000001</v>
      </c>
      <c r="H189">
        <v>1383.6877440999999</v>
      </c>
      <c r="I189">
        <v>1250.4694824000001</v>
      </c>
      <c r="J189">
        <v>1211.0295410000001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17.02542</v>
      </c>
      <c r="B190" s="1">
        <f>DATE(2010,5,18) + TIME(0,36,36)</f>
        <v>40316.025416666664</v>
      </c>
      <c r="C190">
        <v>80</v>
      </c>
      <c r="D190">
        <v>79.899131775000001</v>
      </c>
      <c r="E190">
        <v>50</v>
      </c>
      <c r="F190">
        <v>14.987730025999999</v>
      </c>
      <c r="G190">
        <v>1397.4193115</v>
      </c>
      <c r="H190">
        <v>1383.5994873</v>
      </c>
      <c r="I190">
        <v>1250.4742432</v>
      </c>
      <c r="J190">
        <v>1211.0344238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17.292469000000001</v>
      </c>
      <c r="B191" s="1">
        <f>DATE(2010,5,18) + TIME(7,1,9)</f>
        <v>40316.29246527778</v>
      </c>
      <c r="C191">
        <v>80</v>
      </c>
      <c r="D191">
        <v>79.899108886999997</v>
      </c>
      <c r="E191">
        <v>50</v>
      </c>
      <c r="F191">
        <v>14.987790108</v>
      </c>
      <c r="G191">
        <v>1397.3197021000001</v>
      </c>
      <c r="H191">
        <v>1383.5104980000001</v>
      </c>
      <c r="I191">
        <v>1250.4790039</v>
      </c>
      <c r="J191">
        <v>1211.0391846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17.562031999999999</v>
      </c>
      <c r="B192" s="1">
        <f>DATE(2010,5,18) + TIME(13,29,19)</f>
        <v>40316.562025462961</v>
      </c>
      <c r="C192">
        <v>80</v>
      </c>
      <c r="D192">
        <v>79.899078368999994</v>
      </c>
      <c r="E192">
        <v>50</v>
      </c>
      <c r="F192">
        <v>14.987851143</v>
      </c>
      <c r="G192">
        <v>1397.2200928</v>
      </c>
      <c r="H192">
        <v>1383.4216309000001</v>
      </c>
      <c r="I192">
        <v>1250.4837646000001</v>
      </c>
      <c r="J192">
        <v>1211.0439452999999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17.834595</v>
      </c>
      <c r="B193" s="1">
        <f>DATE(2010,5,18) + TIME(20,1,48)</f>
        <v>40316.834583333337</v>
      </c>
      <c r="C193">
        <v>80</v>
      </c>
      <c r="D193">
        <v>79.899047851999995</v>
      </c>
      <c r="E193">
        <v>50</v>
      </c>
      <c r="F193">
        <v>14.987911223999999</v>
      </c>
      <c r="G193">
        <v>1397.1207274999999</v>
      </c>
      <c r="H193">
        <v>1383.3328856999999</v>
      </c>
      <c r="I193">
        <v>1250.4884033000001</v>
      </c>
      <c r="J193">
        <v>1211.0487060999999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18.110654</v>
      </c>
      <c r="B194" s="1">
        <f>DATE(2010,5,19) + TIME(2,39,20)</f>
        <v>40317.110648148147</v>
      </c>
      <c r="C194">
        <v>80</v>
      </c>
      <c r="D194">
        <v>79.899024963000002</v>
      </c>
      <c r="E194">
        <v>50</v>
      </c>
      <c r="F194">
        <v>14.987972259999999</v>
      </c>
      <c r="G194">
        <v>1397.0213623</v>
      </c>
      <c r="H194">
        <v>1383.2441406</v>
      </c>
      <c r="I194">
        <v>1250.4930420000001</v>
      </c>
      <c r="J194">
        <v>1211.0534668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18.390726999999998</v>
      </c>
      <c r="B195" s="1">
        <f>DATE(2010,5,19) + TIME(9,22,38)</f>
        <v>40317.390717592592</v>
      </c>
      <c r="C195">
        <v>80</v>
      </c>
      <c r="D195">
        <v>79.899002074999999</v>
      </c>
      <c r="E195">
        <v>50</v>
      </c>
      <c r="F195">
        <v>14.988033294999999</v>
      </c>
      <c r="G195">
        <v>1396.9221190999999</v>
      </c>
      <c r="H195">
        <v>1383.1552733999999</v>
      </c>
      <c r="I195">
        <v>1250.4978027</v>
      </c>
      <c r="J195">
        <v>1211.0582274999999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18.675355</v>
      </c>
      <c r="B196" s="1">
        <f>DATE(2010,5,19) + TIME(16,12,30)</f>
        <v>40317.675347222219</v>
      </c>
      <c r="C196">
        <v>80</v>
      </c>
      <c r="D196">
        <v>79.898979186999995</v>
      </c>
      <c r="E196">
        <v>50</v>
      </c>
      <c r="F196">
        <v>14.988095284</v>
      </c>
      <c r="G196">
        <v>1396.8226318</v>
      </c>
      <c r="H196">
        <v>1383.0662841999999</v>
      </c>
      <c r="I196">
        <v>1250.5024414</v>
      </c>
      <c r="J196">
        <v>1211.0629882999999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18.965133999999999</v>
      </c>
      <c r="B197" s="1">
        <f>DATE(2010,5,19) + TIME(23,9,47)</f>
        <v>40317.965127314812</v>
      </c>
      <c r="C197">
        <v>80</v>
      </c>
      <c r="D197">
        <v>79.898956299000005</v>
      </c>
      <c r="E197">
        <v>50</v>
      </c>
      <c r="F197">
        <v>14.988156319</v>
      </c>
      <c r="G197">
        <v>1396.7229004000001</v>
      </c>
      <c r="H197">
        <v>1382.9770507999999</v>
      </c>
      <c r="I197">
        <v>1250.5072021000001</v>
      </c>
      <c r="J197">
        <v>1211.067749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19.260764999999999</v>
      </c>
      <c r="B198" s="1">
        <f>DATE(2010,5,20) + TIME(6,15,30)</f>
        <v>40318.260763888888</v>
      </c>
      <c r="C198">
        <v>80</v>
      </c>
      <c r="D198">
        <v>79.898933411000002</v>
      </c>
      <c r="E198">
        <v>50</v>
      </c>
      <c r="F198">
        <v>14.988218307</v>
      </c>
      <c r="G198">
        <v>1396.6228027</v>
      </c>
      <c r="H198">
        <v>1382.8873291</v>
      </c>
      <c r="I198">
        <v>1250.5119629000001</v>
      </c>
      <c r="J198">
        <v>1211.0725098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19.560023999999999</v>
      </c>
      <c r="B199" s="1">
        <f>DATE(2010,5,20) + TIME(13,26,26)</f>
        <v>40318.560023148151</v>
      </c>
      <c r="C199">
        <v>80</v>
      </c>
      <c r="D199">
        <v>79.898910521999994</v>
      </c>
      <c r="E199">
        <v>50</v>
      </c>
      <c r="F199">
        <v>14.988280295999999</v>
      </c>
      <c r="G199">
        <v>1396.5222168</v>
      </c>
      <c r="H199">
        <v>1382.7972411999999</v>
      </c>
      <c r="I199">
        <v>1250.5166016000001</v>
      </c>
      <c r="J199">
        <v>1211.0772704999999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19.862801999999999</v>
      </c>
      <c r="B200" s="1">
        <f>DATE(2010,5,20) + TIME(20,42,26)</f>
        <v>40318.862800925926</v>
      </c>
      <c r="C200">
        <v>80</v>
      </c>
      <c r="D200">
        <v>79.898887634000005</v>
      </c>
      <c r="E200">
        <v>50</v>
      </c>
      <c r="F200">
        <v>14.988342285</v>
      </c>
      <c r="G200">
        <v>1396.4217529</v>
      </c>
      <c r="H200">
        <v>1382.7072754000001</v>
      </c>
      <c r="I200">
        <v>1250.5213623</v>
      </c>
      <c r="J200">
        <v>1211.0821533000001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20.169635</v>
      </c>
      <c r="B201" s="1">
        <f>DATE(2010,5,21) + TIME(4,4,16)</f>
        <v>40319.169629629629</v>
      </c>
      <c r="C201">
        <v>80</v>
      </c>
      <c r="D201">
        <v>79.898872374999996</v>
      </c>
      <c r="E201">
        <v>50</v>
      </c>
      <c r="F201">
        <v>14.98840332</v>
      </c>
      <c r="G201">
        <v>1396.3212891000001</v>
      </c>
      <c r="H201">
        <v>1382.6171875</v>
      </c>
      <c r="I201">
        <v>1250.5261230000001</v>
      </c>
      <c r="J201">
        <v>1211.0869141000001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20.481100000000001</v>
      </c>
      <c r="B202" s="1">
        <f>DATE(2010,5,21) + TIME(11,32,47)</f>
        <v>40319.481099537035</v>
      </c>
      <c r="C202">
        <v>80</v>
      </c>
      <c r="D202">
        <v>79.898849487000007</v>
      </c>
      <c r="E202">
        <v>50</v>
      </c>
      <c r="F202">
        <v>14.988465309</v>
      </c>
      <c r="G202">
        <v>1396.2209473</v>
      </c>
      <c r="H202">
        <v>1382.5272216999999</v>
      </c>
      <c r="I202">
        <v>1250.5308838000001</v>
      </c>
      <c r="J202">
        <v>1211.0916748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20.638850000000001</v>
      </c>
      <c r="B203" s="1">
        <f>DATE(2010,5,21) + TIME(15,19,56)</f>
        <v>40319.638842592591</v>
      </c>
      <c r="C203">
        <v>80</v>
      </c>
      <c r="D203">
        <v>79.898765564000001</v>
      </c>
      <c r="E203">
        <v>50</v>
      </c>
      <c r="F203">
        <v>14.988501549</v>
      </c>
      <c r="G203">
        <v>1396.1405029</v>
      </c>
      <c r="H203">
        <v>1382.4564209</v>
      </c>
      <c r="I203">
        <v>1250.5333252</v>
      </c>
      <c r="J203">
        <v>1211.0942382999999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20.796599000000001</v>
      </c>
      <c r="B204" s="1">
        <f>DATE(2010,5,21) + TIME(19,7,6)</f>
        <v>40319.796597222223</v>
      </c>
      <c r="C204">
        <v>80</v>
      </c>
      <c r="D204">
        <v>79.898742675999998</v>
      </c>
      <c r="E204">
        <v>50</v>
      </c>
      <c r="F204">
        <v>14.988536835</v>
      </c>
      <c r="G204">
        <v>1396.0810547000001</v>
      </c>
      <c r="H204">
        <v>1382.4025879000001</v>
      </c>
      <c r="I204">
        <v>1250.5357666</v>
      </c>
      <c r="J204">
        <v>1211.0966797000001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20.954348</v>
      </c>
      <c r="B205" s="1">
        <f>DATE(2010,5,21) + TIME(22,54,15)</f>
        <v>40319.954340277778</v>
      </c>
      <c r="C205">
        <v>80</v>
      </c>
      <c r="D205">
        <v>79.898727417000003</v>
      </c>
      <c r="E205">
        <v>50</v>
      </c>
      <c r="F205">
        <v>14.988570212999999</v>
      </c>
      <c r="G205">
        <v>1396.0273437999999</v>
      </c>
      <c r="H205">
        <v>1382.3540039</v>
      </c>
      <c r="I205">
        <v>1250.5383300999999</v>
      </c>
      <c r="J205">
        <v>1211.0992432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21.112096999999999</v>
      </c>
      <c r="B206" s="1">
        <f>DATE(2010,5,22) + TIME(2,41,25)</f>
        <v>40320.11209490741</v>
      </c>
      <c r="C206">
        <v>80</v>
      </c>
      <c r="D206">
        <v>79.898727417000003</v>
      </c>
      <c r="E206">
        <v>50</v>
      </c>
      <c r="F206">
        <v>14.988603592</v>
      </c>
      <c r="G206">
        <v>1395.9757079999999</v>
      </c>
      <c r="H206">
        <v>1382.3074951000001</v>
      </c>
      <c r="I206">
        <v>1250.5408935999999</v>
      </c>
      <c r="J206">
        <v>1211.1018065999999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21.269846000000001</v>
      </c>
      <c r="B207" s="1">
        <f>DATE(2010,5,22) + TIME(6,28,34)</f>
        <v>40320.269837962966</v>
      </c>
      <c r="C207">
        <v>80</v>
      </c>
      <c r="D207">
        <v>79.898719787999994</v>
      </c>
      <c r="E207">
        <v>50</v>
      </c>
      <c r="F207">
        <v>14.988636971</v>
      </c>
      <c r="G207">
        <v>1395.9251709</v>
      </c>
      <c r="H207">
        <v>1382.2619629000001</v>
      </c>
      <c r="I207">
        <v>1250.5433350000001</v>
      </c>
      <c r="J207">
        <v>1211.1043701000001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21.427596000000001</v>
      </c>
      <c r="B208" s="1">
        <f>DATE(2010,5,22) + TIME(10,15,44)</f>
        <v>40320.42759259259</v>
      </c>
      <c r="C208">
        <v>80</v>
      </c>
      <c r="D208">
        <v>79.898719787999994</v>
      </c>
      <c r="E208">
        <v>50</v>
      </c>
      <c r="F208">
        <v>14.988668442</v>
      </c>
      <c r="G208">
        <v>1395.8753661999999</v>
      </c>
      <c r="H208">
        <v>1382.2170410000001</v>
      </c>
      <c r="I208">
        <v>1250.5458983999999</v>
      </c>
      <c r="J208">
        <v>1211.1069336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21.585345</v>
      </c>
      <c r="B209" s="1">
        <f>DATE(2010,5,22) + TIME(14,2,53)</f>
        <v>40320.585335648146</v>
      </c>
      <c r="C209">
        <v>80</v>
      </c>
      <c r="D209">
        <v>79.898712157999995</v>
      </c>
      <c r="E209">
        <v>50</v>
      </c>
      <c r="F209">
        <v>14.988699913</v>
      </c>
      <c r="G209">
        <v>1395.8261719</v>
      </c>
      <c r="H209">
        <v>1382.1727295000001</v>
      </c>
      <c r="I209">
        <v>1250.5484618999999</v>
      </c>
      <c r="J209">
        <v>1211.1094971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21.900842999999998</v>
      </c>
      <c r="B210" s="1">
        <f>DATE(2010,5,22) + TIME(21,37,12)</f>
        <v>40320.900833333333</v>
      </c>
      <c r="C210">
        <v>80</v>
      </c>
      <c r="D210">
        <v>79.898780822999996</v>
      </c>
      <c r="E210">
        <v>50</v>
      </c>
      <c r="F210">
        <v>14.988754272</v>
      </c>
      <c r="G210">
        <v>1395.7630615</v>
      </c>
      <c r="H210">
        <v>1382.1149902</v>
      </c>
      <c r="I210">
        <v>1250.5531006000001</v>
      </c>
      <c r="J210">
        <v>1211.1142577999999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22.216673</v>
      </c>
      <c r="B211" s="1">
        <f>DATE(2010,5,23) + TIME(5,12,0)</f>
        <v>40321.216666666667</v>
      </c>
      <c r="C211">
        <v>80</v>
      </c>
      <c r="D211">
        <v>79.898780822999996</v>
      </c>
      <c r="E211">
        <v>50</v>
      </c>
      <c r="F211">
        <v>14.988808632</v>
      </c>
      <c r="G211">
        <v>1395.6745605000001</v>
      </c>
      <c r="H211">
        <v>1382.0357666</v>
      </c>
      <c r="I211">
        <v>1250.5576172000001</v>
      </c>
      <c r="J211">
        <v>1211.1188964999999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22.534469000000001</v>
      </c>
      <c r="B212" s="1">
        <f>DATE(2010,5,23) + TIME(12,49,38)</f>
        <v>40321.534467592595</v>
      </c>
      <c r="C212">
        <v>80</v>
      </c>
      <c r="D212">
        <v>79.898765564000001</v>
      </c>
      <c r="E212">
        <v>50</v>
      </c>
      <c r="F212">
        <v>14.988863945</v>
      </c>
      <c r="G212">
        <v>1395.5821533000001</v>
      </c>
      <c r="H212">
        <v>1381.9528809000001</v>
      </c>
      <c r="I212">
        <v>1250.5621338000001</v>
      </c>
      <c r="J212">
        <v>1211.1234131000001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22.854914999999998</v>
      </c>
      <c r="B213" s="1">
        <f>DATE(2010,5,23) + TIME(20,31,4)</f>
        <v>40321.854907407411</v>
      </c>
      <c r="C213">
        <v>80</v>
      </c>
      <c r="D213">
        <v>79.898750304999993</v>
      </c>
      <c r="E213">
        <v>50</v>
      </c>
      <c r="F213">
        <v>14.988919257999999</v>
      </c>
      <c r="G213">
        <v>1395.4891356999999</v>
      </c>
      <c r="H213">
        <v>1381.8692627</v>
      </c>
      <c r="I213">
        <v>1250.5665283000001</v>
      </c>
      <c r="J213">
        <v>1211.1279297000001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23.178622000000001</v>
      </c>
      <c r="B214" s="1">
        <f>DATE(2010,5,24) + TIME(4,17,12)</f>
        <v>40322.178611111114</v>
      </c>
      <c r="C214">
        <v>80</v>
      </c>
      <c r="D214">
        <v>79.898735045999999</v>
      </c>
      <c r="E214">
        <v>50</v>
      </c>
      <c r="F214">
        <v>14.988975525000001</v>
      </c>
      <c r="G214">
        <v>1395.3959961</v>
      </c>
      <c r="H214">
        <v>1381.7854004000001</v>
      </c>
      <c r="I214">
        <v>1250.5710449000001</v>
      </c>
      <c r="J214">
        <v>1211.1324463000001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23.506207</v>
      </c>
      <c r="B215" s="1">
        <f>DATE(2010,5,24) + TIME(12,8,56)</f>
        <v>40322.506203703706</v>
      </c>
      <c r="C215">
        <v>80</v>
      </c>
      <c r="D215">
        <v>79.898719787999994</v>
      </c>
      <c r="E215">
        <v>50</v>
      </c>
      <c r="F215">
        <v>14.989031792</v>
      </c>
      <c r="G215">
        <v>1395.3028564000001</v>
      </c>
      <c r="H215">
        <v>1381.7016602000001</v>
      </c>
      <c r="I215">
        <v>1250.5755615</v>
      </c>
      <c r="J215">
        <v>1211.1370850000001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23.838307</v>
      </c>
      <c r="B216" s="1">
        <f>DATE(2010,5,24) + TIME(20,7,9)</f>
        <v>40322.83829861111</v>
      </c>
      <c r="C216">
        <v>80</v>
      </c>
      <c r="D216">
        <v>79.898712157999995</v>
      </c>
      <c r="E216">
        <v>50</v>
      </c>
      <c r="F216">
        <v>14.989088058</v>
      </c>
      <c r="G216">
        <v>1395.2097168</v>
      </c>
      <c r="H216">
        <v>1381.6176757999999</v>
      </c>
      <c r="I216">
        <v>1250.5802002</v>
      </c>
      <c r="J216">
        <v>1211.1417236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24.17559</v>
      </c>
      <c r="B217" s="1">
        <f>DATE(2010,5,25) + TIME(4,12,50)</f>
        <v>40323.175578703704</v>
      </c>
      <c r="C217">
        <v>80</v>
      </c>
      <c r="D217">
        <v>79.898704529</v>
      </c>
      <c r="E217">
        <v>50</v>
      </c>
      <c r="F217">
        <v>14.989145279000001</v>
      </c>
      <c r="G217">
        <v>1395.1163329999999</v>
      </c>
      <c r="H217">
        <v>1381.5335693</v>
      </c>
      <c r="I217">
        <v>1250.5848389</v>
      </c>
      <c r="J217">
        <v>1211.1463623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24.518756</v>
      </c>
      <c r="B218" s="1">
        <f>DATE(2010,5,25) + TIME(12,27,0)</f>
        <v>40323.518750000003</v>
      </c>
      <c r="C218">
        <v>80</v>
      </c>
      <c r="D218">
        <v>79.898696899000001</v>
      </c>
      <c r="E218">
        <v>50</v>
      </c>
      <c r="F218">
        <v>14.989202498999999</v>
      </c>
      <c r="G218">
        <v>1395.0228271000001</v>
      </c>
      <c r="H218">
        <v>1381.4492187999999</v>
      </c>
      <c r="I218">
        <v>1250.5895995999999</v>
      </c>
      <c r="J218">
        <v>1211.1512451000001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24.868642999999999</v>
      </c>
      <c r="B219" s="1">
        <f>DATE(2010,5,25) + TIME(20,50,50)</f>
        <v>40323.868634259263</v>
      </c>
      <c r="C219">
        <v>80</v>
      </c>
      <c r="D219">
        <v>79.898689270000006</v>
      </c>
      <c r="E219">
        <v>50</v>
      </c>
      <c r="F219">
        <v>14.989260674000001</v>
      </c>
      <c r="G219">
        <v>1394.9287108999999</v>
      </c>
      <c r="H219">
        <v>1381.3643798999999</v>
      </c>
      <c r="I219">
        <v>1250.5944824000001</v>
      </c>
      <c r="J219">
        <v>1211.1561279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25.221722</v>
      </c>
      <c r="B220" s="1">
        <f>DATE(2010,5,26) + TIME(5,19,16)</f>
        <v>40324.221712962964</v>
      </c>
      <c r="C220">
        <v>80</v>
      </c>
      <c r="D220">
        <v>79.898681640999996</v>
      </c>
      <c r="E220">
        <v>50</v>
      </c>
      <c r="F220">
        <v>14.989317893999999</v>
      </c>
      <c r="G220">
        <v>1394.8343506000001</v>
      </c>
      <c r="H220">
        <v>1381.2791748</v>
      </c>
      <c r="I220">
        <v>1250.5993652</v>
      </c>
      <c r="J220">
        <v>1211.1610106999999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25.578016999999999</v>
      </c>
      <c r="B221" s="1">
        <f>DATE(2010,5,26) + TIME(13,52,20)</f>
        <v>40324.578009259261</v>
      </c>
      <c r="C221">
        <v>80</v>
      </c>
      <c r="D221">
        <v>79.898681640999996</v>
      </c>
      <c r="E221">
        <v>50</v>
      </c>
      <c r="F221">
        <v>14.989375114</v>
      </c>
      <c r="G221">
        <v>1394.7402344</v>
      </c>
      <c r="H221">
        <v>1381.1942139</v>
      </c>
      <c r="I221">
        <v>1250.6042480000001</v>
      </c>
      <c r="J221">
        <v>1211.1660156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25.938151999999999</v>
      </c>
      <c r="B222" s="1">
        <f>DATE(2010,5,26) + TIME(22,30,56)</f>
        <v>40324.938148148147</v>
      </c>
      <c r="C222">
        <v>80</v>
      </c>
      <c r="D222">
        <v>79.898674010999997</v>
      </c>
      <c r="E222">
        <v>50</v>
      </c>
      <c r="F222">
        <v>14.989433289000001</v>
      </c>
      <c r="G222">
        <v>1394.6463623</v>
      </c>
      <c r="H222">
        <v>1381.1094971</v>
      </c>
      <c r="I222">
        <v>1250.6091309000001</v>
      </c>
      <c r="J222">
        <v>1211.1710204999999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26.119731000000002</v>
      </c>
      <c r="B223" s="1">
        <f>DATE(2010,5,27) + TIME(2,52,24)</f>
        <v>40325.119722222225</v>
      </c>
      <c r="C223">
        <v>80</v>
      </c>
      <c r="D223">
        <v>79.898605347</v>
      </c>
      <c r="E223">
        <v>50</v>
      </c>
      <c r="F223">
        <v>14.989466667</v>
      </c>
      <c r="G223">
        <v>1394.5723877</v>
      </c>
      <c r="H223">
        <v>1381.0438231999999</v>
      </c>
      <c r="I223">
        <v>1250.6116943</v>
      </c>
      <c r="J223">
        <v>1211.1735839999999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26.301310000000001</v>
      </c>
      <c r="B224" s="1">
        <f>DATE(2010,5,27) + TIME(7,13,53)</f>
        <v>40325.301307870373</v>
      </c>
      <c r="C224">
        <v>80</v>
      </c>
      <c r="D224">
        <v>79.898590088000006</v>
      </c>
      <c r="E224">
        <v>50</v>
      </c>
      <c r="F224">
        <v>14.989500046</v>
      </c>
      <c r="G224">
        <v>1394.5169678</v>
      </c>
      <c r="H224">
        <v>1380.9932861</v>
      </c>
      <c r="I224">
        <v>1250.6143798999999</v>
      </c>
      <c r="J224">
        <v>1211.1762695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26.482887999999999</v>
      </c>
      <c r="B225" s="1">
        <f>DATE(2010,5,27) + TIME(11,35,21)</f>
        <v>40325.482881944445</v>
      </c>
      <c r="C225">
        <v>80</v>
      </c>
      <c r="D225">
        <v>79.898590088000006</v>
      </c>
      <c r="E225">
        <v>50</v>
      </c>
      <c r="F225">
        <v>14.989531517</v>
      </c>
      <c r="G225">
        <v>1394.4667969</v>
      </c>
      <c r="H225">
        <v>1380.9476318</v>
      </c>
      <c r="I225">
        <v>1250.6170654</v>
      </c>
      <c r="J225">
        <v>1211.1789550999999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26.664466999999998</v>
      </c>
      <c r="B226" s="1">
        <f>DATE(2010,5,27) + TIME(15,56,49)</f>
        <v>40325.664456018516</v>
      </c>
      <c r="C226">
        <v>80</v>
      </c>
      <c r="D226">
        <v>79.898597717000001</v>
      </c>
      <c r="E226">
        <v>50</v>
      </c>
      <c r="F226">
        <v>14.989562987999999</v>
      </c>
      <c r="G226">
        <v>1394.4187012</v>
      </c>
      <c r="H226">
        <v>1380.9039307</v>
      </c>
      <c r="I226">
        <v>1250.6198730000001</v>
      </c>
      <c r="J226">
        <v>1211.1817627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26.846045</v>
      </c>
      <c r="B227" s="1">
        <f>DATE(2010,5,27) + TIME(20,18,18)</f>
        <v>40325.846041666664</v>
      </c>
      <c r="C227">
        <v>80</v>
      </c>
      <c r="D227">
        <v>79.898597717000001</v>
      </c>
      <c r="E227">
        <v>50</v>
      </c>
      <c r="F227">
        <v>14.989593506</v>
      </c>
      <c r="G227">
        <v>1394.3717041</v>
      </c>
      <c r="H227">
        <v>1380.8612060999999</v>
      </c>
      <c r="I227">
        <v>1250.6225586</v>
      </c>
      <c r="J227">
        <v>1211.1845702999999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27.027623999999999</v>
      </c>
      <c r="B228" s="1">
        <f>DATE(2010,5,28) + TIME(0,39,46)</f>
        <v>40326.027615740742</v>
      </c>
      <c r="C228">
        <v>80</v>
      </c>
      <c r="D228">
        <v>79.898605347</v>
      </c>
      <c r="E228">
        <v>50</v>
      </c>
      <c r="F228">
        <v>14.98962307</v>
      </c>
      <c r="G228">
        <v>1394.3253173999999</v>
      </c>
      <c r="H228">
        <v>1380.8190918</v>
      </c>
      <c r="I228">
        <v>1250.6253661999999</v>
      </c>
      <c r="J228">
        <v>1211.1872559000001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27.209202000000001</v>
      </c>
      <c r="B229" s="1">
        <f>DATE(2010,5,28) + TIME(5,1,15)</f>
        <v>40326.209201388891</v>
      </c>
      <c r="C229">
        <v>80</v>
      </c>
      <c r="D229">
        <v>79.898612975999995</v>
      </c>
      <c r="E229">
        <v>50</v>
      </c>
      <c r="F229">
        <v>14.989652634</v>
      </c>
      <c r="G229">
        <v>1394.2792969</v>
      </c>
      <c r="H229">
        <v>1380.7774658000001</v>
      </c>
      <c r="I229">
        <v>1250.6280518000001</v>
      </c>
      <c r="J229">
        <v>1211.1900635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27.390781</v>
      </c>
      <c r="B230" s="1">
        <f>DATE(2010,5,28) + TIME(9,22,43)</f>
        <v>40326.390775462962</v>
      </c>
      <c r="C230">
        <v>80</v>
      </c>
      <c r="D230">
        <v>79.898612975999995</v>
      </c>
      <c r="E230">
        <v>50</v>
      </c>
      <c r="F230">
        <v>14.989681244</v>
      </c>
      <c r="G230">
        <v>1394.2338867000001</v>
      </c>
      <c r="H230">
        <v>1380.7362060999999</v>
      </c>
      <c r="I230">
        <v>1250.6307373</v>
      </c>
      <c r="J230">
        <v>1211.192749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27.753938000000002</v>
      </c>
      <c r="B231" s="1">
        <f>DATE(2010,5,28) + TIME(18,5,40)</f>
        <v>40326.753935185188</v>
      </c>
      <c r="C231">
        <v>80</v>
      </c>
      <c r="D231">
        <v>79.898696899000001</v>
      </c>
      <c r="E231">
        <v>50</v>
      </c>
      <c r="F231">
        <v>14.989729881000001</v>
      </c>
      <c r="G231">
        <v>1394.1748047000001</v>
      </c>
      <c r="H231">
        <v>1380.6815185999999</v>
      </c>
      <c r="I231">
        <v>1250.6357422000001</v>
      </c>
      <c r="J231">
        <v>1211.1977539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28.117436999999999</v>
      </c>
      <c r="B232" s="1">
        <f>DATE(2010,5,29) + TIME(2,49,6)</f>
        <v>40327.117430555554</v>
      </c>
      <c r="C232">
        <v>80</v>
      </c>
      <c r="D232">
        <v>79.898704529</v>
      </c>
      <c r="E232">
        <v>50</v>
      </c>
      <c r="F232">
        <v>14.989779472</v>
      </c>
      <c r="G232">
        <v>1394.0930175999999</v>
      </c>
      <c r="H232">
        <v>1380.6079102000001</v>
      </c>
      <c r="I232">
        <v>1250.6405029</v>
      </c>
      <c r="J232">
        <v>1211.2026367000001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28.483522000000001</v>
      </c>
      <c r="B233" s="1">
        <f>DATE(2010,5,29) + TIME(11,36,16)</f>
        <v>40327.483518518522</v>
      </c>
      <c r="C233">
        <v>80</v>
      </c>
      <c r="D233">
        <v>79.898704529</v>
      </c>
      <c r="E233">
        <v>50</v>
      </c>
      <c r="F233">
        <v>14.989830016999999</v>
      </c>
      <c r="G233">
        <v>1394.0074463000001</v>
      </c>
      <c r="H233">
        <v>1380.5303954999999</v>
      </c>
      <c r="I233">
        <v>1250.6452637</v>
      </c>
      <c r="J233">
        <v>1211.2075195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28.853017999999999</v>
      </c>
      <c r="B234" s="1">
        <f>DATE(2010,5,29) + TIME(20,28,20)</f>
        <v>40327.853009259263</v>
      </c>
      <c r="C234">
        <v>80</v>
      </c>
      <c r="D234">
        <v>79.898712157999995</v>
      </c>
      <c r="E234">
        <v>50</v>
      </c>
      <c r="F234">
        <v>14.989881516000001</v>
      </c>
      <c r="G234">
        <v>1393.9210204999999</v>
      </c>
      <c r="H234">
        <v>1380.4521483999999</v>
      </c>
      <c r="I234">
        <v>1250.6501464999999</v>
      </c>
      <c r="J234">
        <v>1211.2124022999999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29.226673999999999</v>
      </c>
      <c r="B235" s="1">
        <f>DATE(2010,5,30) + TIME(5,26,24)</f>
        <v>40328.226666666669</v>
      </c>
      <c r="C235">
        <v>80</v>
      </c>
      <c r="D235">
        <v>79.898712157999995</v>
      </c>
      <c r="E235">
        <v>50</v>
      </c>
      <c r="F235">
        <v>14.989933968000001</v>
      </c>
      <c r="G235">
        <v>1393.8343506000001</v>
      </c>
      <c r="H235">
        <v>1380.3735352000001</v>
      </c>
      <c r="I235">
        <v>1250.6550293</v>
      </c>
      <c r="J235">
        <v>1211.2174072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29.605243000000002</v>
      </c>
      <c r="B236" s="1">
        <f>DATE(2010,5,30) + TIME(14,31,33)</f>
        <v>40328.605243055557</v>
      </c>
      <c r="C236">
        <v>80</v>
      </c>
      <c r="D236">
        <v>79.898719787999994</v>
      </c>
      <c r="E236">
        <v>50</v>
      </c>
      <c r="F236">
        <v>14.989986419999999</v>
      </c>
      <c r="G236">
        <v>1393.7475586</v>
      </c>
      <c r="H236">
        <v>1380.2946777</v>
      </c>
      <c r="I236">
        <v>1250.6601562000001</v>
      </c>
      <c r="J236">
        <v>1211.2225341999999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29.989518</v>
      </c>
      <c r="B237" s="1">
        <f>DATE(2010,5,30) + TIME(23,44,54)</f>
        <v>40328.98951388889</v>
      </c>
      <c r="C237">
        <v>80</v>
      </c>
      <c r="D237">
        <v>79.898727417000003</v>
      </c>
      <c r="E237">
        <v>50</v>
      </c>
      <c r="F237">
        <v>14.990038872</v>
      </c>
      <c r="G237">
        <v>1393.6604004000001</v>
      </c>
      <c r="H237">
        <v>1380.2156981999999</v>
      </c>
      <c r="I237">
        <v>1250.6652832</v>
      </c>
      <c r="J237">
        <v>1211.2276611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30.380320999999999</v>
      </c>
      <c r="B238" s="1">
        <f>DATE(2010,5,31) + TIME(9,7,39)</f>
        <v>40329.380312499998</v>
      </c>
      <c r="C238">
        <v>80</v>
      </c>
      <c r="D238">
        <v>79.898735045999999</v>
      </c>
      <c r="E238">
        <v>50</v>
      </c>
      <c r="F238">
        <v>14.990092278000001</v>
      </c>
      <c r="G238">
        <v>1393.5729980000001</v>
      </c>
      <c r="H238">
        <v>1380.1362305</v>
      </c>
      <c r="I238">
        <v>1250.6706543</v>
      </c>
      <c r="J238">
        <v>1211.2330322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30.778542000000002</v>
      </c>
      <c r="B239" s="1">
        <f>DATE(2010,5,31) + TIME(18,41,6)</f>
        <v>40329.778541666667</v>
      </c>
      <c r="C239">
        <v>80</v>
      </c>
      <c r="D239">
        <v>79.898750304999993</v>
      </c>
      <c r="E239">
        <v>50</v>
      </c>
      <c r="F239">
        <v>14.990146637</v>
      </c>
      <c r="G239">
        <v>1393.4852295000001</v>
      </c>
      <c r="H239">
        <v>1380.0562743999999</v>
      </c>
      <c r="I239">
        <v>1250.6760254000001</v>
      </c>
      <c r="J239">
        <v>1211.2385254000001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31</v>
      </c>
      <c r="B240" s="1">
        <f>DATE(2010,6,1) + TIME(0,0,0)</f>
        <v>40330</v>
      </c>
      <c r="C240">
        <v>80</v>
      </c>
      <c r="D240">
        <v>79.898704529</v>
      </c>
      <c r="E240">
        <v>50</v>
      </c>
      <c r="F240">
        <v>14.990180969000001</v>
      </c>
      <c r="G240">
        <v>1393.4134521000001</v>
      </c>
      <c r="H240">
        <v>1379.9921875</v>
      </c>
      <c r="I240">
        <v>1250.6791992000001</v>
      </c>
      <c r="J240">
        <v>1211.2416992000001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31.400846999999999</v>
      </c>
      <c r="B241" s="1">
        <f>DATE(2010,6,1) + TIME(9,37,13)</f>
        <v>40330.40084490741</v>
      </c>
      <c r="C241">
        <v>80</v>
      </c>
      <c r="D241">
        <v>79.898765564000001</v>
      </c>
      <c r="E241">
        <v>50</v>
      </c>
      <c r="F241">
        <v>14.990233420999999</v>
      </c>
      <c r="G241">
        <v>1393.3433838000001</v>
      </c>
      <c r="H241">
        <v>1379.9270019999999</v>
      </c>
      <c r="I241">
        <v>1250.6848144999999</v>
      </c>
      <c r="J241">
        <v>1211.2473144999999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31.806754000000002</v>
      </c>
      <c r="B242" s="1">
        <f>DATE(2010,6,1) + TIME(19,21,43)</f>
        <v>40330.806747685187</v>
      </c>
      <c r="C242">
        <v>80</v>
      </c>
      <c r="D242">
        <v>79.898788452000005</v>
      </c>
      <c r="E242">
        <v>50</v>
      </c>
      <c r="F242">
        <v>14.990285872999999</v>
      </c>
      <c r="G242">
        <v>1393.2592772999999</v>
      </c>
      <c r="H242">
        <v>1379.8505858999999</v>
      </c>
      <c r="I242">
        <v>1250.6903076000001</v>
      </c>
      <c r="J242">
        <v>1211.2529297000001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32.216650999999999</v>
      </c>
      <c r="B243" s="1">
        <f>DATE(2010,6,2) + TIME(5,11,58)</f>
        <v>40331.216643518521</v>
      </c>
      <c r="C243">
        <v>80</v>
      </c>
      <c r="D243">
        <v>79.898803710999999</v>
      </c>
      <c r="E243">
        <v>50</v>
      </c>
      <c r="F243">
        <v>14.990339279000001</v>
      </c>
      <c r="G243">
        <v>1393.1728516000001</v>
      </c>
      <c r="H243">
        <v>1379.7718506000001</v>
      </c>
      <c r="I243">
        <v>1250.6959228999999</v>
      </c>
      <c r="J243">
        <v>1211.2586670000001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32.422685999999999</v>
      </c>
      <c r="B244" s="1">
        <f>DATE(2010,6,2) + TIME(10,8,40)</f>
        <v>40331.422685185185</v>
      </c>
      <c r="C244">
        <v>80</v>
      </c>
      <c r="D244">
        <v>79.898757935000006</v>
      </c>
      <c r="E244">
        <v>50</v>
      </c>
      <c r="F244">
        <v>14.99037075</v>
      </c>
      <c r="G244">
        <v>1393.1049805</v>
      </c>
      <c r="H244">
        <v>1379.7113036999999</v>
      </c>
      <c r="I244">
        <v>1250.6988524999999</v>
      </c>
      <c r="J244">
        <v>1211.2615966999999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32.628722000000003</v>
      </c>
      <c r="B245" s="1">
        <f>DATE(2010,6,2) + TIME(15,5,21)</f>
        <v>40331.62871527778</v>
      </c>
      <c r="C245">
        <v>80</v>
      </c>
      <c r="D245">
        <v>79.898750304999993</v>
      </c>
      <c r="E245">
        <v>50</v>
      </c>
      <c r="F245">
        <v>14.990401267999999</v>
      </c>
      <c r="G245">
        <v>1393.0533447</v>
      </c>
      <c r="H245">
        <v>1379.6638184000001</v>
      </c>
      <c r="I245">
        <v>1250.7020264</v>
      </c>
      <c r="J245">
        <v>1211.2647704999999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32.834757000000003</v>
      </c>
      <c r="B246" s="1">
        <f>DATE(2010,6,2) + TIME(20,2,3)</f>
        <v>40331.834756944445</v>
      </c>
      <c r="C246">
        <v>80</v>
      </c>
      <c r="D246">
        <v>79.898757935000006</v>
      </c>
      <c r="E246">
        <v>50</v>
      </c>
      <c r="F246">
        <v>14.990430831999999</v>
      </c>
      <c r="G246">
        <v>1393.0067139</v>
      </c>
      <c r="H246">
        <v>1379.6209716999999</v>
      </c>
      <c r="I246">
        <v>1250.7050781</v>
      </c>
      <c r="J246">
        <v>1211.2679443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33.040792000000003</v>
      </c>
      <c r="B247" s="1">
        <f>DATE(2010,6,3) + TIME(0,58,44)</f>
        <v>40332.04078703704</v>
      </c>
      <c r="C247">
        <v>80</v>
      </c>
      <c r="D247">
        <v>79.898773192999997</v>
      </c>
      <c r="E247">
        <v>50</v>
      </c>
      <c r="F247">
        <v>14.990460396</v>
      </c>
      <c r="G247">
        <v>1392.9619141000001</v>
      </c>
      <c r="H247">
        <v>1379.5799560999999</v>
      </c>
      <c r="I247">
        <v>1250.7082519999999</v>
      </c>
      <c r="J247">
        <v>1211.2711182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33.246828000000001</v>
      </c>
      <c r="B248" s="1">
        <f>DATE(2010,6,3) + TIME(5,55,25)</f>
        <v>40332.246817129628</v>
      </c>
      <c r="C248">
        <v>80</v>
      </c>
      <c r="D248">
        <v>79.898780822999996</v>
      </c>
      <c r="E248">
        <v>50</v>
      </c>
      <c r="F248">
        <v>14.990489006000001</v>
      </c>
      <c r="G248">
        <v>1392.9179687999999</v>
      </c>
      <c r="H248">
        <v>1379.5397949000001</v>
      </c>
      <c r="I248">
        <v>1250.7114257999999</v>
      </c>
      <c r="J248">
        <v>1211.2742920000001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33.452863000000001</v>
      </c>
      <c r="B249" s="1">
        <f>DATE(2010,6,3) + TIME(10,52,7)</f>
        <v>40332.4528587963</v>
      </c>
      <c r="C249">
        <v>80</v>
      </c>
      <c r="D249">
        <v>79.898796082000004</v>
      </c>
      <c r="E249">
        <v>50</v>
      </c>
      <c r="F249">
        <v>14.990516662999999</v>
      </c>
      <c r="G249">
        <v>1392.8747559000001</v>
      </c>
      <c r="H249">
        <v>1379.5001221</v>
      </c>
      <c r="I249">
        <v>1250.7145995999999</v>
      </c>
      <c r="J249">
        <v>1211.2774658000001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33.864933999999998</v>
      </c>
      <c r="B250" s="1">
        <f>DATE(2010,6,3) + TIME(20,45,30)</f>
        <v>40332.864930555559</v>
      </c>
      <c r="C250">
        <v>80</v>
      </c>
      <c r="D250">
        <v>79.898887634000005</v>
      </c>
      <c r="E250">
        <v>50</v>
      </c>
      <c r="F250">
        <v>14.990561485000001</v>
      </c>
      <c r="G250">
        <v>1392.8181152</v>
      </c>
      <c r="H250">
        <v>1379.4473877</v>
      </c>
      <c r="I250">
        <v>1250.7203368999999</v>
      </c>
      <c r="J250">
        <v>1211.2833252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34.277256000000001</v>
      </c>
      <c r="B251" s="1">
        <f>DATE(2010,6,4) + TIME(6,39,14)</f>
        <v>40333.277245370373</v>
      </c>
      <c r="C251">
        <v>80</v>
      </c>
      <c r="D251">
        <v>79.898918151999993</v>
      </c>
      <c r="E251">
        <v>50</v>
      </c>
      <c r="F251">
        <v>14.990609169000001</v>
      </c>
      <c r="G251">
        <v>1392.7408447</v>
      </c>
      <c r="H251">
        <v>1379.3771973</v>
      </c>
      <c r="I251">
        <v>1250.7258300999999</v>
      </c>
      <c r="J251">
        <v>1211.2888184000001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34.692157999999999</v>
      </c>
      <c r="B252" s="1">
        <f>DATE(2010,6,4) + TIME(16,36,42)</f>
        <v>40333.692152777781</v>
      </c>
      <c r="C252">
        <v>80</v>
      </c>
      <c r="D252">
        <v>79.898933411000002</v>
      </c>
      <c r="E252">
        <v>50</v>
      </c>
      <c r="F252">
        <v>14.990656853000001</v>
      </c>
      <c r="G252">
        <v>1392.6600341999999</v>
      </c>
      <c r="H252">
        <v>1379.3034668</v>
      </c>
      <c r="I252">
        <v>1250.7314452999999</v>
      </c>
      <c r="J252">
        <v>1211.2944336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35.110582000000001</v>
      </c>
      <c r="B253" s="1">
        <f>DATE(2010,6,5) + TIME(2,39,14)</f>
        <v>40334.110578703701</v>
      </c>
      <c r="C253">
        <v>80</v>
      </c>
      <c r="D253">
        <v>79.898956299000005</v>
      </c>
      <c r="E253">
        <v>50</v>
      </c>
      <c r="F253">
        <v>14.990706444000001</v>
      </c>
      <c r="G253">
        <v>1392.5783690999999</v>
      </c>
      <c r="H253">
        <v>1379.2288818</v>
      </c>
      <c r="I253">
        <v>1250.7370605000001</v>
      </c>
      <c r="J253">
        <v>1211.3000488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35.533419000000002</v>
      </c>
      <c r="B254" s="1">
        <f>DATE(2010,6,5) + TIME(12,48,7)</f>
        <v>40334.533414351848</v>
      </c>
      <c r="C254">
        <v>80</v>
      </c>
      <c r="D254">
        <v>79.898979186999995</v>
      </c>
      <c r="E254">
        <v>50</v>
      </c>
      <c r="F254">
        <v>14.990756035</v>
      </c>
      <c r="G254">
        <v>1392.4964600000001</v>
      </c>
      <c r="H254">
        <v>1379.1540527</v>
      </c>
      <c r="I254">
        <v>1250.7427978999999</v>
      </c>
      <c r="J254">
        <v>1211.3059082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35.961573999999999</v>
      </c>
      <c r="B255" s="1">
        <f>DATE(2010,6,5) + TIME(23,4,40)</f>
        <v>40334.961574074077</v>
      </c>
      <c r="C255">
        <v>80</v>
      </c>
      <c r="D255">
        <v>79.899002074999999</v>
      </c>
      <c r="E255">
        <v>50</v>
      </c>
      <c r="F255">
        <v>14.990805626</v>
      </c>
      <c r="G255">
        <v>1392.4144286999999</v>
      </c>
      <c r="H255">
        <v>1379.0789795000001</v>
      </c>
      <c r="I255">
        <v>1250.7486572</v>
      </c>
      <c r="J255">
        <v>1211.3118896000001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36.395972999999998</v>
      </c>
      <c r="B256" s="1">
        <f>DATE(2010,6,6) + TIME(9,30,12)</f>
        <v>40335.395972222221</v>
      </c>
      <c r="C256">
        <v>80</v>
      </c>
      <c r="D256">
        <v>79.899032593000001</v>
      </c>
      <c r="E256">
        <v>50</v>
      </c>
      <c r="F256">
        <v>14.990856171000001</v>
      </c>
      <c r="G256">
        <v>1392.3321533000001</v>
      </c>
      <c r="H256">
        <v>1379.0036620999999</v>
      </c>
      <c r="I256">
        <v>1250.7547606999999</v>
      </c>
      <c r="J256">
        <v>1211.3179932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36.837586999999999</v>
      </c>
      <c r="B257" s="1">
        <f>DATE(2010,6,6) + TIME(20,6,7)</f>
        <v>40335.837581018517</v>
      </c>
      <c r="C257">
        <v>80</v>
      </c>
      <c r="D257">
        <v>79.899055481000005</v>
      </c>
      <c r="E257">
        <v>50</v>
      </c>
      <c r="F257">
        <v>14.990906714999999</v>
      </c>
      <c r="G257">
        <v>1392.2495117000001</v>
      </c>
      <c r="H257">
        <v>1378.9278564000001</v>
      </c>
      <c r="I257">
        <v>1250.7609863</v>
      </c>
      <c r="J257">
        <v>1211.3242187999999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37.286572</v>
      </c>
      <c r="B258" s="1">
        <f>DATE(2010,6,7) + TIME(6,52,39)</f>
        <v>40336.286562499998</v>
      </c>
      <c r="C258">
        <v>80</v>
      </c>
      <c r="D258">
        <v>79.899085998999993</v>
      </c>
      <c r="E258">
        <v>50</v>
      </c>
      <c r="F258">
        <v>14.99095726</v>
      </c>
      <c r="G258">
        <v>1392.1665039</v>
      </c>
      <c r="H258">
        <v>1378.8516846</v>
      </c>
      <c r="I258">
        <v>1250.7673339999999</v>
      </c>
      <c r="J258">
        <v>1211.3305664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37.737188000000003</v>
      </c>
      <c r="B259" s="1">
        <f>DATE(2010,6,7) + TIME(17,41,33)</f>
        <v>40336.737187500003</v>
      </c>
      <c r="C259">
        <v>80</v>
      </c>
      <c r="D259">
        <v>79.899116516000007</v>
      </c>
      <c r="E259">
        <v>50</v>
      </c>
      <c r="F259">
        <v>14.991008759</v>
      </c>
      <c r="G259">
        <v>1392.083374</v>
      </c>
      <c r="H259">
        <v>1378.7755127</v>
      </c>
      <c r="I259">
        <v>1250.7736815999999</v>
      </c>
      <c r="J259">
        <v>1211.3370361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38.190322999999999</v>
      </c>
      <c r="B260" s="1">
        <f>DATE(2010,6,8) + TIME(4,34,3)</f>
        <v>40337.190312500003</v>
      </c>
      <c r="C260">
        <v>80</v>
      </c>
      <c r="D260">
        <v>79.899147033999995</v>
      </c>
      <c r="E260">
        <v>50</v>
      </c>
      <c r="F260">
        <v>14.991059303</v>
      </c>
      <c r="G260">
        <v>1392.0004882999999</v>
      </c>
      <c r="H260">
        <v>1378.6994629000001</v>
      </c>
      <c r="I260">
        <v>1250.7801514</v>
      </c>
      <c r="J260">
        <v>1211.3435059000001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38.646853999999998</v>
      </c>
      <c r="B261" s="1">
        <f>DATE(2010,6,8) + TIME(15,31,28)</f>
        <v>40337.646851851852</v>
      </c>
      <c r="C261">
        <v>80</v>
      </c>
      <c r="D261">
        <v>79.899177550999994</v>
      </c>
      <c r="E261">
        <v>50</v>
      </c>
      <c r="F261">
        <v>14.991110802</v>
      </c>
      <c r="G261">
        <v>1391.9180908000001</v>
      </c>
      <c r="H261">
        <v>1378.6237793</v>
      </c>
      <c r="I261">
        <v>1250.7866211</v>
      </c>
      <c r="J261">
        <v>1211.3500977000001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38.876216999999997</v>
      </c>
      <c r="B262" s="1">
        <f>DATE(2010,6,8) + TIME(21,1,45)</f>
        <v>40337.876215277778</v>
      </c>
      <c r="C262">
        <v>80</v>
      </c>
      <c r="D262">
        <v>79.899147033999995</v>
      </c>
      <c r="E262">
        <v>50</v>
      </c>
      <c r="F262">
        <v>14.991141319</v>
      </c>
      <c r="G262">
        <v>1391.8546143000001</v>
      </c>
      <c r="H262">
        <v>1378.5665283000001</v>
      </c>
      <c r="I262">
        <v>1250.7901611</v>
      </c>
      <c r="J262">
        <v>1211.3536377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39.105581000000001</v>
      </c>
      <c r="B263" s="1">
        <f>DATE(2010,6,9) + TIME(2,32,2)</f>
        <v>40338.105578703704</v>
      </c>
      <c r="C263">
        <v>80</v>
      </c>
      <c r="D263">
        <v>79.899147033999995</v>
      </c>
      <c r="E263">
        <v>50</v>
      </c>
      <c r="F263">
        <v>14.991170883000001</v>
      </c>
      <c r="G263">
        <v>1391.8057861</v>
      </c>
      <c r="H263">
        <v>1378.5212402</v>
      </c>
      <c r="I263">
        <v>1250.7938231999999</v>
      </c>
      <c r="J263">
        <v>1211.3572998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39.334944999999998</v>
      </c>
      <c r="B264" s="1">
        <f>DATE(2010,6,9) + TIME(8,2,19)</f>
        <v>40338.33494212963</v>
      </c>
      <c r="C264">
        <v>80</v>
      </c>
      <c r="D264">
        <v>79.899169921999999</v>
      </c>
      <c r="E264">
        <v>50</v>
      </c>
      <c r="F264">
        <v>14.991199493</v>
      </c>
      <c r="G264">
        <v>1391.7615966999999</v>
      </c>
      <c r="H264">
        <v>1378.4803466999999</v>
      </c>
      <c r="I264">
        <v>1250.7976074000001</v>
      </c>
      <c r="J264">
        <v>1211.3610839999999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39.564307999999997</v>
      </c>
      <c r="B265" s="1">
        <f>DATE(2010,6,9) + TIME(13,32,36)</f>
        <v>40338.564305555556</v>
      </c>
      <c r="C265">
        <v>80</v>
      </c>
      <c r="D265">
        <v>79.899185181000007</v>
      </c>
      <c r="E265">
        <v>50</v>
      </c>
      <c r="F265">
        <v>14.99122715</v>
      </c>
      <c r="G265">
        <v>1391.7192382999999</v>
      </c>
      <c r="H265">
        <v>1378.4412841999999</v>
      </c>
      <c r="I265">
        <v>1250.8013916</v>
      </c>
      <c r="J265">
        <v>1211.3648682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39.793672000000001</v>
      </c>
      <c r="B266" s="1">
        <f>DATE(2010,6,9) + TIME(19,2,53)</f>
        <v>40338.793668981481</v>
      </c>
      <c r="C266">
        <v>80</v>
      </c>
      <c r="D266">
        <v>79.899208068999997</v>
      </c>
      <c r="E266">
        <v>50</v>
      </c>
      <c r="F266">
        <v>14.991253853</v>
      </c>
      <c r="G266">
        <v>1391.6777344</v>
      </c>
      <c r="H266">
        <v>1378.4030762</v>
      </c>
      <c r="I266">
        <v>1250.8050536999999</v>
      </c>
      <c r="J266">
        <v>1211.3686522999999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40.023035999999998</v>
      </c>
      <c r="B267" s="1">
        <f>DATE(2010,6,10) + TIME(0,33,10)</f>
        <v>40339.023032407407</v>
      </c>
      <c r="C267">
        <v>80</v>
      </c>
      <c r="D267">
        <v>79.899230957</v>
      </c>
      <c r="E267">
        <v>50</v>
      </c>
      <c r="F267">
        <v>14.991280556</v>
      </c>
      <c r="G267">
        <v>1391.6369629000001</v>
      </c>
      <c r="H267">
        <v>1378.3653564000001</v>
      </c>
      <c r="I267">
        <v>1250.8087158000001</v>
      </c>
      <c r="J267">
        <v>1211.3723144999999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40.481763000000001</v>
      </c>
      <c r="B268" s="1">
        <f>DATE(2010,6,10) + TIME(11,33,44)</f>
        <v>40339.481759259259</v>
      </c>
      <c r="C268">
        <v>80</v>
      </c>
      <c r="D268">
        <v>79.899337768999999</v>
      </c>
      <c r="E268">
        <v>50</v>
      </c>
      <c r="F268">
        <v>14.991322517</v>
      </c>
      <c r="G268">
        <v>1391.5828856999999</v>
      </c>
      <c r="H268">
        <v>1378.3145752</v>
      </c>
      <c r="I268">
        <v>1250.8153076000001</v>
      </c>
      <c r="J268">
        <v>1211.3789062000001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40.941015999999998</v>
      </c>
      <c r="B269" s="1">
        <f>DATE(2010,6,10) + TIME(22,35,3)</f>
        <v>40339.941006944442</v>
      </c>
      <c r="C269">
        <v>80</v>
      </c>
      <c r="D269">
        <v>79.899375915999997</v>
      </c>
      <c r="E269">
        <v>50</v>
      </c>
      <c r="F269">
        <v>14.99136734</v>
      </c>
      <c r="G269">
        <v>1391.5100098</v>
      </c>
      <c r="H269">
        <v>1378.2478027</v>
      </c>
      <c r="I269">
        <v>1250.8216553</v>
      </c>
      <c r="J269">
        <v>1211.385376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41.403362999999999</v>
      </c>
      <c r="B270" s="1">
        <f>DATE(2010,6,11) + TIME(9,40,50)</f>
        <v>40340.403356481482</v>
      </c>
      <c r="C270">
        <v>80</v>
      </c>
      <c r="D270">
        <v>79.899414062000005</v>
      </c>
      <c r="E270">
        <v>50</v>
      </c>
      <c r="F270">
        <v>14.991413116</v>
      </c>
      <c r="G270">
        <v>1391.4335937999999</v>
      </c>
      <c r="H270">
        <v>1378.1776123</v>
      </c>
      <c r="I270">
        <v>1250.828125</v>
      </c>
      <c r="J270">
        <v>1211.3917236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41.869866999999999</v>
      </c>
      <c r="B271" s="1">
        <f>DATE(2010,6,11) + TIME(20,52,36)</f>
        <v>40340.86986111111</v>
      </c>
      <c r="C271">
        <v>80</v>
      </c>
      <c r="D271">
        <v>79.899452209000003</v>
      </c>
      <c r="E271">
        <v>50</v>
      </c>
      <c r="F271">
        <v>14.991459846</v>
      </c>
      <c r="G271">
        <v>1391.3564452999999</v>
      </c>
      <c r="H271">
        <v>1378.1064452999999</v>
      </c>
      <c r="I271">
        <v>1250.8345947</v>
      </c>
      <c r="J271">
        <v>1211.3984375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42.341504999999998</v>
      </c>
      <c r="B272" s="1">
        <f>DATE(2010,6,12) + TIME(8,11,46)</f>
        <v>40341.341504629629</v>
      </c>
      <c r="C272">
        <v>80</v>
      </c>
      <c r="D272">
        <v>79.899490356000001</v>
      </c>
      <c r="E272">
        <v>50</v>
      </c>
      <c r="F272">
        <v>14.991506576999999</v>
      </c>
      <c r="G272">
        <v>1391.2788086</v>
      </c>
      <c r="H272">
        <v>1378.0349120999999</v>
      </c>
      <c r="I272">
        <v>1250.8414307</v>
      </c>
      <c r="J272">
        <v>1211.4051514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42.819279000000002</v>
      </c>
      <c r="B273" s="1">
        <f>DATE(2010,6,12) + TIME(19,39,45)</f>
        <v>40341.81927083333</v>
      </c>
      <c r="C273">
        <v>80</v>
      </c>
      <c r="D273">
        <v>79.899528502999999</v>
      </c>
      <c r="E273">
        <v>50</v>
      </c>
      <c r="F273">
        <v>14.991554259999999</v>
      </c>
      <c r="G273">
        <v>1391.2010498</v>
      </c>
      <c r="H273">
        <v>1377.9631348</v>
      </c>
      <c r="I273">
        <v>1250.8483887</v>
      </c>
      <c r="J273">
        <v>1211.4121094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43.304257999999997</v>
      </c>
      <c r="B274" s="1">
        <f>DATE(2010,6,13) + TIME(7,18,7)</f>
        <v>40342.304247685184</v>
      </c>
      <c r="C274">
        <v>80</v>
      </c>
      <c r="D274">
        <v>79.899574279999996</v>
      </c>
      <c r="E274">
        <v>50</v>
      </c>
      <c r="F274">
        <v>14.991602898</v>
      </c>
      <c r="G274">
        <v>1391.1228027</v>
      </c>
      <c r="H274">
        <v>1377.8909911999999</v>
      </c>
      <c r="I274">
        <v>1250.8554687999999</v>
      </c>
      <c r="J274">
        <v>1211.4193115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43.797583000000003</v>
      </c>
      <c r="B275" s="1">
        <f>DATE(2010,6,13) + TIME(19,8,31)</f>
        <v>40342.797581018516</v>
      </c>
      <c r="C275">
        <v>80</v>
      </c>
      <c r="D275">
        <v>79.899612426999994</v>
      </c>
      <c r="E275">
        <v>50</v>
      </c>
      <c r="F275">
        <v>14.991650581</v>
      </c>
      <c r="G275">
        <v>1391.0443115</v>
      </c>
      <c r="H275">
        <v>1377.8183594</v>
      </c>
      <c r="I275">
        <v>1250.8626709</v>
      </c>
      <c r="J275">
        <v>1211.4266356999999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44.297387000000001</v>
      </c>
      <c r="B276" s="1">
        <f>DATE(2010,6,14) + TIME(7,8,14)</f>
        <v>40343.297384259262</v>
      </c>
      <c r="C276">
        <v>80</v>
      </c>
      <c r="D276">
        <v>79.899665833</v>
      </c>
      <c r="E276">
        <v>50</v>
      </c>
      <c r="F276">
        <v>14.991699218999999</v>
      </c>
      <c r="G276">
        <v>1390.965332</v>
      </c>
      <c r="H276">
        <v>1377.7453613</v>
      </c>
      <c r="I276">
        <v>1250.8701172000001</v>
      </c>
      <c r="J276">
        <v>1211.434082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44.798504999999999</v>
      </c>
      <c r="B277" s="1">
        <f>DATE(2010,6,14) + TIME(19,9,50)</f>
        <v>40343.798495370371</v>
      </c>
      <c r="C277">
        <v>80</v>
      </c>
      <c r="D277">
        <v>79.899711608999993</v>
      </c>
      <c r="E277">
        <v>50</v>
      </c>
      <c r="F277">
        <v>14.991748810000001</v>
      </c>
      <c r="G277">
        <v>1390.8863524999999</v>
      </c>
      <c r="H277">
        <v>1377.6722411999999</v>
      </c>
      <c r="I277">
        <v>1250.8775635</v>
      </c>
      <c r="J277">
        <v>1211.4416504000001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45.301808000000001</v>
      </c>
      <c r="B278" s="1">
        <f>DATE(2010,6,15) + TIME(7,14,36)</f>
        <v>40344.301805555559</v>
      </c>
      <c r="C278">
        <v>80</v>
      </c>
      <c r="D278">
        <v>79.899757385000001</v>
      </c>
      <c r="E278">
        <v>50</v>
      </c>
      <c r="F278">
        <v>14.991796494000001</v>
      </c>
      <c r="G278">
        <v>1390.8077393000001</v>
      </c>
      <c r="H278">
        <v>1377.5996094</v>
      </c>
      <c r="I278">
        <v>1250.8852539</v>
      </c>
      <c r="J278">
        <v>1211.4492187999999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45.554380000000002</v>
      </c>
      <c r="B279" s="1">
        <f>DATE(2010,6,15) + TIME(13,18,18)</f>
        <v>40344.554375</v>
      </c>
      <c r="C279">
        <v>80</v>
      </c>
      <c r="D279">
        <v>79.899734496999997</v>
      </c>
      <c r="E279">
        <v>50</v>
      </c>
      <c r="F279">
        <v>14.991827011</v>
      </c>
      <c r="G279">
        <v>1390.7478027</v>
      </c>
      <c r="H279">
        <v>1377.5451660000001</v>
      </c>
      <c r="I279">
        <v>1250.8892822</v>
      </c>
      <c r="J279">
        <v>1211.4533690999999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45.806953</v>
      </c>
      <c r="B280" s="1">
        <f>DATE(2010,6,15) + TIME(19,22,0)</f>
        <v>40344.806944444441</v>
      </c>
      <c r="C280">
        <v>80</v>
      </c>
      <c r="D280">
        <v>79.899742126000007</v>
      </c>
      <c r="E280">
        <v>50</v>
      </c>
      <c r="F280">
        <v>14.991855620999999</v>
      </c>
      <c r="G280">
        <v>1390.7011719</v>
      </c>
      <c r="H280">
        <v>1377.5015868999999</v>
      </c>
      <c r="I280">
        <v>1250.8936768000001</v>
      </c>
      <c r="J280">
        <v>1211.4577637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46.059525000000001</v>
      </c>
      <c r="B281" s="1">
        <f>DATE(2010,6,16) + TIME(1,25,42)</f>
        <v>40345.059513888889</v>
      </c>
      <c r="C281">
        <v>80</v>
      </c>
      <c r="D281">
        <v>79.899772643999995</v>
      </c>
      <c r="E281">
        <v>50</v>
      </c>
      <c r="F281">
        <v>14.991883278</v>
      </c>
      <c r="G281">
        <v>1390.6590576000001</v>
      </c>
      <c r="H281">
        <v>1377.4622803</v>
      </c>
      <c r="I281">
        <v>1250.8980713000001</v>
      </c>
      <c r="J281">
        <v>1211.4621582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46.312097000000001</v>
      </c>
      <c r="B282" s="1">
        <f>DATE(2010,6,16) + TIME(7,29,25)</f>
        <v>40345.312094907407</v>
      </c>
      <c r="C282">
        <v>80</v>
      </c>
      <c r="D282">
        <v>79.899795531999999</v>
      </c>
      <c r="E282">
        <v>50</v>
      </c>
      <c r="F282">
        <v>14.991909027</v>
      </c>
      <c r="G282">
        <v>1390.6186522999999</v>
      </c>
      <c r="H282">
        <v>1377.4246826000001</v>
      </c>
      <c r="I282">
        <v>1250.9024658000001</v>
      </c>
      <c r="J282">
        <v>1211.4665527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46.564669000000002</v>
      </c>
      <c r="B283" s="1">
        <f>DATE(2010,6,16) + TIME(13,33,7)</f>
        <v>40345.564664351848</v>
      </c>
      <c r="C283">
        <v>80</v>
      </c>
      <c r="D283">
        <v>79.899826050000001</v>
      </c>
      <c r="E283">
        <v>50</v>
      </c>
      <c r="F283">
        <v>14.99193573</v>
      </c>
      <c r="G283">
        <v>1390.5791016000001</v>
      </c>
      <c r="H283">
        <v>1377.3879394999999</v>
      </c>
      <c r="I283">
        <v>1250.9067382999999</v>
      </c>
      <c r="J283">
        <v>1211.4709473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46.817241000000003</v>
      </c>
      <c r="B284" s="1">
        <f>DATE(2010,6,16) + TIME(19,36,49)</f>
        <v>40345.817233796297</v>
      </c>
      <c r="C284">
        <v>80</v>
      </c>
      <c r="D284">
        <v>79.899856567</v>
      </c>
      <c r="E284">
        <v>50</v>
      </c>
      <c r="F284">
        <v>14.991960526</v>
      </c>
      <c r="G284">
        <v>1390.5401611</v>
      </c>
      <c r="H284">
        <v>1377.3518065999999</v>
      </c>
      <c r="I284">
        <v>1250.9110106999999</v>
      </c>
      <c r="J284">
        <v>1211.4752197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47.069813000000003</v>
      </c>
      <c r="B285" s="1">
        <f>DATE(2010,6,17) + TIME(1,40,31)</f>
        <v>40346.069803240738</v>
      </c>
      <c r="C285">
        <v>80</v>
      </c>
      <c r="D285">
        <v>79.899887085000003</v>
      </c>
      <c r="E285">
        <v>50</v>
      </c>
      <c r="F285">
        <v>14.991985321</v>
      </c>
      <c r="G285">
        <v>1390.5015868999999</v>
      </c>
      <c r="H285">
        <v>1377.315918</v>
      </c>
      <c r="I285">
        <v>1250.9152832</v>
      </c>
      <c r="J285">
        <v>1211.4794922000001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47.322384999999997</v>
      </c>
      <c r="B286" s="1">
        <f>DATE(2010,6,17) + TIME(7,44,14)</f>
        <v>40346.322384259256</v>
      </c>
      <c r="C286">
        <v>80</v>
      </c>
      <c r="D286">
        <v>79.899917603000006</v>
      </c>
      <c r="E286">
        <v>50</v>
      </c>
      <c r="F286">
        <v>14.992010117</v>
      </c>
      <c r="G286">
        <v>1390.4633789</v>
      </c>
      <c r="H286">
        <v>1377.2803954999999</v>
      </c>
      <c r="I286">
        <v>1250.9194336</v>
      </c>
      <c r="J286">
        <v>1211.4836425999999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47.827530000000003</v>
      </c>
      <c r="B287" s="1">
        <f>DATE(2010,6,17) + TIME(19,51,38)</f>
        <v>40346.827523148146</v>
      </c>
      <c r="C287">
        <v>80</v>
      </c>
      <c r="D287">
        <v>79.900024414000001</v>
      </c>
      <c r="E287">
        <v>50</v>
      </c>
      <c r="F287">
        <v>14.992048263999999</v>
      </c>
      <c r="G287">
        <v>1390.4121094</v>
      </c>
      <c r="H287">
        <v>1377.2320557</v>
      </c>
      <c r="I287">
        <v>1250.9267577999999</v>
      </c>
      <c r="J287">
        <v>1211.4909668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48.333905999999999</v>
      </c>
      <c r="B288" s="1">
        <f>DATE(2010,6,18) + TIME(8,0,49)</f>
        <v>40347.33390046296</v>
      </c>
      <c r="C288">
        <v>80</v>
      </c>
      <c r="D288">
        <v>79.900077820000007</v>
      </c>
      <c r="E288">
        <v>50</v>
      </c>
      <c r="F288">
        <v>14.992090225</v>
      </c>
      <c r="G288">
        <v>1390.3436279</v>
      </c>
      <c r="H288">
        <v>1377.1687012</v>
      </c>
      <c r="I288">
        <v>1250.9339600000001</v>
      </c>
      <c r="J288">
        <v>1211.4981689000001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48.844611999999998</v>
      </c>
      <c r="B289" s="1">
        <f>DATE(2010,6,18) + TIME(20,16,14)</f>
        <v>40347.844606481478</v>
      </c>
      <c r="C289">
        <v>80</v>
      </c>
      <c r="D289">
        <v>79.900131225999999</v>
      </c>
      <c r="E289">
        <v>50</v>
      </c>
      <c r="F289">
        <v>14.992133141</v>
      </c>
      <c r="G289">
        <v>1390.2716064000001</v>
      </c>
      <c r="H289">
        <v>1377.1018065999999</v>
      </c>
      <c r="I289">
        <v>1250.9412841999999</v>
      </c>
      <c r="J289">
        <v>1211.5056152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49.360861</v>
      </c>
      <c r="B290" s="1">
        <f>DATE(2010,6,19) + TIME(8,39,38)</f>
        <v>40348.360856481479</v>
      </c>
      <c r="C290">
        <v>80</v>
      </c>
      <c r="D290">
        <v>79.900177002000007</v>
      </c>
      <c r="E290">
        <v>50</v>
      </c>
      <c r="F290">
        <v>14.992177010000001</v>
      </c>
      <c r="G290">
        <v>1390.1983643000001</v>
      </c>
      <c r="H290">
        <v>1377.0339355000001</v>
      </c>
      <c r="I290">
        <v>1250.9489745999999</v>
      </c>
      <c r="J290">
        <v>1211.5133057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49.883778999999997</v>
      </c>
      <c r="B291" s="1">
        <f>DATE(2010,6,19) + TIME(21,12,38)</f>
        <v>40348.883773148147</v>
      </c>
      <c r="C291">
        <v>80</v>
      </c>
      <c r="D291">
        <v>79.900230407999999</v>
      </c>
      <c r="E291">
        <v>50</v>
      </c>
      <c r="F291">
        <v>14.992221832</v>
      </c>
      <c r="G291">
        <v>1390.1247559000001</v>
      </c>
      <c r="H291">
        <v>1376.965332</v>
      </c>
      <c r="I291">
        <v>1250.9567870999999</v>
      </c>
      <c r="J291">
        <v>1211.5212402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50.414523000000003</v>
      </c>
      <c r="B292" s="1">
        <f>DATE(2010,6,20) + TIME(9,56,54)</f>
        <v>40349.414513888885</v>
      </c>
      <c r="C292">
        <v>80</v>
      </c>
      <c r="D292">
        <v>79.900291443</v>
      </c>
      <c r="E292">
        <v>50</v>
      </c>
      <c r="F292">
        <v>14.992267609000001</v>
      </c>
      <c r="G292">
        <v>1390.0505370999999</v>
      </c>
      <c r="H292">
        <v>1376.8963623</v>
      </c>
      <c r="I292">
        <v>1250.9649658000001</v>
      </c>
      <c r="J292">
        <v>1211.5294189000001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50.954315000000001</v>
      </c>
      <c r="B293" s="1">
        <f>DATE(2010,6,20) + TIME(22,54,12)</f>
        <v>40349.954305555555</v>
      </c>
      <c r="C293">
        <v>80</v>
      </c>
      <c r="D293">
        <v>79.900344849000007</v>
      </c>
      <c r="E293">
        <v>50</v>
      </c>
      <c r="F293">
        <v>14.992314339</v>
      </c>
      <c r="G293">
        <v>1389.9759521000001</v>
      </c>
      <c r="H293">
        <v>1376.8269043</v>
      </c>
      <c r="I293">
        <v>1250.9733887</v>
      </c>
      <c r="J293">
        <v>1211.5378418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51.500728000000002</v>
      </c>
      <c r="B294" s="1">
        <f>DATE(2010,6,21) + TIME(12,1,2)</f>
        <v>40350.500717592593</v>
      </c>
      <c r="C294">
        <v>80</v>
      </c>
      <c r="D294">
        <v>79.900405883999994</v>
      </c>
      <c r="E294">
        <v>50</v>
      </c>
      <c r="F294">
        <v>14.992360115</v>
      </c>
      <c r="G294">
        <v>1389.9008789</v>
      </c>
      <c r="H294">
        <v>1376.7569579999999</v>
      </c>
      <c r="I294">
        <v>1250.9819336</v>
      </c>
      <c r="J294">
        <v>1211.5465088000001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52.048074</v>
      </c>
      <c r="B295" s="1">
        <f>DATE(2010,6,22) + TIME(1,9,13)</f>
        <v>40351.048067129632</v>
      </c>
      <c r="C295">
        <v>80</v>
      </c>
      <c r="D295">
        <v>79.900466918999996</v>
      </c>
      <c r="E295">
        <v>50</v>
      </c>
      <c r="F295">
        <v>14.992406845</v>
      </c>
      <c r="G295">
        <v>1389.8258057</v>
      </c>
      <c r="H295">
        <v>1376.6870117000001</v>
      </c>
      <c r="I295">
        <v>1250.9906006000001</v>
      </c>
      <c r="J295">
        <v>1211.5551757999999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52.597313</v>
      </c>
      <c r="B296" s="1">
        <f>DATE(2010,6,22) + TIME(14,20,7)</f>
        <v>40351.597303240742</v>
      </c>
      <c r="C296">
        <v>80</v>
      </c>
      <c r="D296">
        <v>79.900527953999998</v>
      </c>
      <c r="E296">
        <v>50</v>
      </c>
      <c r="F296">
        <v>14.992453575000001</v>
      </c>
      <c r="G296">
        <v>1389.7510986</v>
      </c>
      <c r="H296">
        <v>1376.6174315999999</v>
      </c>
      <c r="I296">
        <v>1250.9993896000001</v>
      </c>
      <c r="J296">
        <v>1211.5639647999999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52.873359000000001</v>
      </c>
      <c r="B297" s="1">
        <f>DATE(2010,6,22) + TIME(20,57,38)</f>
        <v>40351.873356481483</v>
      </c>
      <c r="C297">
        <v>80</v>
      </c>
      <c r="D297">
        <v>79.900512695000003</v>
      </c>
      <c r="E297">
        <v>50</v>
      </c>
      <c r="F297">
        <v>14.992482185</v>
      </c>
      <c r="G297">
        <v>1389.6945800999999</v>
      </c>
      <c r="H297">
        <v>1376.5655518000001</v>
      </c>
      <c r="I297">
        <v>1251.0042725000001</v>
      </c>
      <c r="J297">
        <v>1211.5688477000001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53.149405000000002</v>
      </c>
      <c r="B298" s="1">
        <f>DATE(2010,6,23) + TIME(3,35,8)</f>
        <v>40352.149398148147</v>
      </c>
      <c r="C298">
        <v>80</v>
      </c>
      <c r="D298">
        <v>79.900535583000007</v>
      </c>
      <c r="E298">
        <v>50</v>
      </c>
      <c r="F298">
        <v>14.992509842</v>
      </c>
      <c r="G298">
        <v>1389.6501464999999</v>
      </c>
      <c r="H298">
        <v>1376.5238036999999</v>
      </c>
      <c r="I298">
        <v>1251.0093993999999</v>
      </c>
      <c r="J298">
        <v>1211.5740966999999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53.425451000000002</v>
      </c>
      <c r="B299" s="1">
        <f>DATE(2010,6,23) + TIME(10,12,38)</f>
        <v>40352.425439814811</v>
      </c>
      <c r="C299">
        <v>80</v>
      </c>
      <c r="D299">
        <v>79.900566100999995</v>
      </c>
      <c r="E299">
        <v>50</v>
      </c>
      <c r="F299">
        <v>14.992536545</v>
      </c>
      <c r="G299">
        <v>1389.6098632999999</v>
      </c>
      <c r="H299">
        <v>1376.4859618999999</v>
      </c>
      <c r="I299">
        <v>1251.0145264</v>
      </c>
      <c r="J299">
        <v>1211.5792236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53.701497000000003</v>
      </c>
      <c r="B300" s="1">
        <f>DATE(2010,6,23) + TIME(16,50,9)</f>
        <v>40352.701493055552</v>
      </c>
      <c r="C300">
        <v>80</v>
      </c>
      <c r="D300">
        <v>79.900604247999993</v>
      </c>
      <c r="E300">
        <v>50</v>
      </c>
      <c r="F300">
        <v>14.992562294000001</v>
      </c>
      <c r="G300">
        <v>1389.5712891000001</v>
      </c>
      <c r="H300">
        <v>1376.4498291</v>
      </c>
      <c r="I300">
        <v>1251.0196533000001</v>
      </c>
      <c r="J300">
        <v>1211.5843506000001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53.977542999999997</v>
      </c>
      <c r="B301" s="1">
        <f>DATE(2010,6,23) + TIME(23,27,39)</f>
        <v>40352.977534722224</v>
      </c>
      <c r="C301">
        <v>80</v>
      </c>
      <c r="D301">
        <v>79.900642395000006</v>
      </c>
      <c r="E301">
        <v>50</v>
      </c>
      <c r="F301">
        <v>14.992587090000001</v>
      </c>
      <c r="G301">
        <v>1389.5335693</v>
      </c>
      <c r="H301">
        <v>1376.4145507999999</v>
      </c>
      <c r="I301">
        <v>1251.0246582</v>
      </c>
      <c r="J301">
        <v>1211.5894774999999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54.253588999999998</v>
      </c>
      <c r="B302" s="1">
        <f>DATE(2010,6,24) + TIME(6,5,10)</f>
        <v>40353.253587962965</v>
      </c>
      <c r="C302">
        <v>80</v>
      </c>
      <c r="D302">
        <v>79.900680542000003</v>
      </c>
      <c r="E302">
        <v>50</v>
      </c>
      <c r="F302">
        <v>14.992610931</v>
      </c>
      <c r="G302">
        <v>1389.4963379000001</v>
      </c>
      <c r="H302">
        <v>1376.3796387</v>
      </c>
      <c r="I302">
        <v>1251.0296631000001</v>
      </c>
      <c r="J302">
        <v>1211.5943603999999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54.529634999999999</v>
      </c>
      <c r="B303" s="1">
        <f>DATE(2010,6,24) + TIME(12,42,40)</f>
        <v>40353.529629629629</v>
      </c>
      <c r="C303">
        <v>80</v>
      </c>
      <c r="D303">
        <v>79.900711060000006</v>
      </c>
      <c r="E303">
        <v>50</v>
      </c>
      <c r="F303">
        <v>14.992634773000001</v>
      </c>
      <c r="G303">
        <v>1389.4594727000001</v>
      </c>
      <c r="H303">
        <v>1376.3452147999999</v>
      </c>
      <c r="I303">
        <v>1251.0345459</v>
      </c>
      <c r="J303">
        <v>1211.5992432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55.081727000000001</v>
      </c>
      <c r="B304" s="1">
        <f>DATE(2010,6,25) + TIME(1,57,41)</f>
        <v>40354.081724537034</v>
      </c>
      <c r="C304">
        <v>80</v>
      </c>
      <c r="D304">
        <v>79.900833129999995</v>
      </c>
      <c r="E304">
        <v>50</v>
      </c>
      <c r="F304">
        <v>14.992671967</v>
      </c>
      <c r="G304">
        <v>1389.4097899999999</v>
      </c>
      <c r="H304">
        <v>1376.2979736</v>
      </c>
      <c r="I304">
        <v>1251.0429687999999</v>
      </c>
      <c r="J304">
        <v>1211.6076660000001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55.634436000000001</v>
      </c>
      <c r="B305" s="1">
        <f>DATE(2010,6,25) + TIME(15,13,35)</f>
        <v>40354.634432870371</v>
      </c>
      <c r="C305">
        <v>80</v>
      </c>
      <c r="D305">
        <v>79.900901794000006</v>
      </c>
      <c r="E305">
        <v>50</v>
      </c>
      <c r="F305">
        <v>14.992712020999999</v>
      </c>
      <c r="G305">
        <v>1389.3442382999999</v>
      </c>
      <c r="H305">
        <v>1376.2368164</v>
      </c>
      <c r="I305">
        <v>1251.0511475000001</v>
      </c>
      <c r="J305">
        <v>1211.6159668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56.191372000000001</v>
      </c>
      <c r="B306" s="1">
        <f>DATE(2010,6,26) + TIME(4,35,34)</f>
        <v>40355.191365740742</v>
      </c>
      <c r="C306">
        <v>80</v>
      </c>
      <c r="D306">
        <v>79.900962829999997</v>
      </c>
      <c r="E306">
        <v>50</v>
      </c>
      <c r="F306">
        <v>14.992753983</v>
      </c>
      <c r="G306">
        <v>1389.2750243999999</v>
      </c>
      <c r="H306">
        <v>1376.1722411999999</v>
      </c>
      <c r="I306">
        <v>1251.0596923999999</v>
      </c>
      <c r="J306">
        <v>1211.6246338000001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56.753900000000002</v>
      </c>
      <c r="B307" s="1">
        <f>DATE(2010,6,26) + TIME(18,5,36)</f>
        <v>40355.753888888888</v>
      </c>
      <c r="C307">
        <v>80</v>
      </c>
      <c r="D307">
        <v>79.901023864999999</v>
      </c>
      <c r="E307">
        <v>50</v>
      </c>
      <c r="F307">
        <v>14.992795943999999</v>
      </c>
      <c r="G307">
        <v>1389.2049560999999</v>
      </c>
      <c r="H307">
        <v>1376.1066894999999</v>
      </c>
      <c r="I307">
        <v>1251.0686035000001</v>
      </c>
      <c r="J307">
        <v>1211.6335449000001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57.323287000000001</v>
      </c>
      <c r="B308" s="1">
        <f>DATE(2010,6,27) + TIME(7,45,31)</f>
        <v>40356.323275462964</v>
      </c>
      <c r="C308">
        <v>80</v>
      </c>
      <c r="D308">
        <v>79.901092528999996</v>
      </c>
      <c r="E308">
        <v>50</v>
      </c>
      <c r="F308">
        <v>14.992839813</v>
      </c>
      <c r="G308">
        <v>1389.1343993999999</v>
      </c>
      <c r="H308">
        <v>1376.0405272999999</v>
      </c>
      <c r="I308">
        <v>1251.0778809000001</v>
      </c>
      <c r="J308">
        <v>1211.6428223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57.900823000000003</v>
      </c>
      <c r="B309" s="1">
        <f>DATE(2010,6,27) + TIME(21,37,11)</f>
        <v>40356.900821759256</v>
      </c>
      <c r="C309">
        <v>80</v>
      </c>
      <c r="D309">
        <v>79.901161193999997</v>
      </c>
      <c r="E309">
        <v>50</v>
      </c>
      <c r="F309">
        <v>14.992883682</v>
      </c>
      <c r="G309">
        <v>1389.0633545000001</v>
      </c>
      <c r="H309">
        <v>1375.973999</v>
      </c>
      <c r="I309">
        <v>1251.0872803</v>
      </c>
      <c r="J309">
        <v>1211.6523437999999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58.487856000000001</v>
      </c>
      <c r="B310" s="1">
        <f>DATE(2010,6,28) + TIME(11,42,30)</f>
        <v>40357.487847222219</v>
      </c>
      <c r="C310">
        <v>80</v>
      </c>
      <c r="D310">
        <v>79.901229857999994</v>
      </c>
      <c r="E310">
        <v>50</v>
      </c>
      <c r="F310">
        <v>14.992928505</v>
      </c>
      <c r="G310">
        <v>1388.9918213000001</v>
      </c>
      <c r="H310">
        <v>1375.9069824000001</v>
      </c>
      <c r="I310">
        <v>1251.0970459</v>
      </c>
      <c r="J310">
        <v>1211.6621094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59.081522</v>
      </c>
      <c r="B311" s="1">
        <f>DATE(2010,6,29) + TIME(1,57,23)</f>
        <v>40358.081516203703</v>
      </c>
      <c r="C311">
        <v>80</v>
      </c>
      <c r="D311">
        <v>79.901298522999994</v>
      </c>
      <c r="E311">
        <v>50</v>
      </c>
      <c r="F311">
        <v>14.992973328</v>
      </c>
      <c r="G311">
        <v>1388.9199219</v>
      </c>
      <c r="H311">
        <v>1375.8394774999999</v>
      </c>
      <c r="I311">
        <v>1251.1070557</v>
      </c>
      <c r="J311">
        <v>1211.6719971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59.675516000000002</v>
      </c>
      <c r="B312" s="1">
        <f>DATE(2010,6,29) + TIME(16,12,44)</f>
        <v>40358.675509259258</v>
      </c>
      <c r="C312">
        <v>80</v>
      </c>
      <c r="D312">
        <v>79.901374817000004</v>
      </c>
      <c r="E312">
        <v>50</v>
      </c>
      <c r="F312">
        <v>14.993018149999999</v>
      </c>
      <c r="G312">
        <v>1388.8480225000001</v>
      </c>
      <c r="H312">
        <v>1375.7720947</v>
      </c>
      <c r="I312">
        <v>1251.1170654</v>
      </c>
      <c r="J312">
        <v>1211.6821289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60.270943000000003</v>
      </c>
      <c r="B313" s="1">
        <f>DATE(2010,6,30) + TIME(6,30,9)</f>
        <v>40359.270937499998</v>
      </c>
      <c r="C313">
        <v>80</v>
      </c>
      <c r="D313">
        <v>79.901443481000001</v>
      </c>
      <c r="E313">
        <v>50</v>
      </c>
      <c r="F313">
        <v>14.993062973000001</v>
      </c>
      <c r="G313">
        <v>1388.7764893000001</v>
      </c>
      <c r="H313">
        <v>1375.7049560999999</v>
      </c>
      <c r="I313">
        <v>1251.1273193</v>
      </c>
      <c r="J313">
        <v>1211.6923827999999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60.868848999999997</v>
      </c>
      <c r="B314" s="1">
        <f>DATE(2010,6,30) + TIME(20,51,8)</f>
        <v>40359.868842592594</v>
      </c>
      <c r="C314">
        <v>80</v>
      </c>
      <c r="D314">
        <v>79.901519774999997</v>
      </c>
      <c r="E314">
        <v>50</v>
      </c>
      <c r="F314">
        <v>14.993107796</v>
      </c>
      <c r="G314">
        <v>1388.7054443</v>
      </c>
      <c r="H314">
        <v>1375.6380615</v>
      </c>
      <c r="I314">
        <v>1251.1375731999999</v>
      </c>
      <c r="J314">
        <v>1211.7027588000001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61</v>
      </c>
      <c r="B315" s="1">
        <f>DATE(2010,7,1) + TIME(0,0,0)</f>
        <v>40360</v>
      </c>
      <c r="C315">
        <v>80</v>
      </c>
      <c r="D315">
        <v>79.901489257999998</v>
      </c>
      <c r="E315">
        <v>50</v>
      </c>
      <c r="F315">
        <v>14.993122101000001</v>
      </c>
      <c r="G315">
        <v>1388.6716309000001</v>
      </c>
      <c r="H315">
        <v>1375.6077881000001</v>
      </c>
      <c r="I315">
        <v>1251.1401367000001</v>
      </c>
      <c r="J315">
        <v>1211.7052002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61.598874000000002</v>
      </c>
      <c r="B316" s="1">
        <f>DATE(2010,7,1) + TIME(14,22,22)</f>
        <v>40360.598865740743</v>
      </c>
      <c r="C316">
        <v>80</v>
      </c>
      <c r="D316">
        <v>79.901603699000006</v>
      </c>
      <c r="E316">
        <v>50</v>
      </c>
      <c r="F316">
        <v>14.993165016000001</v>
      </c>
      <c r="G316">
        <v>1388.614624</v>
      </c>
      <c r="H316">
        <v>1375.5526123</v>
      </c>
      <c r="I316">
        <v>1251.1508789</v>
      </c>
      <c r="J316">
        <v>1211.7160644999999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62.198124</v>
      </c>
      <c r="B317" s="1">
        <f>DATE(2010,7,2) + TIME(4,45,17)</f>
        <v>40361.198113425926</v>
      </c>
      <c r="C317">
        <v>80</v>
      </c>
      <c r="D317">
        <v>79.901687621999997</v>
      </c>
      <c r="E317">
        <v>50</v>
      </c>
      <c r="F317">
        <v>14.993207932000001</v>
      </c>
      <c r="G317">
        <v>1388.5477295000001</v>
      </c>
      <c r="H317">
        <v>1375.4897461</v>
      </c>
      <c r="I317">
        <v>1251.1612548999999</v>
      </c>
      <c r="J317">
        <v>1211.7264404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62.798707999999998</v>
      </c>
      <c r="B318" s="1">
        <f>DATE(2010,7,2) + TIME(19,10,8)</f>
        <v>40361.798703703702</v>
      </c>
      <c r="C318">
        <v>80</v>
      </c>
      <c r="D318">
        <v>79.901763915999993</v>
      </c>
      <c r="E318">
        <v>50</v>
      </c>
      <c r="F318">
        <v>14.993250847000001</v>
      </c>
      <c r="G318">
        <v>1388.4790039</v>
      </c>
      <c r="H318">
        <v>1375.4250488</v>
      </c>
      <c r="I318">
        <v>1251.1717529</v>
      </c>
      <c r="J318">
        <v>1211.7369385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63.402287000000001</v>
      </c>
      <c r="B319" s="1">
        <f>DATE(2010,7,3) + TIME(9,39,17)</f>
        <v>40362.402280092596</v>
      </c>
      <c r="C319">
        <v>80</v>
      </c>
      <c r="D319">
        <v>79.901840210000003</v>
      </c>
      <c r="E319">
        <v>50</v>
      </c>
      <c r="F319">
        <v>14.993293762</v>
      </c>
      <c r="G319">
        <v>1388.4101562000001</v>
      </c>
      <c r="H319">
        <v>1375.3602295000001</v>
      </c>
      <c r="I319">
        <v>1251.182251</v>
      </c>
      <c r="J319">
        <v>1211.7475586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64.010222999999996</v>
      </c>
      <c r="B320" s="1">
        <f>DATE(2010,7,4) + TIME(0,14,43)</f>
        <v>40363.01021990741</v>
      </c>
      <c r="C320">
        <v>80</v>
      </c>
      <c r="D320">
        <v>79.901916503999999</v>
      </c>
      <c r="E320">
        <v>50</v>
      </c>
      <c r="F320">
        <v>14.993337630999999</v>
      </c>
      <c r="G320">
        <v>1388.3414307</v>
      </c>
      <c r="H320">
        <v>1375.2954102000001</v>
      </c>
      <c r="I320">
        <v>1251.1931152</v>
      </c>
      <c r="J320">
        <v>1211.7583007999999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64.623617999999993</v>
      </c>
      <c r="B321" s="1">
        <f>DATE(2010,7,4) + TIME(14,58,0)</f>
        <v>40363.623611111114</v>
      </c>
      <c r="C321">
        <v>80</v>
      </c>
      <c r="D321">
        <v>79.902000427000004</v>
      </c>
      <c r="E321">
        <v>50</v>
      </c>
      <c r="F321">
        <v>14.993380546999999</v>
      </c>
      <c r="G321">
        <v>1388.2727050999999</v>
      </c>
      <c r="H321">
        <v>1375.2307129000001</v>
      </c>
      <c r="I321">
        <v>1251.2039795000001</v>
      </c>
      <c r="J321">
        <v>1211.7692870999999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65.243906999999993</v>
      </c>
      <c r="B322" s="1">
        <f>DATE(2010,7,5) + TIME(5,51,13)</f>
        <v>40364.243900462963</v>
      </c>
      <c r="C322">
        <v>80</v>
      </c>
      <c r="D322">
        <v>79.902076721</v>
      </c>
      <c r="E322">
        <v>50</v>
      </c>
      <c r="F322">
        <v>14.993424416</v>
      </c>
      <c r="G322">
        <v>1388.2038574000001</v>
      </c>
      <c r="H322">
        <v>1375.1657714999999</v>
      </c>
      <c r="I322">
        <v>1251.2150879000001</v>
      </c>
      <c r="J322">
        <v>1211.7803954999999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65.872107</v>
      </c>
      <c r="B323" s="1">
        <f>DATE(2010,7,5) + TIME(20,55,50)</f>
        <v>40364.872106481482</v>
      </c>
      <c r="C323">
        <v>80</v>
      </c>
      <c r="D323">
        <v>79.902160644999995</v>
      </c>
      <c r="E323">
        <v>50</v>
      </c>
      <c r="F323">
        <v>14.993468285000001</v>
      </c>
      <c r="G323">
        <v>1388.1348877</v>
      </c>
      <c r="H323">
        <v>1375.1007079999999</v>
      </c>
      <c r="I323">
        <v>1251.2264404</v>
      </c>
      <c r="J323">
        <v>1211.7917480000001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66.507407000000001</v>
      </c>
      <c r="B324" s="1">
        <f>DATE(2010,7,6) + TIME(12,10,39)</f>
        <v>40365.507395833331</v>
      </c>
      <c r="C324">
        <v>80</v>
      </c>
      <c r="D324">
        <v>79.902244568</v>
      </c>
      <c r="E324">
        <v>50</v>
      </c>
      <c r="F324">
        <v>14.993512153999999</v>
      </c>
      <c r="G324">
        <v>1388.0656738</v>
      </c>
      <c r="H324">
        <v>1375.0352783000001</v>
      </c>
      <c r="I324">
        <v>1251.2379149999999</v>
      </c>
      <c r="J324">
        <v>1211.8033447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66.827709999999996</v>
      </c>
      <c r="B325" s="1">
        <f>DATE(2010,7,6) + TIME(19,51,54)</f>
        <v>40365.827708333331</v>
      </c>
      <c r="C325">
        <v>80</v>
      </c>
      <c r="D325">
        <v>79.902244568</v>
      </c>
      <c r="E325">
        <v>50</v>
      </c>
      <c r="F325">
        <v>14.99353981</v>
      </c>
      <c r="G325">
        <v>1388.0137939000001</v>
      </c>
      <c r="H325">
        <v>1374.9870605000001</v>
      </c>
      <c r="I325">
        <v>1251.2445068</v>
      </c>
      <c r="J325">
        <v>1211.8099365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67.148013000000006</v>
      </c>
      <c r="B326" s="1">
        <f>DATE(2010,7,7) + TIME(3,33,8)</f>
        <v>40366.148009259261</v>
      </c>
      <c r="C326">
        <v>80</v>
      </c>
      <c r="D326">
        <v>79.902282714999998</v>
      </c>
      <c r="E326">
        <v>50</v>
      </c>
      <c r="F326">
        <v>14.993566512999999</v>
      </c>
      <c r="G326">
        <v>1387.972168</v>
      </c>
      <c r="H326">
        <v>1374.9475098</v>
      </c>
      <c r="I326">
        <v>1251.2514647999999</v>
      </c>
      <c r="J326">
        <v>1211.8168945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67.468316999999999</v>
      </c>
      <c r="B327" s="1">
        <f>DATE(2010,7,7) + TIME(11,14,22)</f>
        <v>40366.468310185184</v>
      </c>
      <c r="C327">
        <v>80</v>
      </c>
      <c r="D327">
        <v>79.902328491000006</v>
      </c>
      <c r="E327">
        <v>50</v>
      </c>
      <c r="F327">
        <v>14.993592262</v>
      </c>
      <c r="G327">
        <v>1387.9343262</v>
      </c>
      <c r="H327">
        <v>1374.9116211</v>
      </c>
      <c r="I327">
        <v>1251.2584228999999</v>
      </c>
      <c r="J327">
        <v>1211.8238524999999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67.788619999999995</v>
      </c>
      <c r="B328" s="1">
        <f>DATE(2010,7,7) + TIME(18,55,36)</f>
        <v>40366.788611111115</v>
      </c>
      <c r="C328">
        <v>80</v>
      </c>
      <c r="D328">
        <v>79.902374268000003</v>
      </c>
      <c r="E328">
        <v>50</v>
      </c>
      <c r="F328">
        <v>14.993616104000001</v>
      </c>
      <c r="G328">
        <v>1387.8980713000001</v>
      </c>
      <c r="H328">
        <v>1374.8773193</v>
      </c>
      <c r="I328">
        <v>1251.2651367000001</v>
      </c>
      <c r="J328">
        <v>1211.8305664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68.108923000000004</v>
      </c>
      <c r="B329" s="1">
        <f>DATE(2010,7,8) + TIME(2,36,50)</f>
        <v>40367.108912037038</v>
      </c>
      <c r="C329">
        <v>80</v>
      </c>
      <c r="D329">
        <v>79.902420043999996</v>
      </c>
      <c r="E329">
        <v>50</v>
      </c>
      <c r="F329">
        <v>14.993639946</v>
      </c>
      <c r="G329">
        <v>1387.8626709</v>
      </c>
      <c r="H329">
        <v>1374.84375</v>
      </c>
      <c r="I329">
        <v>1251.2717285000001</v>
      </c>
      <c r="J329">
        <v>1211.8371582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68.749529999999993</v>
      </c>
      <c r="B330" s="1">
        <f>DATE(2010,7,8) + TIME(17,59,19)</f>
        <v>40367.749525462961</v>
      </c>
      <c r="C330">
        <v>80</v>
      </c>
      <c r="D330">
        <v>79.902549743999998</v>
      </c>
      <c r="E330">
        <v>50</v>
      </c>
      <c r="F330">
        <v>14.993675231999999</v>
      </c>
      <c r="G330">
        <v>1387.8145752</v>
      </c>
      <c r="H330">
        <v>1374.7974853999999</v>
      </c>
      <c r="I330">
        <v>1251.2825928</v>
      </c>
      <c r="J330">
        <v>1211.8480225000001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69.390842000000006</v>
      </c>
      <c r="B331" s="1">
        <f>DATE(2010,7,9) + TIME(9,22,48)</f>
        <v>40368.390833333331</v>
      </c>
      <c r="C331">
        <v>80</v>
      </c>
      <c r="D331">
        <v>79.902641295999999</v>
      </c>
      <c r="E331">
        <v>50</v>
      </c>
      <c r="F331">
        <v>14.993714333</v>
      </c>
      <c r="G331">
        <v>1387.7523193</v>
      </c>
      <c r="H331">
        <v>1374.7387695</v>
      </c>
      <c r="I331">
        <v>1251.2933350000001</v>
      </c>
      <c r="J331">
        <v>1211.8588867000001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70.034610999999998</v>
      </c>
      <c r="B332" s="1">
        <f>DATE(2010,7,10) + TIME(0,49,50)</f>
        <v>40369.03460648148</v>
      </c>
      <c r="C332">
        <v>80</v>
      </c>
      <c r="D332">
        <v>79.902725219999994</v>
      </c>
      <c r="E332">
        <v>50</v>
      </c>
      <c r="F332">
        <v>14.993754386999999</v>
      </c>
      <c r="G332">
        <v>1387.6868896000001</v>
      </c>
      <c r="H332">
        <v>1374.6770019999999</v>
      </c>
      <c r="I332">
        <v>1251.3046875</v>
      </c>
      <c r="J332">
        <v>1211.8702393000001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70.67953</v>
      </c>
      <c r="B333" s="1">
        <f>DATE(2010,7,10) + TIME(16,18,31)</f>
        <v>40369.679525462961</v>
      </c>
      <c r="C333">
        <v>80</v>
      </c>
      <c r="D333">
        <v>79.902801514000004</v>
      </c>
      <c r="E333">
        <v>50</v>
      </c>
      <c r="F333">
        <v>14.993795394999999</v>
      </c>
      <c r="G333">
        <v>1387.6207274999999</v>
      </c>
      <c r="H333">
        <v>1374.6143798999999</v>
      </c>
      <c r="I333">
        <v>1251.3164062000001</v>
      </c>
      <c r="J333">
        <v>1211.8819579999999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71.327163999999996</v>
      </c>
      <c r="B334" s="1">
        <f>DATE(2010,7,11) + TIME(7,51,6)</f>
        <v>40370.327152777776</v>
      </c>
      <c r="C334">
        <v>80</v>
      </c>
      <c r="D334">
        <v>79.902885436999995</v>
      </c>
      <c r="E334">
        <v>50</v>
      </c>
      <c r="F334">
        <v>14.993837357</v>
      </c>
      <c r="G334">
        <v>1387.5546875</v>
      </c>
      <c r="H334">
        <v>1374.5517577999999</v>
      </c>
      <c r="I334">
        <v>1251.3284911999999</v>
      </c>
      <c r="J334">
        <v>1211.894043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71.979107999999997</v>
      </c>
      <c r="B335" s="1">
        <f>DATE(2010,7,11) + TIME(23,29,54)</f>
        <v>40370.979097222225</v>
      </c>
      <c r="C335">
        <v>80</v>
      </c>
      <c r="D335">
        <v>79.902976989999999</v>
      </c>
      <c r="E335">
        <v>50</v>
      </c>
      <c r="F335">
        <v>14.993879317999999</v>
      </c>
      <c r="G335">
        <v>1387.4885254000001</v>
      </c>
      <c r="H335">
        <v>1374.4891356999999</v>
      </c>
      <c r="I335">
        <v>1251.3408202999999</v>
      </c>
      <c r="J335">
        <v>1211.9063721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72.636899</v>
      </c>
      <c r="B336" s="1">
        <f>DATE(2010,7,12) + TIME(15,17,8)</f>
        <v>40371.63689814815</v>
      </c>
      <c r="C336">
        <v>80</v>
      </c>
      <c r="D336">
        <v>79.903060913000004</v>
      </c>
      <c r="E336">
        <v>50</v>
      </c>
      <c r="F336">
        <v>14.99392128</v>
      </c>
      <c r="G336">
        <v>1387.4224853999999</v>
      </c>
      <c r="H336">
        <v>1374.4265137</v>
      </c>
      <c r="I336">
        <v>1251.3533935999999</v>
      </c>
      <c r="J336">
        <v>1211.9189452999999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73.301247000000004</v>
      </c>
      <c r="B337" s="1">
        <f>DATE(2010,7,13) + TIME(7,13,47)</f>
        <v>40372.301238425927</v>
      </c>
      <c r="C337">
        <v>80</v>
      </c>
      <c r="D337">
        <v>79.903152465999995</v>
      </c>
      <c r="E337">
        <v>50</v>
      </c>
      <c r="F337">
        <v>14.993964195</v>
      </c>
      <c r="G337">
        <v>1387.3563231999999</v>
      </c>
      <c r="H337">
        <v>1374.3637695</v>
      </c>
      <c r="I337">
        <v>1251.3662108999999</v>
      </c>
      <c r="J337">
        <v>1211.9317627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73.973652000000001</v>
      </c>
      <c r="B338" s="1">
        <f>DATE(2010,7,13) + TIME(23,22,3)</f>
        <v>40372.973645833335</v>
      </c>
      <c r="C338">
        <v>80</v>
      </c>
      <c r="D338">
        <v>79.903244018999999</v>
      </c>
      <c r="E338">
        <v>50</v>
      </c>
      <c r="F338">
        <v>14.994006156999999</v>
      </c>
      <c r="G338">
        <v>1387.2900391000001</v>
      </c>
      <c r="H338">
        <v>1374.3007812000001</v>
      </c>
      <c r="I338">
        <v>1251.3792725000001</v>
      </c>
      <c r="J338">
        <v>1211.9448242000001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74.653086999999999</v>
      </c>
      <c r="B339" s="1">
        <f>DATE(2010,7,14) + TIME(15,40,26)</f>
        <v>40373.653078703705</v>
      </c>
      <c r="C339">
        <v>80</v>
      </c>
      <c r="D339">
        <v>79.903335571</v>
      </c>
      <c r="E339">
        <v>50</v>
      </c>
      <c r="F339">
        <v>14.994049071999999</v>
      </c>
      <c r="G339">
        <v>1387.2235106999999</v>
      </c>
      <c r="H339">
        <v>1374.2376709</v>
      </c>
      <c r="I339">
        <v>1251.3925781</v>
      </c>
      <c r="J339">
        <v>1211.9581298999999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75.340334999999996</v>
      </c>
      <c r="B340" s="1">
        <f>DATE(2010,7,15) + TIME(8,10,4)</f>
        <v>40374.340324074074</v>
      </c>
      <c r="C340">
        <v>80</v>
      </c>
      <c r="D340">
        <v>79.903427124000004</v>
      </c>
      <c r="E340">
        <v>50</v>
      </c>
      <c r="F340">
        <v>14.994091987999999</v>
      </c>
      <c r="G340">
        <v>1387.1567382999999</v>
      </c>
      <c r="H340">
        <v>1374.1743164</v>
      </c>
      <c r="I340">
        <v>1251.4061279</v>
      </c>
      <c r="J340">
        <v>1211.9716797000001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75.684886000000006</v>
      </c>
      <c r="B341" s="1">
        <f>DATE(2010,7,15) + TIME(16,26,14)</f>
        <v>40374.684884259259</v>
      </c>
      <c r="C341">
        <v>80</v>
      </c>
      <c r="D341">
        <v>79.903442382999998</v>
      </c>
      <c r="E341">
        <v>50</v>
      </c>
      <c r="F341">
        <v>14.994120598</v>
      </c>
      <c r="G341">
        <v>1387.1072998</v>
      </c>
      <c r="H341">
        <v>1374.1279297000001</v>
      </c>
      <c r="I341">
        <v>1251.4140625</v>
      </c>
      <c r="J341">
        <v>1211.9797363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76.029128999999998</v>
      </c>
      <c r="B342" s="1">
        <f>DATE(2010,7,16) + TIME(0,41,56)</f>
        <v>40375.029120370367</v>
      </c>
      <c r="C342">
        <v>80</v>
      </c>
      <c r="D342">
        <v>79.903480529999996</v>
      </c>
      <c r="E342">
        <v>50</v>
      </c>
      <c r="F342">
        <v>14.994146346999999</v>
      </c>
      <c r="G342">
        <v>1387.0672606999999</v>
      </c>
      <c r="H342">
        <v>1374.0895995999999</v>
      </c>
      <c r="I342">
        <v>1251.4223632999999</v>
      </c>
      <c r="J342">
        <v>1211.9880370999999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76.373372000000003</v>
      </c>
      <c r="B343" s="1">
        <f>DATE(2010,7,16) + TIME(8,57,39)</f>
        <v>40375.373368055552</v>
      </c>
      <c r="C343">
        <v>80</v>
      </c>
      <c r="D343">
        <v>79.903526306000003</v>
      </c>
      <c r="E343">
        <v>50</v>
      </c>
      <c r="F343">
        <v>14.994172096</v>
      </c>
      <c r="G343">
        <v>1387.0308838000001</v>
      </c>
      <c r="H343">
        <v>1374.0549315999999</v>
      </c>
      <c r="I343">
        <v>1251.4305420000001</v>
      </c>
      <c r="J343">
        <v>1211.9962158000001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76.717614999999995</v>
      </c>
      <c r="B344" s="1">
        <f>DATE(2010,7,16) + TIME(17,13,21)</f>
        <v>40375.717604166668</v>
      </c>
      <c r="C344">
        <v>80</v>
      </c>
      <c r="D344">
        <v>79.903579711999996</v>
      </c>
      <c r="E344">
        <v>50</v>
      </c>
      <c r="F344">
        <v>14.994195938000001</v>
      </c>
      <c r="G344">
        <v>1386.9960937999999</v>
      </c>
      <c r="H344">
        <v>1374.0217285000001</v>
      </c>
      <c r="I344">
        <v>1251.4384766000001</v>
      </c>
      <c r="J344">
        <v>1212.0041504000001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77.061858999999998</v>
      </c>
      <c r="B345" s="1">
        <f>DATE(2010,7,17) + TIME(1,29,4)</f>
        <v>40376.061851851853</v>
      </c>
      <c r="C345">
        <v>80</v>
      </c>
      <c r="D345">
        <v>79.903633118000002</v>
      </c>
      <c r="E345">
        <v>50</v>
      </c>
      <c r="F345">
        <v>14.994218826000001</v>
      </c>
      <c r="G345">
        <v>1386.9620361</v>
      </c>
      <c r="H345">
        <v>1373.9892577999999</v>
      </c>
      <c r="I345">
        <v>1251.4461670000001</v>
      </c>
      <c r="J345">
        <v>1212.0118408000001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77.750344999999996</v>
      </c>
      <c r="B346" s="1">
        <f>DATE(2010,7,17) + TIME(18,0,29)</f>
        <v>40376.750335648147</v>
      </c>
      <c r="C346">
        <v>80</v>
      </c>
      <c r="D346">
        <v>79.903770446999999</v>
      </c>
      <c r="E346">
        <v>50</v>
      </c>
      <c r="F346">
        <v>14.994253158999999</v>
      </c>
      <c r="G346">
        <v>1386.9154053</v>
      </c>
      <c r="H346">
        <v>1373.9443358999999</v>
      </c>
      <c r="I346">
        <v>1251.4584961</v>
      </c>
      <c r="J346">
        <v>1212.0241699000001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78.439588000000001</v>
      </c>
      <c r="B347" s="1">
        <f>DATE(2010,7,18) + TIME(10,33,0)</f>
        <v>40377.439583333333</v>
      </c>
      <c r="C347">
        <v>80</v>
      </c>
      <c r="D347">
        <v>79.903869628999999</v>
      </c>
      <c r="E347">
        <v>50</v>
      </c>
      <c r="F347">
        <v>14.994291305999999</v>
      </c>
      <c r="G347">
        <v>1386.8557129000001</v>
      </c>
      <c r="H347">
        <v>1373.8876952999999</v>
      </c>
      <c r="I347">
        <v>1251.4711914</v>
      </c>
      <c r="J347">
        <v>1212.0368652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79.131370000000004</v>
      </c>
      <c r="B348" s="1">
        <f>DATE(2010,7,19) + TIME(3,9,10)</f>
        <v>40378.131365740737</v>
      </c>
      <c r="C348">
        <v>80</v>
      </c>
      <c r="D348">
        <v>79.903961182000003</v>
      </c>
      <c r="E348">
        <v>50</v>
      </c>
      <c r="F348">
        <v>14.994330406</v>
      </c>
      <c r="G348">
        <v>1386.7929687999999</v>
      </c>
      <c r="H348">
        <v>1373.8280029</v>
      </c>
      <c r="I348">
        <v>1251.4844971</v>
      </c>
      <c r="J348">
        <v>1212.0501709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79.825681000000003</v>
      </c>
      <c r="B349" s="1">
        <f>DATE(2010,7,19) + TIME(19,48,58)</f>
        <v>40378.825671296298</v>
      </c>
      <c r="C349">
        <v>80</v>
      </c>
      <c r="D349">
        <v>79.904052734000004</v>
      </c>
      <c r="E349">
        <v>50</v>
      </c>
      <c r="F349">
        <v>14.994371414</v>
      </c>
      <c r="G349">
        <v>1386.7294922000001</v>
      </c>
      <c r="H349">
        <v>1373.7675781</v>
      </c>
      <c r="I349">
        <v>1251.4982910000001</v>
      </c>
      <c r="J349">
        <v>1212.0639647999999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80.524361999999996</v>
      </c>
      <c r="B350" s="1">
        <f>DATE(2010,7,20) + TIME(12,35,4)</f>
        <v>40379.524351851855</v>
      </c>
      <c r="C350">
        <v>80</v>
      </c>
      <c r="D350">
        <v>79.904144286999994</v>
      </c>
      <c r="E350">
        <v>50</v>
      </c>
      <c r="F350">
        <v>14.994412422</v>
      </c>
      <c r="G350">
        <v>1386.6658935999999</v>
      </c>
      <c r="H350">
        <v>1373.7069091999999</v>
      </c>
      <c r="I350">
        <v>1251.5126952999999</v>
      </c>
      <c r="J350">
        <v>1212.0782471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81.229110000000006</v>
      </c>
      <c r="B351" s="1">
        <f>DATE(2010,7,21) + TIME(5,29,55)</f>
        <v>40380.229108796295</v>
      </c>
      <c r="C351">
        <v>80</v>
      </c>
      <c r="D351">
        <v>79.904243468999994</v>
      </c>
      <c r="E351">
        <v>50</v>
      </c>
      <c r="F351">
        <v>14.994454384000001</v>
      </c>
      <c r="G351">
        <v>1386.6020507999999</v>
      </c>
      <c r="H351">
        <v>1373.6461182</v>
      </c>
      <c r="I351">
        <v>1251.5273437999999</v>
      </c>
      <c r="J351">
        <v>1212.0928954999999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81.940366999999995</v>
      </c>
      <c r="B352" s="1">
        <f>DATE(2010,7,21) + TIME(22,34,7)</f>
        <v>40380.940358796295</v>
      </c>
      <c r="C352">
        <v>80</v>
      </c>
      <c r="D352">
        <v>79.904342650999993</v>
      </c>
      <c r="E352">
        <v>50</v>
      </c>
      <c r="F352">
        <v>14.994497299000001</v>
      </c>
      <c r="G352">
        <v>1386.5382079999999</v>
      </c>
      <c r="H352">
        <v>1373.5852050999999</v>
      </c>
      <c r="I352">
        <v>1251.5422363</v>
      </c>
      <c r="J352">
        <v>1212.1079102000001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82.659678</v>
      </c>
      <c r="B353" s="1">
        <f>DATE(2010,7,22) + TIME(15,49,56)</f>
        <v>40381.659675925926</v>
      </c>
      <c r="C353">
        <v>80</v>
      </c>
      <c r="D353">
        <v>79.904441833000007</v>
      </c>
      <c r="E353">
        <v>50</v>
      </c>
      <c r="F353">
        <v>14.994539261</v>
      </c>
      <c r="G353">
        <v>1386.4741211</v>
      </c>
      <c r="H353">
        <v>1373.5240478999999</v>
      </c>
      <c r="I353">
        <v>1251.5574951000001</v>
      </c>
      <c r="J353">
        <v>1212.1231689000001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83.385339000000002</v>
      </c>
      <c r="B354" s="1">
        <f>DATE(2010,7,23) + TIME(9,14,53)</f>
        <v>40382.385335648149</v>
      </c>
      <c r="C354">
        <v>80</v>
      </c>
      <c r="D354">
        <v>79.904541015999996</v>
      </c>
      <c r="E354">
        <v>50</v>
      </c>
      <c r="F354">
        <v>14.994582176</v>
      </c>
      <c r="G354">
        <v>1386.4099120999999</v>
      </c>
      <c r="H354">
        <v>1373.4627685999999</v>
      </c>
      <c r="I354">
        <v>1251.5729980000001</v>
      </c>
      <c r="J354">
        <v>1212.1386719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84.118589999999998</v>
      </c>
      <c r="B355" s="1">
        <f>DATE(2010,7,24) + TIME(2,50,46)</f>
        <v>40383.118587962963</v>
      </c>
      <c r="C355">
        <v>80</v>
      </c>
      <c r="D355">
        <v>79.904640197999996</v>
      </c>
      <c r="E355">
        <v>50</v>
      </c>
      <c r="F355">
        <v>14.994626045</v>
      </c>
      <c r="G355">
        <v>1386.3457031</v>
      </c>
      <c r="H355">
        <v>1373.4013672000001</v>
      </c>
      <c r="I355">
        <v>1251.5888672000001</v>
      </c>
      <c r="J355">
        <v>1212.1545410000001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84.486340999999996</v>
      </c>
      <c r="B356" s="1">
        <f>DATE(2010,7,24) + TIME(11,40,19)</f>
        <v>40383.486331018517</v>
      </c>
      <c r="C356">
        <v>80</v>
      </c>
      <c r="D356">
        <v>79.904663085999999</v>
      </c>
      <c r="E356">
        <v>50</v>
      </c>
      <c r="F356">
        <v>14.994654655</v>
      </c>
      <c r="G356">
        <v>1386.2983397999999</v>
      </c>
      <c r="H356">
        <v>1373.3568115</v>
      </c>
      <c r="I356">
        <v>1251.5985106999999</v>
      </c>
      <c r="J356">
        <v>1212.1641846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84.854093000000006</v>
      </c>
      <c r="B357" s="1">
        <f>DATE(2010,7,24) + TIME(20,29,53)</f>
        <v>40383.854085648149</v>
      </c>
      <c r="C357">
        <v>80</v>
      </c>
      <c r="D357">
        <v>79.904701232999997</v>
      </c>
      <c r="E357">
        <v>50</v>
      </c>
      <c r="F357">
        <v>14.994682312</v>
      </c>
      <c r="G357">
        <v>1386.2596435999999</v>
      </c>
      <c r="H357">
        <v>1373.3195800999999</v>
      </c>
      <c r="I357">
        <v>1251.6085204999999</v>
      </c>
      <c r="J357">
        <v>1212.1740723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85.221845000000002</v>
      </c>
      <c r="B358" s="1">
        <f>DATE(2010,7,25) + TIME(5,19,27)</f>
        <v>40384.22184027778</v>
      </c>
      <c r="C358">
        <v>80</v>
      </c>
      <c r="D358">
        <v>79.904754639000004</v>
      </c>
      <c r="E358">
        <v>50</v>
      </c>
      <c r="F358">
        <v>14.994708061000001</v>
      </c>
      <c r="G358">
        <v>1386.2244873</v>
      </c>
      <c r="H358">
        <v>1373.2857666</v>
      </c>
      <c r="I358">
        <v>1251.6180420000001</v>
      </c>
      <c r="J358">
        <v>1212.1835937999999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85.589596999999998</v>
      </c>
      <c r="B359" s="1">
        <f>DATE(2010,7,25) + TIME(14,9,1)</f>
        <v>40384.589594907404</v>
      </c>
      <c r="C359">
        <v>80</v>
      </c>
      <c r="D359">
        <v>79.904815674000005</v>
      </c>
      <c r="E359">
        <v>50</v>
      </c>
      <c r="F359">
        <v>14.994732857000001</v>
      </c>
      <c r="G359">
        <v>1386.1907959</v>
      </c>
      <c r="H359">
        <v>1373.2535399999999</v>
      </c>
      <c r="I359">
        <v>1251.6273193</v>
      </c>
      <c r="J359">
        <v>1212.1928711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85.957348999999994</v>
      </c>
      <c r="B360" s="1">
        <f>DATE(2010,7,25) + TIME(22,58,34)</f>
        <v>40384.957337962966</v>
      </c>
      <c r="C360">
        <v>80</v>
      </c>
      <c r="D360">
        <v>79.904869079999997</v>
      </c>
      <c r="E360">
        <v>50</v>
      </c>
      <c r="F360">
        <v>14.994756699</v>
      </c>
      <c r="G360">
        <v>1386.1578368999999</v>
      </c>
      <c r="H360">
        <v>1373.2219238</v>
      </c>
      <c r="I360">
        <v>1251.6362305</v>
      </c>
      <c r="J360">
        <v>1212.2017822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86.325101000000004</v>
      </c>
      <c r="B361" s="1">
        <f>DATE(2010,7,26) + TIME(7,48,8)</f>
        <v>40385.325092592589</v>
      </c>
      <c r="C361">
        <v>80</v>
      </c>
      <c r="D361">
        <v>79.904922485</v>
      </c>
      <c r="E361">
        <v>50</v>
      </c>
      <c r="F361">
        <v>14.994779587</v>
      </c>
      <c r="G361">
        <v>1386.1253661999999</v>
      </c>
      <c r="H361">
        <v>1373.190918</v>
      </c>
      <c r="I361">
        <v>1251.6450195</v>
      </c>
      <c r="J361">
        <v>1212.2105713000001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87.060604999999995</v>
      </c>
      <c r="B362" s="1">
        <f>DATE(2010,7,27) + TIME(1,27,16)</f>
        <v>40386.060601851852</v>
      </c>
      <c r="C362">
        <v>80</v>
      </c>
      <c r="D362">
        <v>79.905067443999997</v>
      </c>
      <c r="E362">
        <v>50</v>
      </c>
      <c r="F362">
        <v>14.994814872999999</v>
      </c>
      <c r="G362">
        <v>1386.0804443</v>
      </c>
      <c r="H362">
        <v>1373.1473389</v>
      </c>
      <c r="I362">
        <v>1251.6590576000001</v>
      </c>
      <c r="J362">
        <v>1212.2244873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87.796744000000004</v>
      </c>
      <c r="B363" s="1">
        <f>DATE(2010,7,27) + TIME(19,7,18)</f>
        <v>40386.796736111108</v>
      </c>
      <c r="C363">
        <v>80</v>
      </c>
      <c r="D363">
        <v>79.905166625999996</v>
      </c>
      <c r="E363">
        <v>50</v>
      </c>
      <c r="F363">
        <v>14.994853973</v>
      </c>
      <c r="G363">
        <v>1386.0231934000001</v>
      </c>
      <c r="H363">
        <v>1373.0927733999999</v>
      </c>
      <c r="I363">
        <v>1251.6737060999999</v>
      </c>
      <c r="J363">
        <v>1212.2391356999999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88.538220999999993</v>
      </c>
      <c r="B364" s="1">
        <f>DATE(2010,7,28) + TIME(12,55,2)</f>
        <v>40387.538217592592</v>
      </c>
      <c r="C364">
        <v>80</v>
      </c>
      <c r="D364">
        <v>79.905265807999996</v>
      </c>
      <c r="E364">
        <v>50</v>
      </c>
      <c r="F364">
        <v>14.994895935000001</v>
      </c>
      <c r="G364">
        <v>1385.9627685999999</v>
      </c>
      <c r="H364">
        <v>1373.0350341999999</v>
      </c>
      <c r="I364">
        <v>1251.6894531</v>
      </c>
      <c r="J364">
        <v>1212.2548827999999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89.283811</v>
      </c>
      <c r="B365" s="1">
        <f>DATE(2010,7,29) + TIME(6,48,41)</f>
        <v>40388.283807870372</v>
      </c>
      <c r="C365">
        <v>80</v>
      </c>
      <c r="D365">
        <v>79.905372619999994</v>
      </c>
      <c r="E365">
        <v>50</v>
      </c>
      <c r="F365">
        <v>14.994939803999999</v>
      </c>
      <c r="G365">
        <v>1385.9014893000001</v>
      </c>
      <c r="H365">
        <v>1372.9763184000001</v>
      </c>
      <c r="I365">
        <v>1251.7060547000001</v>
      </c>
      <c r="J365">
        <v>1212.2713623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90.035089999999997</v>
      </c>
      <c r="B366" s="1">
        <f>DATE(2010,7,30) + TIME(0,50,31)</f>
        <v>40389.035081018519</v>
      </c>
      <c r="C366">
        <v>80</v>
      </c>
      <c r="D366">
        <v>79.905471801999994</v>
      </c>
      <c r="E366">
        <v>50</v>
      </c>
      <c r="F366">
        <v>14.99498558</v>
      </c>
      <c r="G366">
        <v>1385.8398437999999</v>
      </c>
      <c r="H366">
        <v>1372.9173584</v>
      </c>
      <c r="I366">
        <v>1251.7231445</v>
      </c>
      <c r="J366">
        <v>1212.2884521000001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90.792308000000006</v>
      </c>
      <c r="B367" s="1">
        <f>DATE(2010,7,30) + TIME(19,0,55)</f>
        <v>40389.792303240742</v>
      </c>
      <c r="C367">
        <v>80</v>
      </c>
      <c r="D367">
        <v>79.905578613000003</v>
      </c>
      <c r="E367">
        <v>50</v>
      </c>
      <c r="F367">
        <v>14.995032309999999</v>
      </c>
      <c r="G367">
        <v>1385.7780762</v>
      </c>
      <c r="H367">
        <v>1372.8580322</v>
      </c>
      <c r="I367">
        <v>1251.7406006000001</v>
      </c>
      <c r="J367">
        <v>1212.3059082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91.557111000000006</v>
      </c>
      <c r="B368" s="1">
        <f>DATE(2010,7,31) + TIME(13,22,14)</f>
        <v>40390.557106481479</v>
      </c>
      <c r="C368">
        <v>80</v>
      </c>
      <c r="D368">
        <v>79.905685425000001</v>
      </c>
      <c r="E368">
        <v>50</v>
      </c>
      <c r="F368">
        <v>14.995080948</v>
      </c>
      <c r="G368">
        <v>1385.7160644999999</v>
      </c>
      <c r="H368">
        <v>1372.7987060999999</v>
      </c>
      <c r="I368">
        <v>1251.7585449000001</v>
      </c>
      <c r="J368">
        <v>1212.3237305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92</v>
      </c>
      <c r="B369" s="1">
        <f>DATE(2010,8,1) + TIME(0,0,0)</f>
        <v>40391</v>
      </c>
      <c r="C369">
        <v>80</v>
      </c>
      <c r="D369">
        <v>79.905715942</v>
      </c>
      <c r="E369">
        <v>50</v>
      </c>
      <c r="F369">
        <v>14.995118141000001</v>
      </c>
      <c r="G369">
        <v>1385.6674805</v>
      </c>
      <c r="H369">
        <v>1372.7524414</v>
      </c>
      <c r="I369">
        <v>1251.7711182</v>
      </c>
      <c r="J369">
        <v>1212.3363036999999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92.770161000000002</v>
      </c>
      <c r="B370" s="1">
        <f>DATE(2010,8,1) + TIME(18,29,1)</f>
        <v>40391.770150462966</v>
      </c>
      <c r="C370">
        <v>80</v>
      </c>
      <c r="D370">
        <v>79.905853270999998</v>
      </c>
      <c r="E370">
        <v>50</v>
      </c>
      <c r="F370">
        <v>14.995165825000001</v>
      </c>
      <c r="G370">
        <v>1385.6143798999999</v>
      </c>
      <c r="H370">
        <v>1372.7009277</v>
      </c>
      <c r="I370">
        <v>1251.7890625</v>
      </c>
      <c r="J370">
        <v>1212.354126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93.551533000000006</v>
      </c>
      <c r="B371" s="1">
        <f>DATE(2010,8,2) + TIME(13,14,12)</f>
        <v>40392.551527777781</v>
      </c>
      <c r="C371">
        <v>80</v>
      </c>
      <c r="D371">
        <v>79.905967712000006</v>
      </c>
      <c r="E371">
        <v>50</v>
      </c>
      <c r="F371">
        <v>14.99521637</v>
      </c>
      <c r="G371">
        <v>1385.5548096</v>
      </c>
      <c r="H371">
        <v>1372.6437988</v>
      </c>
      <c r="I371">
        <v>1251.807251</v>
      </c>
      <c r="J371">
        <v>1212.3721923999999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93.942355000000006</v>
      </c>
      <c r="B372" s="1">
        <f>DATE(2010,8,2) + TIME(22,36,59)</f>
        <v>40392.942349537036</v>
      </c>
      <c r="C372">
        <v>80</v>
      </c>
      <c r="D372">
        <v>79.905990600999999</v>
      </c>
      <c r="E372">
        <v>50</v>
      </c>
      <c r="F372">
        <v>14.995252609</v>
      </c>
      <c r="G372">
        <v>1385.5100098</v>
      </c>
      <c r="H372">
        <v>1372.6014404</v>
      </c>
      <c r="I372">
        <v>1251.8188477000001</v>
      </c>
      <c r="J372">
        <v>1212.3837891000001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94.333177000000006</v>
      </c>
      <c r="B373" s="1">
        <f>DATE(2010,8,3) + TIME(7,59,46)</f>
        <v>40393.333171296297</v>
      </c>
      <c r="C373">
        <v>80</v>
      </c>
      <c r="D373">
        <v>79.906036377000007</v>
      </c>
      <c r="E373">
        <v>50</v>
      </c>
      <c r="F373">
        <v>14.995286942</v>
      </c>
      <c r="G373">
        <v>1385.4729004000001</v>
      </c>
      <c r="H373">
        <v>1372.5655518000001</v>
      </c>
      <c r="I373">
        <v>1251.8305664</v>
      </c>
      <c r="J373">
        <v>1212.3953856999999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94.723999000000006</v>
      </c>
      <c r="B374" s="1">
        <f>DATE(2010,8,3) + TIME(17,22,33)</f>
        <v>40393.723993055559</v>
      </c>
      <c r="C374">
        <v>80</v>
      </c>
      <c r="D374">
        <v>79.906089782999999</v>
      </c>
      <c r="E374">
        <v>50</v>
      </c>
      <c r="F374">
        <v>14.995320319999999</v>
      </c>
      <c r="G374">
        <v>1385.4390868999999</v>
      </c>
      <c r="H374">
        <v>1372.5329589999999</v>
      </c>
      <c r="I374">
        <v>1251.8417969</v>
      </c>
      <c r="J374">
        <v>1212.4066161999999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95.114822000000004</v>
      </c>
      <c r="B375" s="1">
        <f>DATE(2010,8,4) + TIME(2,45,20)</f>
        <v>40394.114814814813</v>
      </c>
      <c r="C375">
        <v>80</v>
      </c>
      <c r="D375">
        <v>79.906150818</v>
      </c>
      <c r="E375">
        <v>50</v>
      </c>
      <c r="F375">
        <v>14.995352745</v>
      </c>
      <c r="G375">
        <v>1385.4066161999999</v>
      </c>
      <c r="H375">
        <v>1372.5017089999999</v>
      </c>
      <c r="I375">
        <v>1251.8526611</v>
      </c>
      <c r="J375">
        <v>1212.4174805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95.505644000000004</v>
      </c>
      <c r="B376" s="1">
        <f>DATE(2010,8,4) + TIME(12,8,7)</f>
        <v>40394.505636574075</v>
      </c>
      <c r="C376">
        <v>80</v>
      </c>
      <c r="D376">
        <v>79.906211853000002</v>
      </c>
      <c r="E376">
        <v>50</v>
      </c>
      <c r="F376">
        <v>14.995386123999999</v>
      </c>
      <c r="G376">
        <v>1385.3748779</v>
      </c>
      <c r="H376">
        <v>1372.4711914</v>
      </c>
      <c r="I376">
        <v>1251.8632812000001</v>
      </c>
      <c r="J376">
        <v>1212.4279785000001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95.896466000000004</v>
      </c>
      <c r="B377" s="1">
        <f>DATE(2010,8,4) + TIME(21,30,54)</f>
        <v>40394.896458333336</v>
      </c>
      <c r="C377">
        <v>80</v>
      </c>
      <c r="D377">
        <v>79.906265258999994</v>
      </c>
      <c r="E377">
        <v>50</v>
      </c>
      <c r="F377">
        <v>14.995418549</v>
      </c>
      <c r="G377">
        <v>1385.3435059000001</v>
      </c>
      <c r="H377">
        <v>1372.4410399999999</v>
      </c>
      <c r="I377">
        <v>1251.8736572</v>
      </c>
      <c r="J377">
        <v>1212.4383545000001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96.287289000000001</v>
      </c>
      <c r="B378" s="1">
        <f>DATE(2010,8,5) + TIME(6,53,41)</f>
        <v>40395.287280092591</v>
      </c>
      <c r="C378">
        <v>80</v>
      </c>
      <c r="D378">
        <v>79.906326293999996</v>
      </c>
      <c r="E378">
        <v>50</v>
      </c>
      <c r="F378">
        <v>14.995451927</v>
      </c>
      <c r="G378">
        <v>1385.3125</v>
      </c>
      <c r="H378">
        <v>1372.4111327999999</v>
      </c>
      <c r="I378">
        <v>1251.8839111</v>
      </c>
      <c r="J378">
        <v>1212.4484863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96.678111000000001</v>
      </c>
      <c r="B379" s="1">
        <f>DATE(2010,8,5) + TIME(16,16,28)</f>
        <v>40395.678101851852</v>
      </c>
      <c r="C379">
        <v>80</v>
      </c>
      <c r="D379">
        <v>79.906379700000002</v>
      </c>
      <c r="E379">
        <v>50</v>
      </c>
      <c r="F379">
        <v>14.995486259</v>
      </c>
      <c r="G379">
        <v>1385.2817382999999</v>
      </c>
      <c r="H379">
        <v>1372.3815918</v>
      </c>
      <c r="I379">
        <v>1251.8941649999999</v>
      </c>
      <c r="J379">
        <v>1212.4587402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97.068933000000001</v>
      </c>
      <c r="B380" s="1">
        <f>DATE(2010,8,6) + TIME(1,39,15)</f>
        <v>40396.068923611114</v>
      </c>
      <c r="C380">
        <v>80</v>
      </c>
      <c r="D380">
        <v>79.906440735000004</v>
      </c>
      <c r="E380">
        <v>50</v>
      </c>
      <c r="F380">
        <v>14.995520592</v>
      </c>
      <c r="G380">
        <v>1385.2512207</v>
      </c>
      <c r="H380">
        <v>1372.3521728999999</v>
      </c>
      <c r="I380">
        <v>1251.9044189000001</v>
      </c>
      <c r="J380">
        <v>1212.4688721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97.850577999999999</v>
      </c>
      <c r="B381" s="1">
        <f>DATE(2010,8,6) + TIME(20,24,49)</f>
        <v>40396.85056712963</v>
      </c>
      <c r="C381">
        <v>80</v>
      </c>
      <c r="D381">
        <v>79.906578064000001</v>
      </c>
      <c r="E381">
        <v>50</v>
      </c>
      <c r="F381">
        <v>14.995573996999999</v>
      </c>
      <c r="G381">
        <v>1385.2082519999999</v>
      </c>
      <c r="H381">
        <v>1372.3104248</v>
      </c>
      <c r="I381">
        <v>1251.9204102000001</v>
      </c>
      <c r="J381">
        <v>1212.4847411999999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98.633960999999999</v>
      </c>
      <c r="B382" s="1">
        <f>DATE(2010,8,7) + TIME(15,12,54)</f>
        <v>40397.633958333332</v>
      </c>
      <c r="C382">
        <v>80</v>
      </c>
      <c r="D382">
        <v>79.906692504999995</v>
      </c>
      <c r="E382">
        <v>50</v>
      </c>
      <c r="F382">
        <v>14.995639800999999</v>
      </c>
      <c r="G382">
        <v>1385.1539307</v>
      </c>
      <c r="H382">
        <v>1372.2583007999999</v>
      </c>
      <c r="I382">
        <v>1251.9379882999999</v>
      </c>
      <c r="J382">
        <v>1212.5023193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99.424726000000007</v>
      </c>
      <c r="B383" s="1">
        <f>DATE(2010,8,8) + TIME(10,11,36)</f>
        <v>40398.424722222226</v>
      </c>
      <c r="C383">
        <v>80</v>
      </c>
      <c r="D383">
        <v>79.906799316000004</v>
      </c>
      <c r="E383">
        <v>50</v>
      </c>
      <c r="F383">
        <v>14.995714188000001</v>
      </c>
      <c r="G383">
        <v>1385.0964355000001</v>
      </c>
      <c r="H383">
        <v>1372.2030029</v>
      </c>
      <c r="I383">
        <v>1251.9571533000001</v>
      </c>
      <c r="J383">
        <v>1212.5213623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100.224424</v>
      </c>
      <c r="B384" s="1">
        <f>DATE(2010,8,9) + TIME(5,23,10)</f>
        <v>40399.224421296298</v>
      </c>
      <c r="C384">
        <v>80</v>
      </c>
      <c r="D384">
        <v>79.906906128000003</v>
      </c>
      <c r="E384">
        <v>50</v>
      </c>
      <c r="F384">
        <v>14.995798110999999</v>
      </c>
      <c r="G384">
        <v>1385.0377197</v>
      </c>
      <c r="H384">
        <v>1372.1464844</v>
      </c>
      <c r="I384">
        <v>1251.9775391000001</v>
      </c>
      <c r="J384">
        <v>1212.5415039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101.0277</v>
      </c>
      <c r="B385" s="1">
        <f>DATE(2010,8,10) + TIME(0,39,53)</f>
        <v>40400.027696759258</v>
      </c>
      <c r="C385">
        <v>80</v>
      </c>
      <c r="D385">
        <v>79.907012938999998</v>
      </c>
      <c r="E385">
        <v>50</v>
      </c>
      <c r="F385">
        <v>14.995890617000001</v>
      </c>
      <c r="G385">
        <v>1384.9785156</v>
      </c>
      <c r="H385">
        <v>1372.0894774999999</v>
      </c>
      <c r="I385">
        <v>1251.9985352000001</v>
      </c>
      <c r="J385">
        <v>1212.5623779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101.83557399999999</v>
      </c>
      <c r="B386" s="1">
        <f>DATE(2010,8,10) + TIME(20,3,13)</f>
        <v>40400.83556712963</v>
      </c>
      <c r="C386">
        <v>80</v>
      </c>
      <c r="D386">
        <v>79.907127380000006</v>
      </c>
      <c r="E386">
        <v>50</v>
      </c>
      <c r="F386">
        <v>14.995992661000001</v>
      </c>
      <c r="G386">
        <v>1384.9190673999999</v>
      </c>
      <c r="H386">
        <v>1372.0322266000001</v>
      </c>
      <c r="I386">
        <v>1252.0201416</v>
      </c>
      <c r="J386">
        <v>1212.5837402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102.648397</v>
      </c>
      <c r="B387" s="1">
        <f>DATE(2010,8,11) + TIME(15,33,41)</f>
        <v>40401.6483912037</v>
      </c>
      <c r="C387">
        <v>80</v>
      </c>
      <c r="D387">
        <v>79.907234192000004</v>
      </c>
      <c r="E387">
        <v>50</v>
      </c>
      <c r="F387">
        <v>14.996106148000001</v>
      </c>
      <c r="G387">
        <v>1384.8596190999999</v>
      </c>
      <c r="H387">
        <v>1371.9749756000001</v>
      </c>
      <c r="I387">
        <v>1252.0422363</v>
      </c>
      <c r="J387">
        <v>1212.6057129000001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103.46278599999999</v>
      </c>
      <c r="B388" s="1">
        <f>DATE(2010,8,12) + TIME(11,6,24)</f>
        <v>40402.462777777779</v>
      </c>
      <c r="C388">
        <v>80</v>
      </c>
      <c r="D388">
        <v>79.907348632999998</v>
      </c>
      <c r="E388">
        <v>50</v>
      </c>
      <c r="F388">
        <v>14.996232033</v>
      </c>
      <c r="G388">
        <v>1384.800293</v>
      </c>
      <c r="H388">
        <v>1371.9177245999999</v>
      </c>
      <c r="I388">
        <v>1252.0646973</v>
      </c>
      <c r="J388">
        <v>1212.6280518000001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104.280517</v>
      </c>
      <c r="B389" s="1">
        <f>DATE(2010,8,13) + TIME(6,43,56)</f>
        <v>40403.280509259261</v>
      </c>
      <c r="C389">
        <v>80</v>
      </c>
      <c r="D389">
        <v>79.907463074000006</v>
      </c>
      <c r="E389">
        <v>50</v>
      </c>
      <c r="F389">
        <v>14.996373177000001</v>
      </c>
      <c r="G389">
        <v>1384.7410889</v>
      </c>
      <c r="H389">
        <v>1371.8607178</v>
      </c>
      <c r="I389">
        <v>1252.0876464999999</v>
      </c>
      <c r="J389">
        <v>1212.6507568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105.103228</v>
      </c>
      <c r="B390" s="1">
        <f>DATE(2010,8,14) + TIME(2,28,38)</f>
        <v>40404.103217592594</v>
      </c>
      <c r="C390">
        <v>80</v>
      </c>
      <c r="D390">
        <v>79.907577515</v>
      </c>
      <c r="E390">
        <v>50</v>
      </c>
      <c r="F390">
        <v>14.996530533</v>
      </c>
      <c r="G390">
        <v>1384.6818848</v>
      </c>
      <c r="H390">
        <v>1371.8035889</v>
      </c>
      <c r="I390">
        <v>1252.1109618999999</v>
      </c>
      <c r="J390">
        <v>1212.6738281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105.516597</v>
      </c>
      <c r="B391" s="1">
        <f>DATE(2010,8,14) + TIME(12,23,54)</f>
        <v>40404.516597222224</v>
      </c>
      <c r="C391">
        <v>80</v>
      </c>
      <c r="D391">
        <v>79.907608031999999</v>
      </c>
      <c r="E391">
        <v>50</v>
      </c>
      <c r="F391">
        <v>14.996648788</v>
      </c>
      <c r="G391">
        <v>1384.6394043</v>
      </c>
      <c r="H391">
        <v>1371.7630615</v>
      </c>
      <c r="I391">
        <v>1252.1264647999999</v>
      </c>
      <c r="J391">
        <v>1212.6889647999999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105.929967</v>
      </c>
      <c r="B392" s="1">
        <f>DATE(2010,8,14) + TIME(22,19,9)</f>
        <v>40404.929965277777</v>
      </c>
      <c r="C392">
        <v>80</v>
      </c>
      <c r="D392">
        <v>79.907661438000005</v>
      </c>
      <c r="E392">
        <v>50</v>
      </c>
      <c r="F392">
        <v>14.996765137000001</v>
      </c>
      <c r="G392">
        <v>1384.6036377</v>
      </c>
      <c r="H392">
        <v>1371.7283935999999</v>
      </c>
      <c r="I392">
        <v>1252.1413574000001</v>
      </c>
      <c r="J392">
        <v>1212.7038574000001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106.34333599999999</v>
      </c>
      <c r="B393" s="1">
        <f>DATE(2010,8,15) + TIME(8,14,24)</f>
        <v>40405.343333333331</v>
      </c>
      <c r="C393">
        <v>80</v>
      </c>
      <c r="D393">
        <v>79.907722473000007</v>
      </c>
      <c r="E393">
        <v>50</v>
      </c>
      <c r="F393">
        <v>14.996882439</v>
      </c>
      <c r="G393">
        <v>1384.5711670000001</v>
      </c>
      <c r="H393">
        <v>1371.6968993999999</v>
      </c>
      <c r="I393">
        <v>1252.1555175999999</v>
      </c>
      <c r="J393">
        <v>1212.7177733999999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106.756705</v>
      </c>
      <c r="B394" s="1">
        <f>DATE(2010,8,15) + TIME(18,9,39)</f>
        <v>40405.756701388891</v>
      </c>
      <c r="C394">
        <v>80</v>
      </c>
      <c r="D394">
        <v>79.907783507999994</v>
      </c>
      <c r="E394">
        <v>50</v>
      </c>
      <c r="F394">
        <v>14.997001647999999</v>
      </c>
      <c r="G394">
        <v>1384.5400391000001</v>
      </c>
      <c r="H394">
        <v>1371.6668701000001</v>
      </c>
      <c r="I394">
        <v>1252.1689452999999</v>
      </c>
      <c r="J394">
        <v>1212.7310791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107.170075</v>
      </c>
      <c r="B395" s="1">
        <f>DATE(2010,8,16) + TIME(4,4,54)</f>
        <v>40406.170069444444</v>
      </c>
      <c r="C395">
        <v>80</v>
      </c>
      <c r="D395">
        <v>79.907844542999996</v>
      </c>
      <c r="E395">
        <v>50</v>
      </c>
      <c r="F395">
        <v>14.997126579</v>
      </c>
      <c r="G395">
        <v>1384.5096435999999</v>
      </c>
      <c r="H395">
        <v>1371.6374512</v>
      </c>
      <c r="I395">
        <v>1252.1821289</v>
      </c>
      <c r="J395">
        <v>1212.7441406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107.583444</v>
      </c>
      <c r="B396" s="1">
        <f>DATE(2010,8,16) + TIME(14,0,9)</f>
        <v>40406.583437499998</v>
      </c>
      <c r="C396">
        <v>80</v>
      </c>
      <c r="D396">
        <v>79.907905579000001</v>
      </c>
      <c r="E396">
        <v>50</v>
      </c>
      <c r="F396">
        <v>14.997257232999999</v>
      </c>
      <c r="G396">
        <v>1384.4796143000001</v>
      </c>
      <c r="H396">
        <v>1371.6083983999999</v>
      </c>
      <c r="I396">
        <v>1252.1950684000001</v>
      </c>
      <c r="J396">
        <v>1212.7569579999999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107.996813</v>
      </c>
      <c r="B397" s="1">
        <f>DATE(2010,8,16) + TIME(23,55,24)</f>
        <v>40406.996805555558</v>
      </c>
      <c r="C397">
        <v>80</v>
      </c>
      <c r="D397">
        <v>79.907966614000003</v>
      </c>
      <c r="E397">
        <v>50</v>
      </c>
      <c r="F397">
        <v>14.997395514999999</v>
      </c>
      <c r="G397">
        <v>1384.4499512</v>
      </c>
      <c r="H397">
        <v>1371.5797118999999</v>
      </c>
      <c r="I397">
        <v>1252.2080077999999</v>
      </c>
      <c r="J397">
        <v>1212.7696533000001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108.82355200000001</v>
      </c>
      <c r="B398" s="1">
        <f>DATE(2010,8,17) + TIME(19,45,54)</f>
        <v>40407.823541666665</v>
      </c>
      <c r="C398">
        <v>80</v>
      </c>
      <c r="D398">
        <v>79.908111571999996</v>
      </c>
      <c r="E398">
        <v>50</v>
      </c>
      <c r="F398">
        <v>14.997613907</v>
      </c>
      <c r="G398">
        <v>1384.4079589999999</v>
      </c>
      <c r="H398">
        <v>1371.5388184000001</v>
      </c>
      <c r="I398">
        <v>1252.2271728999999</v>
      </c>
      <c r="J398">
        <v>1212.7888184000001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109.651854</v>
      </c>
      <c r="B399" s="1">
        <f>DATE(2010,8,18) + TIME(15,38,40)</f>
        <v>40408.65185185185</v>
      </c>
      <c r="C399">
        <v>80</v>
      </c>
      <c r="D399">
        <v>79.908226013000004</v>
      </c>
      <c r="E399">
        <v>50</v>
      </c>
      <c r="F399">
        <v>14.997896194000001</v>
      </c>
      <c r="G399">
        <v>1384.3557129000001</v>
      </c>
      <c r="H399">
        <v>1371.4882812000001</v>
      </c>
      <c r="I399">
        <v>1252.2493896000001</v>
      </c>
      <c r="J399">
        <v>1212.8106689000001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110.487362</v>
      </c>
      <c r="B400" s="1">
        <f>DATE(2010,8,19) + TIME(11,41,48)</f>
        <v>40409.487361111111</v>
      </c>
      <c r="C400">
        <v>80</v>
      </c>
      <c r="D400">
        <v>79.908332825000002</v>
      </c>
      <c r="E400">
        <v>50</v>
      </c>
      <c r="F400">
        <v>14.998235703000001</v>
      </c>
      <c r="G400">
        <v>1384.300293</v>
      </c>
      <c r="H400">
        <v>1371.4348144999999</v>
      </c>
      <c r="I400">
        <v>1252.2736815999999</v>
      </c>
      <c r="J400">
        <v>1212.8345947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111.325604</v>
      </c>
      <c r="B401" s="1">
        <f>DATE(2010,8,20) + TIME(7,48,52)</f>
        <v>40410.325601851851</v>
      </c>
      <c r="C401">
        <v>80</v>
      </c>
      <c r="D401">
        <v>79.908447265999996</v>
      </c>
      <c r="E401">
        <v>50</v>
      </c>
      <c r="F401">
        <v>14.998633385</v>
      </c>
      <c r="G401">
        <v>1384.2438964999999</v>
      </c>
      <c r="H401">
        <v>1371.3803711</v>
      </c>
      <c r="I401">
        <v>1252.2991943</v>
      </c>
      <c r="J401">
        <v>1212.8597411999999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112.163892</v>
      </c>
      <c r="B402" s="1">
        <f>DATE(2010,8,21) + TIME(3,56,0)</f>
        <v>40411.163888888892</v>
      </c>
      <c r="C402">
        <v>80</v>
      </c>
      <c r="D402">
        <v>79.908561707000004</v>
      </c>
      <c r="E402">
        <v>50</v>
      </c>
      <c r="F402">
        <v>14.999091148</v>
      </c>
      <c r="G402">
        <v>1384.1872559000001</v>
      </c>
      <c r="H402">
        <v>1371.3255615</v>
      </c>
      <c r="I402">
        <v>1252.3255615</v>
      </c>
      <c r="J402">
        <v>1212.8856201000001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113.004194</v>
      </c>
      <c r="B403" s="1">
        <f>DATE(2010,8,22) + TIME(0,6,2)</f>
        <v>40412.004189814812</v>
      </c>
      <c r="C403">
        <v>80</v>
      </c>
      <c r="D403">
        <v>79.908676146999994</v>
      </c>
      <c r="E403">
        <v>50</v>
      </c>
      <c r="F403">
        <v>14.999616623</v>
      </c>
      <c r="G403">
        <v>1384.1307373</v>
      </c>
      <c r="H403">
        <v>1371.270874</v>
      </c>
      <c r="I403">
        <v>1252.3525391000001</v>
      </c>
      <c r="J403">
        <v>1212.9122314000001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113.848361</v>
      </c>
      <c r="B404" s="1">
        <f>DATE(2010,8,22) + TIME(20,21,38)</f>
        <v>40412.848356481481</v>
      </c>
      <c r="C404">
        <v>80</v>
      </c>
      <c r="D404">
        <v>79.908790588000002</v>
      </c>
      <c r="E404">
        <v>50</v>
      </c>
      <c r="F404">
        <v>15.000220299</v>
      </c>
      <c r="G404">
        <v>1384.0743408000001</v>
      </c>
      <c r="H404">
        <v>1371.2163086</v>
      </c>
      <c r="I404">
        <v>1252.380249</v>
      </c>
      <c r="J404">
        <v>1212.9394531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114.27202</v>
      </c>
      <c r="B405" s="1">
        <f>DATE(2010,8,23) + TIME(6,31,42)</f>
        <v>40413.272013888891</v>
      </c>
      <c r="C405">
        <v>80</v>
      </c>
      <c r="D405">
        <v>79.908821106000005</v>
      </c>
      <c r="E405">
        <v>50</v>
      </c>
      <c r="F405">
        <v>15.000683784</v>
      </c>
      <c r="G405">
        <v>1384.0340576000001</v>
      </c>
      <c r="H405">
        <v>1371.1777344</v>
      </c>
      <c r="I405">
        <v>1252.3994141000001</v>
      </c>
      <c r="J405">
        <v>1212.9581298999999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114.695678</v>
      </c>
      <c r="B406" s="1">
        <f>DATE(2010,8,23) + TIME(16,41,46)</f>
        <v>40413.695671296293</v>
      </c>
      <c r="C406">
        <v>80</v>
      </c>
      <c r="D406">
        <v>79.908874511999997</v>
      </c>
      <c r="E406">
        <v>50</v>
      </c>
      <c r="F406">
        <v>15.001141548</v>
      </c>
      <c r="G406">
        <v>1384</v>
      </c>
      <c r="H406">
        <v>1371.1446533000001</v>
      </c>
      <c r="I406">
        <v>1252.4172363</v>
      </c>
      <c r="J406">
        <v>1212.9757079999999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115.119336</v>
      </c>
      <c r="B407" s="1">
        <f>DATE(2010,8,24) + TIME(2,51,50)</f>
        <v>40414.119328703702</v>
      </c>
      <c r="C407">
        <v>80</v>
      </c>
      <c r="D407">
        <v>79.908935546999999</v>
      </c>
      <c r="E407">
        <v>50</v>
      </c>
      <c r="F407">
        <v>15.001606941</v>
      </c>
      <c r="G407">
        <v>1383.9688721</v>
      </c>
      <c r="H407">
        <v>1371.1143798999999</v>
      </c>
      <c r="I407">
        <v>1252.4339600000001</v>
      </c>
      <c r="J407">
        <v>1212.9921875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115.542995</v>
      </c>
      <c r="B408" s="1">
        <f>DATE(2010,8,24) + TIME(13,1,54)</f>
        <v>40414.542986111112</v>
      </c>
      <c r="C408">
        <v>80</v>
      </c>
      <c r="D408">
        <v>79.908996582</v>
      </c>
      <c r="E408">
        <v>50</v>
      </c>
      <c r="F408">
        <v>15.002086639</v>
      </c>
      <c r="G408">
        <v>1383.9389647999999</v>
      </c>
      <c r="H408">
        <v>1371.0853271000001</v>
      </c>
      <c r="I408">
        <v>1252.4499512</v>
      </c>
      <c r="J408">
        <v>1213.0079346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115.96665299999999</v>
      </c>
      <c r="B409" s="1">
        <f>DATE(2010,8,24) + TIME(23,11,58)</f>
        <v>40414.966643518521</v>
      </c>
      <c r="C409">
        <v>80</v>
      </c>
      <c r="D409">
        <v>79.909057617000002</v>
      </c>
      <c r="E409">
        <v>50</v>
      </c>
      <c r="F409">
        <v>15.002590179</v>
      </c>
      <c r="G409">
        <v>1383.9099120999999</v>
      </c>
      <c r="H409">
        <v>1371.0571289</v>
      </c>
      <c r="I409">
        <v>1252.4655762</v>
      </c>
      <c r="J409">
        <v>1213.0233154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116.390311</v>
      </c>
      <c r="B410" s="1">
        <f>DATE(2010,8,25) + TIME(9,22,2)</f>
        <v>40415.390300925923</v>
      </c>
      <c r="C410">
        <v>80</v>
      </c>
      <c r="D410">
        <v>79.909118652000004</v>
      </c>
      <c r="E410">
        <v>50</v>
      </c>
      <c r="F410">
        <v>15.003121375999999</v>
      </c>
      <c r="G410">
        <v>1383.8811035000001</v>
      </c>
      <c r="H410">
        <v>1371.0292969</v>
      </c>
      <c r="I410">
        <v>1252.4810791</v>
      </c>
      <c r="J410">
        <v>1213.0384521000001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117.237628</v>
      </c>
      <c r="B411" s="1">
        <f>DATE(2010,8,26) + TIME(5,42,11)</f>
        <v>40416.237627314818</v>
      </c>
      <c r="C411">
        <v>80</v>
      </c>
      <c r="D411">
        <v>79.909263611</v>
      </c>
      <c r="E411">
        <v>50</v>
      </c>
      <c r="F411">
        <v>15.00396347</v>
      </c>
      <c r="G411">
        <v>1383.8402100000001</v>
      </c>
      <c r="H411">
        <v>1370.9892577999999</v>
      </c>
      <c r="I411">
        <v>1252.503418</v>
      </c>
      <c r="J411">
        <v>1213.0606689000001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118.085117</v>
      </c>
      <c r="B412" s="1">
        <f>DATE(2010,8,27) + TIME(2,2,34)</f>
        <v>40417.085115740738</v>
      </c>
      <c r="C412">
        <v>80</v>
      </c>
      <c r="D412">
        <v>79.909385681000003</v>
      </c>
      <c r="E412">
        <v>50</v>
      </c>
      <c r="F412">
        <v>15.005058289000001</v>
      </c>
      <c r="G412">
        <v>1383.7899170000001</v>
      </c>
      <c r="H412">
        <v>1370.9405518000001</v>
      </c>
      <c r="I412">
        <v>1252.5302733999999</v>
      </c>
      <c r="J412">
        <v>1213.0869141000001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118.940573</v>
      </c>
      <c r="B413" s="1">
        <f>DATE(2010,8,27) + TIME(22,34,25)</f>
        <v>40417.940567129626</v>
      </c>
      <c r="C413">
        <v>80</v>
      </c>
      <c r="D413">
        <v>79.909500121999997</v>
      </c>
      <c r="E413">
        <v>50</v>
      </c>
      <c r="F413">
        <v>15.006381988999999</v>
      </c>
      <c r="G413">
        <v>1383.7366943</v>
      </c>
      <c r="H413">
        <v>1370.8889160000001</v>
      </c>
      <c r="I413">
        <v>1252.5598144999999</v>
      </c>
      <c r="J413">
        <v>1213.1158447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119.369467</v>
      </c>
      <c r="B414" s="1">
        <f>DATE(2010,8,28) + TIME(8,52,1)</f>
        <v>40418.369456018518</v>
      </c>
      <c r="C414">
        <v>80</v>
      </c>
      <c r="D414">
        <v>79.90953064</v>
      </c>
      <c r="E414">
        <v>50</v>
      </c>
      <c r="F414">
        <v>15.007423401</v>
      </c>
      <c r="G414">
        <v>1383.6982422000001</v>
      </c>
      <c r="H414">
        <v>1370.8520507999999</v>
      </c>
      <c r="I414">
        <v>1252.581543</v>
      </c>
      <c r="J414">
        <v>1213.1367187999999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119.798362</v>
      </c>
      <c r="B415" s="1">
        <f>DATE(2010,8,28) + TIME(19,9,38)</f>
        <v>40418.798356481479</v>
      </c>
      <c r="C415">
        <v>80</v>
      </c>
      <c r="D415">
        <v>79.909584045000003</v>
      </c>
      <c r="E415">
        <v>50</v>
      </c>
      <c r="F415">
        <v>15.008455275999999</v>
      </c>
      <c r="G415">
        <v>1383.6652832</v>
      </c>
      <c r="H415">
        <v>1370.8200684000001</v>
      </c>
      <c r="I415">
        <v>1252.6013184000001</v>
      </c>
      <c r="J415">
        <v>1213.1561279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120.22725699999999</v>
      </c>
      <c r="B416" s="1">
        <f>DATE(2010,8,29) + TIME(5,27,15)</f>
        <v>40419.227256944447</v>
      </c>
      <c r="C416">
        <v>80</v>
      </c>
      <c r="D416">
        <v>79.909637450999995</v>
      </c>
      <c r="E416">
        <v>50</v>
      </c>
      <c r="F416">
        <v>15.009505272</v>
      </c>
      <c r="G416">
        <v>1383.6351318</v>
      </c>
      <c r="H416">
        <v>1370.7906493999999</v>
      </c>
      <c r="I416">
        <v>1252.619751</v>
      </c>
      <c r="J416">
        <v>1213.1741943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120.65615200000001</v>
      </c>
      <c r="B417" s="1">
        <f>DATE(2010,8,29) + TIME(15,44,51)</f>
        <v>40419.656145833331</v>
      </c>
      <c r="C417">
        <v>80</v>
      </c>
      <c r="D417">
        <v>79.909698485999996</v>
      </c>
      <c r="E417">
        <v>50</v>
      </c>
      <c r="F417">
        <v>15.010593414000001</v>
      </c>
      <c r="G417">
        <v>1383.6062012</v>
      </c>
      <c r="H417">
        <v>1370.7625731999999</v>
      </c>
      <c r="I417">
        <v>1252.6375731999999</v>
      </c>
      <c r="J417">
        <v>1213.1917725000001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121.085047</v>
      </c>
      <c r="B418" s="1">
        <f>DATE(2010,8,30) + TIME(2,2,28)</f>
        <v>40420.085046296299</v>
      </c>
      <c r="C418">
        <v>80</v>
      </c>
      <c r="D418">
        <v>79.909759520999998</v>
      </c>
      <c r="E418">
        <v>50</v>
      </c>
      <c r="F418">
        <v>15.011734009</v>
      </c>
      <c r="G418">
        <v>1383.5778809000001</v>
      </c>
      <c r="H418">
        <v>1370.7349853999999</v>
      </c>
      <c r="I418">
        <v>1252.6551514</v>
      </c>
      <c r="J418">
        <v>1213.2089844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121.513941</v>
      </c>
      <c r="B419" s="1">
        <f>DATE(2010,8,30) + TIME(12,20,4)</f>
        <v>40420.513935185183</v>
      </c>
      <c r="C419">
        <v>80</v>
      </c>
      <c r="D419">
        <v>79.909820557000003</v>
      </c>
      <c r="E419">
        <v>50</v>
      </c>
      <c r="F419">
        <v>15.012938499000001</v>
      </c>
      <c r="G419">
        <v>1383.5499268000001</v>
      </c>
      <c r="H419">
        <v>1370.7078856999999</v>
      </c>
      <c r="I419">
        <v>1252.6726074000001</v>
      </c>
      <c r="J419">
        <v>1213.2260742000001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121.942836</v>
      </c>
      <c r="B420" s="1">
        <f>DATE(2010,8,30) + TIME(22,37,41)</f>
        <v>40420.942835648151</v>
      </c>
      <c r="C420">
        <v>80</v>
      </c>
      <c r="D420">
        <v>79.909881592000005</v>
      </c>
      <c r="E420">
        <v>50</v>
      </c>
      <c r="F420">
        <v>15.01421833</v>
      </c>
      <c r="G420">
        <v>1383.5222168</v>
      </c>
      <c r="H420">
        <v>1370.6809082</v>
      </c>
      <c r="I420">
        <v>1252.6900635</v>
      </c>
      <c r="J420">
        <v>1213.2431641000001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122.371731</v>
      </c>
      <c r="B421" s="1">
        <f>DATE(2010,8,31) + TIME(8,55,17)</f>
        <v>40421.371724537035</v>
      </c>
      <c r="C421">
        <v>80</v>
      </c>
      <c r="D421">
        <v>79.909942627000007</v>
      </c>
      <c r="E421">
        <v>50</v>
      </c>
      <c r="F421">
        <v>15.015580177</v>
      </c>
      <c r="G421">
        <v>1383.4946289</v>
      </c>
      <c r="H421">
        <v>1370.6542969</v>
      </c>
      <c r="I421">
        <v>1252.7075195</v>
      </c>
      <c r="J421">
        <v>1213.2602539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123</v>
      </c>
      <c r="B422" s="1">
        <f>DATE(2010,9,1) + TIME(0,0,0)</f>
        <v>40422</v>
      </c>
      <c r="C422">
        <v>80</v>
      </c>
      <c r="D422">
        <v>79.910041809000006</v>
      </c>
      <c r="E422">
        <v>50</v>
      </c>
      <c r="F422">
        <v>15.017415047</v>
      </c>
      <c r="G422">
        <v>1383.4608154</v>
      </c>
      <c r="H422">
        <v>1370.6212158000001</v>
      </c>
      <c r="I422">
        <v>1252.7290039</v>
      </c>
      <c r="J422">
        <v>1213.2816161999999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123.85778999999999</v>
      </c>
      <c r="B423" s="1">
        <f>DATE(2010,9,1) + TIME(20,35,13)</f>
        <v>40422.857789351852</v>
      </c>
      <c r="C423">
        <v>80</v>
      </c>
      <c r="D423">
        <v>79.910171508999994</v>
      </c>
      <c r="E423">
        <v>50</v>
      </c>
      <c r="F423">
        <v>15.01994133</v>
      </c>
      <c r="G423">
        <v>1383.4176024999999</v>
      </c>
      <c r="H423">
        <v>1370.5791016000001</v>
      </c>
      <c r="I423">
        <v>1252.7565918</v>
      </c>
      <c r="J423">
        <v>1213.3087158000001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124.72363900000001</v>
      </c>
      <c r="B424" s="1">
        <f>DATE(2010,9,2) + TIME(17,22,2)</f>
        <v>40423.723634259259</v>
      </c>
      <c r="C424">
        <v>80</v>
      </c>
      <c r="D424">
        <v>79.910285950000002</v>
      </c>
      <c r="E424">
        <v>50</v>
      </c>
      <c r="F424">
        <v>15.023144722</v>
      </c>
      <c r="G424">
        <v>1383.3677978999999</v>
      </c>
      <c r="H424">
        <v>1370.5308838000001</v>
      </c>
      <c r="I424">
        <v>1252.7895507999999</v>
      </c>
      <c r="J424">
        <v>1213.3408202999999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125.593317</v>
      </c>
      <c r="B425" s="1">
        <f>DATE(2010,9,3) + TIME(14,14,22)</f>
        <v>40424.593310185184</v>
      </c>
      <c r="C425">
        <v>80</v>
      </c>
      <c r="D425">
        <v>79.910400390999996</v>
      </c>
      <c r="E425">
        <v>50</v>
      </c>
      <c r="F425">
        <v>15.026966095000001</v>
      </c>
      <c r="G425">
        <v>1383.3157959</v>
      </c>
      <c r="H425">
        <v>1370.4803466999999</v>
      </c>
      <c r="I425">
        <v>1252.8253173999999</v>
      </c>
      <c r="J425">
        <v>1213.3757324000001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126.467108</v>
      </c>
      <c r="B426" s="1">
        <f>DATE(2010,9,4) + TIME(11,12,38)</f>
        <v>40425.467106481483</v>
      </c>
      <c r="C426">
        <v>80</v>
      </c>
      <c r="D426">
        <v>79.910514832000004</v>
      </c>
      <c r="E426">
        <v>50</v>
      </c>
      <c r="F426">
        <v>15.031413078</v>
      </c>
      <c r="G426">
        <v>1383.2630615</v>
      </c>
      <c r="H426">
        <v>1370.4290771000001</v>
      </c>
      <c r="I426">
        <v>1252.8629149999999</v>
      </c>
      <c r="J426">
        <v>1213.4123535000001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127.347071</v>
      </c>
      <c r="B427" s="1">
        <f>DATE(2010,9,5) + TIME(8,19,46)</f>
        <v>40426.347060185188</v>
      </c>
      <c r="C427">
        <v>80</v>
      </c>
      <c r="D427">
        <v>79.910629271999994</v>
      </c>
      <c r="E427">
        <v>50</v>
      </c>
      <c r="F427">
        <v>15.036542892</v>
      </c>
      <c r="G427">
        <v>1383.2098389</v>
      </c>
      <c r="H427">
        <v>1370.3774414</v>
      </c>
      <c r="I427">
        <v>1252.9018555</v>
      </c>
      <c r="J427">
        <v>1213.4505615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127.789582</v>
      </c>
      <c r="B428" s="1">
        <f>DATE(2010,9,5) + TIME(18,56,59)</f>
        <v>40426.789571759262</v>
      </c>
      <c r="C428">
        <v>80</v>
      </c>
      <c r="D428">
        <v>79.910667419000006</v>
      </c>
      <c r="E428">
        <v>50</v>
      </c>
      <c r="F428">
        <v>15.040519714</v>
      </c>
      <c r="G428">
        <v>1383.1723632999999</v>
      </c>
      <c r="H428">
        <v>1370.3413086</v>
      </c>
      <c r="I428">
        <v>1252.932251</v>
      </c>
      <c r="J428">
        <v>1213.4792480000001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128.23209299999999</v>
      </c>
      <c r="B429" s="1">
        <f>DATE(2010,9,6) + TIME(5,34,12)</f>
        <v>40427.232083333336</v>
      </c>
      <c r="C429">
        <v>80</v>
      </c>
      <c r="D429">
        <v>79.910720824999999</v>
      </c>
      <c r="E429">
        <v>50</v>
      </c>
      <c r="F429">
        <v>15.044422150000001</v>
      </c>
      <c r="G429">
        <v>1383.1400146000001</v>
      </c>
      <c r="H429">
        <v>1370.3096923999999</v>
      </c>
      <c r="I429">
        <v>1252.9575195</v>
      </c>
      <c r="J429">
        <v>1213.5043945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128.67443599999999</v>
      </c>
      <c r="B430" s="1">
        <f>DATE(2010,9,6) + TIME(16,11,11)</f>
        <v>40427.674432870372</v>
      </c>
      <c r="C430">
        <v>80</v>
      </c>
      <c r="D430">
        <v>79.91078186</v>
      </c>
      <c r="E430">
        <v>50</v>
      </c>
      <c r="F430">
        <v>15.048365593</v>
      </c>
      <c r="G430">
        <v>1383.1102295000001</v>
      </c>
      <c r="H430">
        <v>1370.2806396000001</v>
      </c>
      <c r="I430">
        <v>1252.9812012</v>
      </c>
      <c r="J430">
        <v>1213.5277100000001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129.11675600000001</v>
      </c>
      <c r="B431" s="1">
        <f>DATE(2010,9,7) + TIME(2,48,7)</f>
        <v>40428.116747685184</v>
      </c>
      <c r="C431">
        <v>80</v>
      </c>
      <c r="D431">
        <v>79.910842896000005</v>
      </c>
      <c r="E431">
        <v>50</v>
      </c>
      <c r="F431">
        <v>15.052433014</v>
      </c>
      <c r="G431">
        <v>1383.0817870999999</v>
      </c>
      <c r="H431">
        <v>1370.2529297000001</v>
      </c>
      <c r="I431">
        <v>1253.0041504000001</v>
      </c>
      <c r="J431">
        <v>1213.5504149999999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129.559077</v>
      </c>
      <c r="B432" s="1">
        <f>DATE(2010,9,7) + TIME(13,25,4)</f>
        <v>40428.559074074074</v>
      </c>
      <c r="C432">
        <v>80</v>
      </c>
      <c r="D432">
        <v>79.910903931000007</v>
      </c>
      <c r="E432">
        <v>50</v>
      </c>
      <c r="F432">
        <v>15.05668354</v>
      </c>
      <c r="G432">
        <v>1383.0539550999999</v>
      </c>
      <c r="H432">
        <v>1370.2258300999999</v>
      </c>
      <c r="I432">
        <v>1253.0267334</v>
      </c>
      <c r="J432">
        <v>1213.572876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130.001397</v>
      </c>
      <c r="B433" s="1">
        <f>DATE(2010,9,8) + TIME(0,2,0)</f>
        <v>40429.001388888886</v>
      </c>
      <c r="C433">
        <v>80</v>
      </c>
      <c r="D433">
        <v>79.910964965999995</v>
      </c>
      <c r="E433">
        <v>50</v>
      </c>
      <c r="F433">
        <v>15.061160087999999</v>
      </c>
      <c r="G433">
        <v>1383.0264893000001</v>
      </c>
      <c r="H433">
        <v>1370.1990966999999</v>
      </c>
      <c r="I433">
        <v>1253.0494385</v>
      </c>
      <c r="J433">
        <v>1213.5952147999999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130.44371699999999</v>
      </c>
      <c r="B434" s="1">
        <f>DATE(2010,9,8) + TIME(10,38,57)</f>
        <v>40429.443715277775</v>
      </c>
      <c r="C434">
        <v>80</v>
      </c>
      <c r="D434">
        <v>79.911026000999996</v>
      </c>
      <c r="E434">
        <v>50</v>
      </c>
      <c r="F434">
        <v>15.065901756000001</v>
      </c>
      <c r="G434">
        <v>1382.9992675999999</v>
      </c>
      <c r="H434">
        <v>1370.1726074000001</v>
      </c>
      <c r="I434">
        <v>1253.0722656</v>
      </c>
      <c r="J434">
        <v>1213.6177978999999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130.88603800000001</v>
      </c>
      <c r="B435" s="1">
        <f>DATE(2010,9,8) + TIME(21,15,53)</f>
        <v>40429.886030092595</v>
      </c>
      <c r="C435">
        <v>80</v>
      </c>
      <c r="D435">
        <v>79.911087035999998</v>
      </c>
      <c r="E435">
        <v>50</v>
      </c>
      <c r="F435">
        <v>15.070937156999999</v>
      </c>
      <c r="G435">
        <v>1382.9722899999999</v>
      </c>
      <c r="H435">
        <v>1370.1462402</v>
      </c>
      <c r="I435">
        <v>1253.0953368999999</v>
      </c>
      <c r="J435">
        <v>1213.6405029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131.32835800000001</v>
      </c>
      <c r="B436" s="1">
        <f>DATE(2010,9,9) + TIME(7,52,50)</f>
        <v>40430.328356481485</v>
      </c>
      <c r="C436">
        <v>80</v>
      </c>
      <c r="D436">
        <v>79.911148071</v>
      </c>
      <c r="E436">
        <v>50</v>
      </c>
      <c r="F436">
        <v>15.076295853</v>
      </c>
      <c r="G436">
        <v>1382.9455565999999</v>
      </c>
      <c r="H436">
        <v>1370.1201172000001</v>
      </c>
      <c r="I436">
        <v>1253.1186522999999</v>
      </c>
      <c r="J436">
        <v>1213.6635742000001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131.770679</v>
      </c>
      <c r="B437" s="1">
        <f>DATE(2010,9,9) + TIME(18,29,46)</f>
        <v>40430.770671296297</v>
      </c>
      <c r="C437">
        <v>80</v>
      </c>
      <c r="D437">
        <v>79.911209106000001</v>
      </c>
      <c r="E437">
        <v>50</v>
      </c>
      <c r="F437">
        <v>15.082002640000001</v>
      </c>
      <c r="G437">
        <v>1382.9188231999999</v>
      </c>
      <c r="H437">
        <v>1370.0941161999999</v>
      </c>
      <c r="I437">
        <v>1253.1422118999999</v>
      </c>
      <c r="J437">
        <v>1213.6868896000001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132.212999</v>
      </c>
      <c r="B438" s="1">
        <f>DATE(2010,9,10) + TIME(5,6,43)</f>
        <v>40431.212997685187</v>
      </c>
      <c r="C438">
        <v>80</v>
      </c>
      <c r="D438">
        <v>79.911270142000006</v>
      </c>
      <c r="E438">
        <v>50</v>
      </c>
      <c r="F438">
        <v>15.088083267</v>
      </c>
      <c r="G438">
        <v>1382.8922118999999</v>
      </c>
      <c r="H438">
        <v>1370.0682373</v>
      </c>
      <c r="I438">
        <v>1253.1661377</v>
      </c>
      <c r="J438">
        <v>1213.7105713000001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132.65531999999999</v>
      </c>
      <c r="B439" s="1">
        <f>DATE(2010,9,10) + TIME(15,43,39)</f>
        <v>40431.655312499999</v>
      </c>
      <c r="C439">
        <v>80</v>
      </c>
      <c r="D439">
        <v>79.911331176999994</v>
      </c>
      <c r="E439">
        <v>50</v>
      </c>
      <c r="F439">
        <v>15.094565392</v>
      </c>
      <c r="G439">
        <v>1382.8657227000001</v>
      </c>
      <c r="H439">
        <v>1370.0424805</v>
      </c>
      <c r="I439">
        <v>1253.1904297000001</v>
      </c>
      <c r="J439">
        <v>1213.7346190999999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133.09764000000001</v>
      </c>
      <c r="B440" s="1">
        <f>DATE(2010,9,11) + TIME(2,20,36)</f>
        <v>40432.097638888888</v>
      </c>
      <c r="C440">
        <v>80</v>
      </c>
      <c r="D440">
        <v>79.911392211999996</v>
      </c>
      <c r="E440">
        <v>50</v>
      </c>
      <c r="F440">
        <v>15.101472855000001</v>
      </c>
      <c r="G440">
        <v>1382.8393555</v>
      </c>
      <c r="H440">
        <v>1370.0167236</v>
      </c>
      <c r="I440">
        <v>1253.2149658000001</v>
      </c>
      <c r="J440">
        <v>1213.7590332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133.53996100000001</v>
      </c>
      <c r="B441" s="1">
        <f>DATE(2010,9,11) + TIME(12,57,32)</f>
        <v>40432.539953703701</v>
      </c>
      <c r="C441">
        <v>80</v>
      </c>
      <c r="D441">
        <v>79.911445618000002</v>
      </c>
      <c r="E441">
        <v>50</v>
      </c>
      <c r="F441">
        <v>15.10883522</v>
      </c>
      <c r="G441">
        <v>1382.8131103999999</v>
      </c>
      <c r="H441">
        <v>1369.9910889</v>
      </c>
      <c r="I441">
        <v>1253.2399902</v>
      </c>
      <c r="J441">
        <v>1213.7839355000001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133.982281</v>
      </c>
      <c r="B442" s="1">
        <f>DATE(2010,9,11) + TIME(23,34,29)</f>
        <v>40432.98228009259</v>
      </c>
      <c r="C442">
        <v>80</v>
      </c>
      <c r="D442">
        <v>79.911506653000004</v>
      </c>
      <c r="E442">
        <v>50</v>
      </c>
      <c r="F442">
        <v>15.116680145</v>
      </c>
      <c r="G442">
        <v>1382.7868652</v>
      </c>
      <c r="H442">
        <v>1369.9655762</v>
      </c>
      <c r="I442">
        <v>1253.2653809000001</v>
      </c>
      <c r="J442">
        <v>1213.8092041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134.42460199999999</v>
      </c>
      <c r="B443" s="1">
        <f>DATE(2010,9,12) + TIME(10,11,25)</f>
        <v>40433.42459490741</v>
      </c>
      <c r="C443">
        <v>80</v>
      </c>
      <c r="D443">
        <v>79.911567688000005</v>
      </c>
      <c r="E443">
        <v>50</v>
      </c>
      <c r="F443">
        <v>15.125037193000001</v>
      </c>
      <c r="G443">
        <v>1382.7607422000001</v>
      </c>
      <c r="H443">
        <v>1369.9400635</v>
      </c>
      <c r="I443">
        <v>1253.2911377</v>
      </c>
      <c r="J443">
        <v>1213.8349608999999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134.86692199999999</v>
      </c>
      <c r="B444" s="1">
        <f>DATE(2010,9,12) + TIME(20,48,22)</f>
        <v>40433.8669212963</v>
      </c>
      <c r="C444">
        <v>80</v>
      </c>
      <c r="D444">
        <v>79.911621093999997</v>
      </c>
      <c r="E444">
        <v>50</v>
      </c>
      <c r="F444">
        <v>15.133937835999999</v>
      </c>
      <c r="G444">
        <v>1382.7346190999999</v>
      </c>
      <c r="H444">
        <v>1369.9146728999999</v>
      </c>
      <c r="I444">
        <v>1253.3172606999999</v>
      </c>
      <c r="J444">
        <v>1213.8612060999999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135.30924300000001</v>
      </c>
      <c r="B445" s="1">
        <f>DATE(2010,9,13) + TIME(7,25,18)</f>
        <v>40434.309236111112</v>
      </c>
      <c r="C445">
        <v>80</v>
      </c>
      <c r="D445">
        <v>79.911682128999999</v>
      </c>
      <c r="E445">
        <v>50</v>
      </c>
      <c r="F445">
        <v>15.143414497</v>
      </c>
      <c r="G445">
        <v>1382.7086182</v>
      </c>
      <c r="H445">
        <v>1369.8892822</v>
      </c>
      <c r="I445">
        <v>1253.3438721</v>
      </c>
      <c r="J445">
        <v>1213.8879394999999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135.751563</v>
      </c>
      <c r="B446" s="1">
        <f>DATE(2010,9,13) + TIME(18,2,15)</f>
        <v>40434.751562500001</v>
      </c>
      <c r="C446">
        <v>80</v>
      </c>
      <c r="D446">
        <v>79.911743164000001</v>
      </c>
      <c r="E446">
        <v>50</v>
      </c>
      <c r="F446">
        <v>15.153502464000001</v>
      </c>
      <c r="G446">
        <v>1382.6827393000001</v>
      </c>
      <c r="H446">
        <v>1369.8640137</v>
      </c>
      <c r="I446">
        <v>1253.3709716999999</v>
      </c>
      <c r="J446">
        <v>1213.9152832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136.193884</v>
      </c>
      <c r="B447" s="1">
        <f>DATE(2010,9,14) + TIME(4,39,11)</f>
        <v>40435.193877314814</v>
      </c>
      <c r="C447">
        <v>80</v>
      </c>
      <c r="D447">
        <v>79.911796570000007</v>
      </c>
      <c r="E447">
        <v>50</v>
      </c>
      <c r="F447">
        <v>15.164237976000001</v>
      </c>
      <c r="G447">
        <v>1382.6568603999999</v>
      </c>
      <c r="H447">
        <v>1369.8387451000001</v>
      </c>
      <c r="I447">
        <v>1253.3985596</v>
      </c>
      <c r="J447">
        <v>1213.9429932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136.63620399999999</v>
      </c>
      <c r="B448" s="1">
        <f>DATE(2010,9,14) + TIME(15,16,8)</f>
        <v>40435.636203703703</v>
      </c>
      <c r="C448">
        <v>80</v>
      </c>
      <c r="D448">
        <v>79.911857604999994</v>
      </c>
      <c r="E448">
        <v>50</v>
      </c>
      <c r="F448">
        <v>15.175658225999999</v>
      </c>
      <c r="G448">
        <v>1382.6309814000001</v>
      </c>
      <c r="H448">
        <v>1369.8135986</v>
      </c>
      <c r="I448">
        <v>1253.4265137</v>
      </c>
      <c r="J448">
        <v>1213.9714355000001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137.52084500000001</v>
      </c>
      <c r="B449" s="1">
        <f>DATE(2010,9,15) + TIME(12,30,1)</f>
        <v>40436.520844907405</v>
      </c>
      <c r="C449">
        <v>80</v>
      </c>
      <c r="D449">
        <v>79.911994934000006</v>
      </c>
      <c r="E449">
        <v>50</v>
      </c>
      <c r="F449">
        <v>15.193652153</v>
      </c>
      <c r="G449">
        <v>1382.5931396000001</v>
      </c>
      <c r="H449">
        <v>1369.7763672000001</v>
      </c>
      <c r="I449">
        <v>1253.4614257999999</v>
      </c>
      <c r="J449">
        <v>1214.0097656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138.40637699999999</v>
      </c>
      <c r="B450" s="1">
        <f>DATE(2010,9,16) + TIME(9,45,10)</f>
        <v>40437.406365740739</v>
      </c>
      <c r="C450">
        <v>80</v>
      </c>
      <c r="D450">
        <v>79.912109375</v>
      </c>
      <c r="E450">
        <v>50</v>
      </c>
      <c r="F450">
        <v>15.217193604</v>
      </c>
      <c r="G450">
        <v>1382.5472411999999</v>
      </c>
      <c r="H450">
        <v>1369.7316894999999</v>
      </c>
      <c r="I450">
        <v>1253.5147704999999</v>
      </c>
      <c r="J450">
        <v>1214.0632324000001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138.856989</v>
      </c>
      <c r="B451" s="1">
        <f>DATE(2010,9,16) + TIME(20,34,3)</f>
        <v>40437.856979166667</v>
      </c>
      <c r="C451">
        <v>80</v>
      </c>
      <c r="D451">
        <v>79.912147521999998</v>
      </c>
      <c r="E451">
        <v>50</v>
      </c>
      <c r="F451">
        <v>15.236375809</v>
      </c>
      <c r="G451">
        <v>1382.5133057</v>
      </c>
      <c r="H451">
        <v>1369.6989745999999</v>
      </c>
      <c r="I451">
        <v>1253.5645752</v>
      </c>
      <c r="J451">
        <v>1214.109375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139.30760100000001</v>
      </c>
      <c r="B452" s="1">
        <f>DATE(2010,9,17) + TIME(7,22,56)</f>
        <v>40438.307592592595</v>
      </c>
      <c r="C452">
        <v>80</v>
      </c>
      <c r="D452">
        <v>79.912200928000004</v>
      </c>
      <c r="E452">
        <v>50</v>
      </c>
      <c r="F452">
        <v>15.255308150999999</v>
      </c>
      <c r="G452">
        <v>1382.4831543</v>
      </c>
      <c r="H452">
        <v>1369.6694336</v>
      </c>
      <c r="I452">
        <v>1253.6004639</v>
      </c>
      <c r="J452">
        <v>1214.1474608999999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139.75821199999999</v>
      </c>
      <c r="B453" s="1">
        <f>DATE(2010,9,17) + TIME(18,11,49)</f>
        <v>40438.758206018516</v>
      </c>
      <c r="C453">
        <v>80</v>
      </c>
      <c r="D453">
        <v>79.912254333000007</v>
      </c>
      <c r="E453">
        <v>50</v>
      </c>
      <c r="F453">
        <v>15.274486542</v>
      </c>
      <c r="G453">
        <v>1382.4552002</v>
      </c>
      <c r="H453">
        <v>1369.6420897999999</v>
      </c>
      <c r="I453">
        <v>1253.6343993999999</v>
      </c>
      <c r="J453">
        <v>1214.1835937999999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140.20882399999999</v>
      </c>
      <c r="B454" s="1">
        <f>DATE(2010,9,18) + TIME(5,0,42)</f>
        <v>40439.208819444444</v>
      </c>
      <c r="C454">
        <v>80</v>
      </c>
      <c r="D454">
        <v>79.912315368999998</v>
      </c>
      <c r="E454">
        <v>50</v>
      </c>
      <c r="F454">
        <v>15.294254303000001</v>
      </c>
      <c r="G454">
        <v>1382.4281006000001</v>
      </c>
      <c r="H454">
        <v>1369.6156006000001</v>
      </c>
      <c r="I454">
        <v>1253.6682129000001</v>
      </c>
      <c r="J454">
        <v>1214.2192382999999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140.659436</v>
      </c>
      <c r="B455" s="1">
        <f>DATE(2010,9,18) + TIME(15,49,35)</f>
        <v>40439.659432870372</v>
      </c>
      <c r="C455">
        <v>80</v>
      </c>
      <c r="D455">
        <v>79.912376404</v>
      </c>
      <c r="E455">
        <v>50</v>
      </c>
      <c r="F455">
        <v>15.314858437</v>
      </c>
      <c r="G455">
        <v>1382.4014893000001</v>
      </c>
      <c r="H455">
        <v>1369.5897216999999</v>
      </c>
      <c r="I455">
        <v>1253.7021483999999</v>
      </c>
      <c r="J455">
        <v>1214.255249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141.11004800000001</v>
      </c>
      <c r="B456" s="1">
        <f>DATE(2010,9,19) + TIME(2,38,28)</f>
        <v>40440.110046296293</v>
      </c>
      <c r="C456">
        <v>80</v>
      </c>
      <c r="D456">
        <v>79.912437439000001</v>
      </c>
      <c r="E456">
        <v>50</v>
      </c>
      <c r="F456">
        <v>15.336480140999999</v>
      </c>
      <c r="G456">
        <v>1382.3752440999999</v>
      </c>
      <c r="H456">
        <v>1369.5640868999999</v>
      </c>
      <c r="I456">
        <v>1253.7364502</v>
      </c>
      <c r="J456">
        <v>1214.291626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141.56066000000001</v>
      </c>
      <c r="B457" s="1">
        <f>DATE(2010,9,19) + TIME(13,27,21)</f>
        <v>40440.560659722221</v>
      </c>
      <c r="C457">
        <v>80</v>
      </c>
      <c r="D457">
        <v>79.912498474000003</v>
      </c>
      <c r="E457">
        <v>50</v>
      </c>
      <c r="F457">
        <v>15.35926342</v>
      </c>
      <c r="G457">
        <v>1382.3492432</v>
      </c>
      <c r="H457">
        <v>1369.5385742000001</v>
      </c>
      <c r="I457">
        <v>1253.7712402</v>
      </c>
      <c r="J457">
        <v>1214.3288574000001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142.01127199999999</v>
      </c>
      <c r="B458" s="1">
        <f>DATE(2010,9,20) + TIME(0,16,13)</f>
        <v>40441.011261574073</v>
      </c>
      <c r="C458">
        <v>80</v>
      </c>
      <c r="D458">
        <v>79.912559509000005</v>
      </c>
      <c r="E458">
        <v>50</v>
      </c>
      <c r="F458">
        <v>15.383331299</v>
      </c>
      <c r="G458">
        <v>1382.3232422000001</v>
      </c>
      <c r="H458">
        <v>1369.5133057</v>
      </c>
      <c r="I458">
        <v>1253.8067627</v>
      </c>
      <c r="J458">
        <v>1214.3666992000001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142.461884</v>
      </c>
      <c r="B459" s="1">
        <f>DATE(2010,9,20) + TIME(11,5,6)</f>
        <v>40441.461875000001</v>
      </c>
      <c r="C459">
        <v>80</v>
      </c>
      <c r="D459">
        <v>79.912620544000006</v>
      </c>
      <c r="E459">
        <v>50</v>
      </c>
      <c r="F459">
        <v>15.408787727</v>
      </c>
      <c r="G459">
        <v>1382.2974853999999</v>
      </c>
      <c r="H459">
        <v>1369.4880370999999</v>
      </c>
      <c r="I459">
        <v>1253.8427733999999</v>
      </c>
      <c r="J459">
        <v>1214.4055175999999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142.912496</v>
      </c>
      <c r="B460" s="1">
        <f>DATE(2010,9,20) + TIME(21,53,59)</f>
        <v>40441.912488425929</v>
      </c>
      <c r="C460">
        <v>80</v>
      </c>
      <c r="D460">
        <v>79.912673949999999</v>
      </c>
      <c r="E460">
        <v>50</v>
      </c>
      <c r="F460">
        <v>15.435733795000001</v>
      </c>
      <c r="G460">
        <v>1382.2717285000001</v>
      </c>
      <c r="H460">
        <v>1369.4628906</v>
      </c>
      <c r="I460">
        <v>1253.8793945</v>
      </c>
      <c r="J460">
        <v>1214.4451904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143.36310800000001</v>
      </c>
      <c r="B461" s="1">
        <f>DATE(2010,9,21) + TIME(8,42,52)</f>
        <v>40442.36310185185</v>
      </c>
      <c r="C461">
        <v>80</v>
      </c>
      <c r="D461">
        <v>79.912734985</v>
      </c>
      <c r="E461">
        <v>50</v>
      </c>
      <c r="F461">
        <v>15.464263916</v>
      </c>
      <c r="G461">
        <v>1382.2460937999999</v>
      </c>
      <c r="H461">
        <v>1369.4378661999999</v>
      </c>
      <c r="I461">
        <v>1253.9167480000001</v>
      </c>
      <c r="J461">
        <v>1214.4858397999999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143.813593</v>
      </c>
      <c r="B462" s="1">
        <f>DATE(2010,9,21) + TIME(19,31,34)</f>
        <v>40442.813587962963</v>
      </c>
      <c r="C462">
        <v>80</v>
      </c>
      <c r="D462">
        <v>79.912796021000005</v>
      </c>
      <c r="E462">
        <v>50</v>
      </c>
      <c r="F462">
        <v>15.494465827999999</v>
      </c>
      <c r="G462">
        <v>1382.2204589999999</v>
      </c>
      <c r="H462">
        <v>1369.4128418</v>
      </c>
      <c r="I462">
        <v>1253.9547118999999</v>
      </c>
      <c r="J462">
        <v>1214.5274658000001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144.26252400000001</v>
      </c>
      <c r="B463" s="1">
        <f>DATE(2010,9,22) + TIME(6,18,2)</f>
        <v>40443.262523148151</v>
      </c>
      <c r="C463">
        <v>80</v>
      </c>
      <c r="D463">
        <v>79.912849425999994</v>
      </c>
      <c r="E463">
        <v>50</v>
      </c>
      <c r="F463">
        <v>15.526366233999999</v>
      </c>
      <c r="G463">
        <v>1382.1950684000001</v>
      </c>
      <c r="H463">
        <v>1369.3879394999999</v>
      </c>
      <c r="I463">
        <v>1253.9932861</v>
      </c>
      <c r="J463">
        <v>1214.5701904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144.710173</v>
      </c>
      <c r="B464" s="1">
        <f>DATE(2010,9,22) + TIME(17,2,38)</f>
        <v>40443.710162037038</v>
      </c>
      <c r="C464">
        <v>80</v>
      </c>
      <c r="D464">
        <v>79.912910460999996</v>
      </c>
      <c r="E464">
        <v>50</v>
      </c>
      <c r="F464">
        <v>15.560044289</v>
      </c>
      <c r="G464">
        <v>1382.1696777</v>
      </c>
      <c r="H464">
        <v>1369.3631591999999</v>
      </c>
      <c r="I464">
        <v>1254.0324707</v>
      </c>
      <c r="J464">
        <v>1214.6137695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145.156814</v>
      </c>
      <c r="B465" s="1">
        <f>DATE(2010,9,23) + TIME(3,45,48)</f>
        <v>40444.156805555554</v>
      </c>
      <c r="C465">
        <v>80</v>
      </c>
      <c r="D465">
        <v>79.912971497000001</v>
      </c>
      <c r="E465">
        <v>50</v>
      </c>
      <c r="F465">
        <v>15.59558773</v>
      </c>
      <c r="G465">
        <v>1382.1445312000001</v>
      </c>
      <c r="H465">
        <v>1369.338501</v>
      </c>
      <c r="I465">
        <v>1254.0722656</v>
      </c>
      <c r="J465">
        <v>1214.6584473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145.602722</v>
      </c>
      <c r="B466" s="1">
        <f>DATE(2010,9,23) + TIME(14,27,55)</f>
        <v>40444.602719907409</v>
      </c>
      <c r="C466">
        <v>80</v>
      </c>
      <c r="D466">
        <v>79.913024902000004</v>
      </c>
      <c r="E466">
        <v>50</v>
      </c>
      <c r="F466">
        <v>15.633093834</v>
      </c>
      <c r="G466">
        <v>1382.1193848</v>
      </c>
      <c r="H466">
        <v>1369.3139647999999</v>
      </c>
      <c r="I466">
        <v>1254.1126709</v>
      </c>
      <c r="J466">
        <v>1214.7042236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146.048631</v>
      </c>
      <c r="B467" s="1">
        <f>DATE(2010,9,24) + TIME(1,10,1)</f>
        <v>40445.048622685186</v>
      </c>
      <c r="C467">
        <v>80</v>
      </c>
      <c r="D467">
        <v>79.913085937999995</v>
      </c>
      <c r="E467">
        <v>50</v>
      </c>
      <c r="F467">
        <v>15.672692298999999</v>
      </c>
      <c r="G467">
        <v>1382.0942382999999</v>
      </c>
      <c r="H467">
        <v>1369.2894286999999</v>
      </c>
      <c r="I467">
        <v>1254.1536865</v>
      </c>
      <c r="J467">
        <v>1214.7510986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146.494539</v>
      </c>
      <c r="B468" s="1">
        <f>DATE(2010,9,24) + TIME(11,52,8)</f>
        <v>40445.494537037041</v>
      </c>
      <c r="C468">
        <v>80</v>
      </c>
      <c r="D468">
        <v>79.913139342999997</v>
      </c>
      <c r="E468">
        <v>50</v>
      </c>
      <c r="F468">
        <v>15.714486122</v>
      </c>
      <c r="G468">
        <v>1382.0692139</v>
      </c>
      <c r="H468">
        <v>1369.2648925999999</v>
      </c>
      <c r="I468">
        <v>1254.1954346</v>
      </c>
      <c r="J468">
        <v>1214.7991943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146.94044700000001</v>
      </c>
      <c r="B469" s="1">
        <f>DATE(2010,9,24) + TIME(22,34,14)</f>
        <v>40445.940439814818</v>
      </c>
      <c r="C469">
        <v>80</v>
      </c>
      <c r="D469">
        <v>79.913200377999999</v>
      </c>
      <c r="E469">
        <v>50</v>
      </c>
      <c r="F469">
        <v>15.758579254000001</v>
      </c>
      <c r="G469">
        <v>1382.0443115</v>
      </c>
      <c r="H469">
        <v>1369.2404785000001</v>
      </c>
      <c r="I469">
        <v>1254.2379149999999</v>
      </c>
      <c r="J469">
        <v>1214.8485106999999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147.38635600000001</v>
      </c>
      <c r="B470" s="1">
        <f>DATE(2010,9,25) + TIME(9,16,21)</f>
        <v>40446.386354166665</v>
      </c>
      <c r="C470">
        <v>80</v>
      </c>
      <c r="D470">
        <v>79.913253784000005</v>
      </c>
      <c r="E470">
        <v>50</v>
      </c>
      <c r="F470">
        <v>15.805073738000001</v>
      </c>
      <c r="G470">
        <v>1382.0192870999999</v>
      </c>
      <c r="H470">
        <v>1369.2160644999999</v>
      </c>
      <c r="I470">
        <v>1254.2811279</v>
      </c>
      <c r="J470">
        <v>1214.8991699000001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147.83226400000001</v>
      </c>
      <c r="B471" s="1">
        <f>DATE(2010,9,25) + TIME(19,58,27)</f>
        <v>40446.832256944443</v>
      </c>
      <c r="C471">
        <v>80</v>
      </c>
      <c r="D471">
        <v>79.913314818999993</v>
      </c>
      <c r="E471">
        <v>50</v>
      </c>
      <c r="F471">
        <v>15.854068756</v>
      </c>
      <c r="G471">
        <v>1381.9945068</v>
      </c>
      <c r="H471">
        <v>1369.1917725000001</v>
      </c>
      <c r="I471">
        <v>1254.3249512</v>
      </c>
      <c r="J471">
        <v>1214.9511719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148.27817200000001</v>
      </c>
      <c r="B472" s="1">
        <f>DATE(2010,9,26) + TIME(6,40,34)</f>
        <v>40447.278171296297</v>
      </c>
      <c r="C472">
        <v>80</v>
      </c>
      <c r="D472">
        <v>79.913368224999999</v>
      </c>
      <c r="E472">
        <v>50</v>
      </c>
      <c r="F472">
        <v>15.90566349</v>
      </c>
      <c r="G472">
        <v>1381.9696045000001</v>
      </c>
      <c r="H472">
        <v>1369.1674805</v>
      </c>
      <c r="I472">
        <v>1254.3696289</v>
      </c>
      <c r="J472">
        <v>1215.0045166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148.72407999999999</v>
      </c>
      <c r="B473" s="1">
        <f>DATE(2010,9,26) + TIME(17,22,40)</f>
        <v>40447.724074074074</v>
      </c>
      <c r="C473">
        <v>80</v>
      </c>
      <c r="D473">
        <v>79.913429260000001</v>
      </c>
      <c r="E473">
        <v>50</v>
      </c>
      <c r="F473">
        <v>15.959952354</v>
      </c>
      <c r="G473">
        <v>1381.9448242000001</v>
      </c>
      <c r="H473">
        <v>1369.1431885</v>
      </c>
      <c r="I473">
        <v>1254.4149170000001</v>
      </c>
      <c r="J473">
        <v>1215.0594481999999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149.16998899999999</v>
      </c>
      <c r="B474" s="1">
        <f>DATE(2010,9,27) + TIME(4,4,47)</f>
        <v>40448.169988425929</v>
      </c>
      <c r="C474">
        <v>80</v>
      </c>
      <c r="D474">
        <v>79.913482665999993</v>
      </c>
      <c r="E474">
        <v>50</v>
      </c>
      <c r="F474">
        <v>16.017026901000001</v>
      </c>
      <c r="G474">
        <v>1381.9200439000001</v>
      </c>
      <c r="H474">
        <v>1369.1188964999999</v>
      </c>
      <c r="I474">
        <v>1254.4608154</v>
      </c>
      <c r="J474">
        <v>1215.1157227000001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149.61589699999999</v>
      </c>
      <c r="B475" s="1">
        <f>DATE(2010,9,27) + TIME(14,46,53)</f>
        <v>40448.615891203706</v>
      </c>
      <c r="C475">
        <v>80</v>
      </c>
      <c r="D475">
        <v>79.913543700999995</v>
      </c>
      <c r="E475">
        <v>50</v>
      </c>
      <c r="F475">
        <v>16.076978683</v>
      </c>
      <c r="G475">
        <v>1381.8952637</v>
      </c>
      <c r="H475">
        <v>1369.0947266000001</v>
      </c>
      <c r="I475">
        <v>1254.5075684000001</v>
      </c>
      <c r="J475">
        <v>1215.1734618999999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150.06156200000001</v>
      </c>
      <c r="B476" s="1">
        <f>DATE(2010,9,28) + TIME(1,28,38)</f>
        <v>40449.061550925922</v>
      </c>
      <c r="C476">
        <v>80</v>
      </c>
      <c r="D476">
        <v>79.913597107000001</v>
      </c>
      <c r="E476">
        <v>50</v>
      </c>
      <c r="F476">
        <v>16.139877319</v>
      </c>
      <c r="G476">
        <v>1381.8706055</v>
      </c>
      <c r="H476">
        <v>1369.0705565999999</v>
      </c>
      <c r="I476">
        <v>1254.5549315999999</v>
      </c>
      <c r="J476">
        <v>1215.2326660000001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150.50711000000001</v>
      </c>
      <c r="B477" s="1">
        <f>DATE(2010,9,28) + TIME(12,10,14)</f>
        <v>40449.507106481484</v>
      </c>
      <c r="C477">
        <v>80</v>
      </c>
      <c r="D477">
        <v>79.913650512999993</v>
      </c>
      <c r="E477">
        <v>50</v>
      </c>
      <c r="F477">
        <v>16.205810546999999</v>
      </c>
      <c r="G477">
        <v>1381.8459473</v>
      </c>
      <c r="H477">
        <v>1369.0463867000001</v>
      </c>
      <c r="I477">
        <v>1254.6030272999999</v>
      </c>
      <c r="J477">
        <v>1215.2935791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150.95265699999999</v>
      </c>
      <c r="B478" s="1">
        <f>DATE(2010,9,28) + TIME(22,51,49)</f>
        <v>40449.952650462961</v>
      </c>
      <c r="C478">
        <v>80</v>
      </c>
      <c r="D478">
        <v>79.913711547999995</v>
      </c>
      <c r="E478">
        <v>50</v>
      </c>
      <c r="F478">
        <v>16.274869919</v>
      </c>
      <c r="G478">
        <v>1381.8212891000001</v>
      </c>
      <c r="H478">
        <v>1369.0223389</v>
      </c>
      <c r="I478">
        <v>1254.6517334</v>
      </c>
      <c r="J478">
        <v>1215.355957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151.39820399999999</v>
      </c>
      <c r="B479" s="1">
        <f>DATE(2010,9,29) + TIME(9,33,24)</f>
        <v>40450.398194444446</v>
      </c>
      <c r="C479">
        <v>80</v>
      </c>
      <c r="D479">
        <v>79.913764954000001</v>
      </c>
      <c r="E479">
        <v>50</v>
      </c>
      <c r="F479">
        <v>16.347141266000001</v>
      </c>
      <c r="G479">
        <v>1381.7967529</v>
      </c>
      <c r="H479">
        <v>1368.9982910000001</v>
      </c>
      <c r="I479">
        <v>1254.7010498</v>
      </c>
      <c r="J479">
        <v>1215.4200439000001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151.843751</v>
      </c>
      <c r="B480" s="1">
        <f>DATE(2010,9,29) + TIME(20,15,0)</f>
        <v>40450.84375</v>
      </c>
      <c r="C480">
        <v>80</v>
      </c>
      <c r="D480">
        <v>79.913825989000003</v>
      </c>
      <c r="E480">
        <v>50</v>
      </c>
      <c r="F480">
        <v>16.422700882000001</v>
      </c>
      <c r="G480">
        <v>1381.7722168</v>
      </c>
      <c r="H480">
        <v>1368.9742432</v>
      </c>
      <c r="I480">
        <v>1254.7510986</v>
      </c>
      <c r="J480">
        <v>1215.4857178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152.734846</v>
      </c>
      <c r="B481" s="1">
        <f>DATE(2010,9,30) + TIME(17,38,10)</f>
        <v>40451.734837962962</v>
      </c>
      <c r="C481">
        <v>80</v>
      </c>
      <c r="D481">
        <v>79.913955688000001</v>
      </c>
      <c r="E481">
        <v>50</v>
      </c>
      <c r="F481">
        <v>16.538843154999999</v>
      </c>
      <c r="G481">
        <v>1381.7352295000001</v>
      </c>
      <c r="H481">
        <v>1368.9378661999999</v>
      </c>
      <c r="I481">
        <v>1254.7999268000001</v>
      </c>
      <c r="J481">
        <v>1215.5709228999999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153</v>
      </c>
      <c r="B482" s="1">
        <f>DATE(2010,10,1) + TIME(0,0,0)</f>
        <v>40452</v>
      </c>
      <c r="C482">
        <v>80</v>
      </c>
      <c r="D482">
        <v>79.913970946999996</v>
      </c>
      <c r="E482">
        <v>50</v>
      </c>
      <c r="F482">
        <v>16.609146118000002</v>
      </c>
      <c r="G482">
        <v>1381.7149658000001</v>
      </c>
      <c r="H482">
        <v>1368.918457</v>
      </c>
      <c r="I482">
        <v>1254.9000243999999</v>
      </c>
      <c r="J482">
        <v>1215.6575928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153.89558299999999</v>
      </c>
      <c r="B483" s="1">
        <f>DATE(2010,10,1) + TIME(21,29,38)</f>
        <v>40452.895578703705</v>
      </c>
      <c r="C483">
        <v>80</v>
      </c>
      <c r="D483">
        <v>79.914100646999998</v>
      </c>
      <c r="E483">
        <v>50</v>
      </c>
      <c r="F483">
        <v>16.750810623</v>
      </c>
      <c r="G483">
        <v>1381.6745605000001</v>
      </c>
      <c r="H483">
        <v>1368.878418</v>
      </c>
      <c r="I483">
        <v>1254.9334716999999</v>
      </c>
      <c r="J483">
        <v>1215.7485352000001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154.81227699999999</v>
      </c>
      <c r="B484" s="1">
        <f>DATE(2010,10,2) + TIME(19,29,40)</f>
        <v>40453.812268518515</v>
      </c>
      <c r="C484">
        <v>80</v>
      </c>
      <c r="D484">
        <v>79.914215088000006</v>
      </c>
      <c r="E484">
        <v>50</v>
      </c>
      <c r="F484">
        <v>16.923810959000001</v>
      </c>
      <c r="G484">
        <v>1381.6291504000001</v>
      </c>
      <c r="H484">
        <v>1368.8339844</v>
      </c>
      <c r="I484">
        <v>1255.0377197</v>
      </c>
      <c r="J484">
        <v>1215.8887939000001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155.72925900000001</v>
      </c>
      <c r="B485" s="1">
        <f>DATE(2010,10,3) + TIME(17,30,7)</f>
        <v>40454.729247685187</v>
      </c>
      <c r="C485">
        <v>80</v>
      </c>
      <c r="D485">
        <v>79.914329529</v>
      </c>
      <c r="E485">
        <v>50</v>
      </c>
      <c r="F485">
        <v>17.120811461999999</v>
      </c>
      <c r="G485">
        <v>1381.5814209</v>
      </c>
      <c r="H485">
        <v>1368.7872314000001</v>
      </c>
      <c r="I485">
        <v>1255.1488036999999</v>
      </c>
      <c r="J485">
        <v>1216.0440673999999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156.64977200000001</v>
      </c>
      <c r="B486" s="1">
        <f>DATE(2010,10,4) + TIME(15,35,40)</f>
        <v>40455.649768518517</v>
      </c>
      <c r="C486">
        <v>80</v>
      </c>
      <c r="D486">
        <v>79.914436339999995</v>
      </c>
      <c r="E486">
        <v>50</v>
      </c>
      <c r="F486">
        <v>17.338209152000001</v>
      </c>
      <c r="G486">
        <v>1381.5327147999999</v>
      </c>
      <c r="H486">
        <v>1368.7395019999999</v>
      </c>
      <c r="I486">
        <v>1255.262207</v>
      </c>
      <c r="J486">
        <v>1216.2094727000001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157.11085600000001</v>
      </c>
      <c r="B487" s="1">
        <f>DATE(2010,10,5) + TIME(2,39,37)</f>
        <v>40456.110844907409</v>
      </c>
      <c r="C487">
        <v>80</v>
      </c>
      <c r="D487">
        <v>79.914474487000007</v>
      </c>
      <c r="E487">
        <v>50</v>
      </c>
      <c r="F487">
        <v>17.500268936000001</v>
      </c>
      <c r="G487">
        <v>1381.4997559000001</v>
      </c>
      <c r="H487">
        <v>1368.7075195</v>
      </c>
      <c r="I487">
        <v>1255.3854980000001</v>
      </c>
      <c r="J487">
        <v>1216.3524170000001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157.56806499999999</v>
      </c>
      <c r="B488" s="1">
        <f>DATE(2010,10,5) + TIME(13,38,0)</f>
        <v>40456.568055555559</v>
      </c>
      <c r="C488">
        <v>80</v>
      </c>
      <c r="D488">
        <v>79.914527892999999</v>
      </c>
      <c r="E488">
        <v>50</v>
      </c>
      <c r="F488">
        <v>17.651214599999999</v>
      </c>
      <c r="G488">
        <v>1381.4702147999999</v>
      </c>
      <c r="H488">
        <v>1368.6784668</v>
      </c>
      <c r="I488">
        <v>1255.4459228999999</v>
      </c>
      <c r="J488">
        <v>1216.4580077999999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158.025274</v>
      </c>
      <c r="B489" s="1">
        <f>DATE(2010,10,6) + TIME(0,36,23)</f>
        <v>40457.025266203702</v>
      </c>
      <c r="C489">
        <v>80</v>
      </c>
      <c r="D489">
        <v>79.914588928000001</v>
      </c>
      <c r="E489">
        <v>50</v>
      </c>
      <c r="F489">
        <v>17.797094345000001</v>
      </c>
      <c r="G489">
        <v>1381.442749</v>
      </c>
      <c r="H489">
        <v>1368.6514893000001</v>
      </c>
      <c r="I489">
        <v>1255.5037841999999</v>
      </c>
      <c r="J489">
        <v>1216.5583495999999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158.482483</v>
      </c>
      <c r="B490" s="1">
        <f>DATE(2010,10,6) + TIME(11,34,46)</f>
        <v>40457.482476851852</v>
      </c>
      <c r="C490">
        <v>80</v>
      </c>
      <c r="D490">
        <v>79.914642334000007</v>
      </c>
      <c r="E490">
        <v>50</v>
      </c>
      <c r="F490">
        <v>17.941265105999999</v>
      </c>
      <c r="G490">
        <v>1381.4163818</v>
      </c>
      <c r="H490">
        <v>1368.6256103999999</v>
      </c>
      <c r="I490">
        <v>1255.5621338000001</v>
      </c>
      <c r="J490">
        <v>1216.6577147999999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158.93969300000001</v>
      </c>
      <c r="B491" s="1">
        <f>DATE(2010,10,6) + TIME(22,33,9)</f>
        <v>40457.939687500002</v>
      </c>
      <c r="C491">
        <v>80</v>
      </c>
      <c r="D491">
        <v>79.914703368999994</v>
      </c>
      <c r="E491">
        <v>50</v>
      </c>
      <c r="F491">
        <v>18.085819244</v>
      </c>
      <c r="G491">
        <v>1381.390625</v>
      </c>
      <c r="H491">
        <v>1368.6003418</v>
      </c>
      <c r="I491">
        <v>1255.6212158000001</v>
      </c>
      <c r="J491">
        <v>1216.7573242000001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159.39690200000001</v>
      </c>
      <c r="B492" s="1">
        <f>DATE(2010,10,7) + TIME(9,31,32)</f>
        <v>40458.396898148145</v>
      </c>
      <c r="C492">
        <v>80</v>
      </c>
      <c r="D492">
        <v>79.914764403999996</v>
      </c>
      <c r="E492">
        <v>50</v>
      </c>
      <c r="F492">
        <v>18.232063293</v>
      </c>
      <c r="G492">
        <v>1381.3652344</v>
      </c>
      <c r="H492">
        <v>1368.5754394999999</v>
      </c>
      <c r="I492">
        <v>1255.6809082</v>
      </c>
      <c r="J492">
        <v>1216.8579102000001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159.85411099999999</v>
      </c>
      <c r="B493" s="1">
        <f>DATE(2010,10,7) + TIME(20,29,55)</f>
        <v>40458.854108796295</v>
      </c>
      <c r="C493">
        <v>80</v>
      </c>
      <c r="D493">
        <v>79.914825438999998</v>
      </c>
      <c r="E493">
        <v>50</v>
      </c>
      <c r="F493">
        <v>18.380786896</v>
      </c>
      <c r="G493">
        <v>1381.3400879000001</v>
      </c>
      <c r="H493">
        <v>1368.5507812000001</v>
      </c>
      <c r="I493">
        <v>1255.7410889</v>
      </c>
      <c r="J493">
        <v>1216.9599608999999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160.31131999999999</v>
      </c>
      <c r="B494" s="1">
        <f>DATE(2010,10,8) + TIME(7,28,18)</f>
        <v>40459.311319444445</v>
      </c>
      <c r="C494">
        <v>80</v>
      </c>
      <c r="D494">
        <v>79.914878845000004</v>
      </c>
      <c r="E494">
        <v>50</v>
      </c>
      <c r="F494">
        <v>18.532438278000001</v>
      </c>
      <c r="G494">
        <v>1381.3151855000001</v>
      </c>
      <c r="H494">
        <v>1368.5262451000001</v>
      </c>
      <c r="I494">
        <v>1255.8016356999999</v>
      </c>
      <c r="J494">
        <v>1217.0633545000001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160.768529</v>
      </c>
      <c r="B495" s="1">
        <f>DATE(2010,10,8) + TIME(18,26,40)</f>
        <v>40459.768518518518</v>
      </c>
      <c r="C495">
        <v>80</v>
      </c>
      <c r="D495">
        <v>79.914939880000006</v>
      </c>
      <c r="E495">
        <v>50</v>
      </c>
      <c r="F495">
        <v>18.687267302999999</v>
      </c>
      <c r="G495">
        <v>1381.2902832</v>
      </c>
      <c r="H495">
        <v>1368.5018310999999</v>
      </c>
      <c r="I495">
        <v>1255.8625488</v>
      </c>
      <c r="J495">
        <v>1217.168457</v>
      </c>
      <c r="K495">
        <v>2400</v>
      </c>
      <c r="L495">
        <v>0</v>
      </c>
      <c r="M495">
        <v>0</v>
      </c>
      <c r="N495">
        <v>2400</v>
      </c>
    </row>
    <row r="496" spans="1:14" x14ac:dyDescent="0.25">
      <c r="A496">
        <v>161.225739</v>
      </c>
      <c r="B496" s="1">
        <f>DATE(2010,10,9) + TIME(5,25,3)</f>
        <v>40460.225729166668</v>
      </c>
      <c r="C496">
        <v>80</v>
      </c>
      <c r="D496">
        <v>79.914993285999998</v>
      </c>
      <c r="E496">
        <v>50</v>
      </c>
      <c r="F496">
        <v>18.845411300999999</v>
      </c>
      <c r="G496">
        <v>1381.265625</v>
      </c>
      <c r="H496">
        <v>1368.4776611</v>
      </c>
      <c r="I496">
        <v>1255.9235839999999</v>
      </c>
      <c r="J496">
        <v>1217.2752685999999</v>
      </c>
      <c r="K496">
        <v>2400</v>
      </c>
      <c r="L496">
        <v>0</v>
      </c>
      <c r="M496">
        <v>0</v>
      </c>
      <c r="N496">
        <v>2400</v>
      </c>
    </row>
    <row r="497" spans="1:14" x14ac:dyDescent="0.25">
      <c r="A497">
        <v>161.68294800000001</v>
      </c>
      <c r="B497" s="1">
        <f>DATE(2010,10,9) + TIME(16,23,26)</f>
        <v>40460.682939814818</v>
      </c>
      <c r="C497">
        <v>80</v>
      </c>
      <c r="D497">
        <v>79.915054321</v>
      </c>
      <c r="E497">
        <v>50</v>
      </c>
      <c r="F497">
        <v>19.006883621</v>
      </c>
      <c r="G497">
        <v>1381.2409668</v>
      </c>
      <c r="H497">
        <v>1368.4534911999999</v>
      </c>
      <c r="I497">
        <v>1255.9849853999999</v>
      </c>
      <c r="J497">
        <v>1217.3835449000001</v>
      </c>
      <c r="K497">
        <v>2400</v>
      </c>
      <c r="L497">
        <v>0</v>
      </c>
      <c r="M497">
        <v>0</v>
      </c>
      <c r="N497">
        <v>2400</v>
      </c>
    </row>
    <row r="498" spans="1:14" x14ac:dyDescent="0.25">
      <c r="A498">
        <v>162.14015699999999</v>
      </c>
      <c r="B498" s="1">
        <f>DATE(2010,10,10) + TIME(3,21,49)</f>
        <v>40461.140150462961</v>
      </c>
      <c r="C498">
        <v>80</v>
      </c>
      <c r="D498">
        <v>79.915107727000006</v>
      </c>
      <c r="E498">
        <v>50</v>
      </c>
      <c r="F498">
        <v>19.171676636000001</v>
      </c>
      <c r="G498">
        <v>1381.2165527</v>
      </c>
      <c r="H498">
        <v>1368.4294434000001</v>
      </c>
      <c r="I498">
        <v>1256.0465088000001</v>
      </c>
      <c r="J498">
        <v>1217.4935303</v>
      </c>
      <c r="K498">
        <v>2400</v>
      </c>
      <c r="L498">
        <v>0</v>
      </c>
      <c r="M498">
        <v>0</v>
      </c>
      <c r="N498">
        <v>2400</v>
      </c>
    </row>
    <row r="499" spans="1:14" x14ac:dyDescent="0.25">
      <c r="A499">
        <v>162.59736599999999</v>
      </c>
      <c r="B499" s="1">
        <f>DATE(2010,10,10) + TIME(14,20,12)</f>
        <v>40461.597361111111</v>
      </c>
      <c r="C499">
        <v>80</v>
      </c>
      <c r="D499">
        <v>79.915168761999993</v>
      </c>
      <c r="E499">
        <v>50</v>
      </c>
      <c r="F499">
        <v>19.339748383</v>
      </c>
      <c r="G499">
        <v>1381.1921387</v>
      </c>
      <c r="H499">
        <v>1368.4055175999999</v>
      </c>
      <c r="I499">
        <v>1256.1081543</v>
      </c>
      <c r="J499">
        <v>1217.6051024999999</v>
      </c>
      <c r="K499">
        <v>2400</v>
      </c>
      <c r="L499">
        <v>0</v>
      </c>
      <c r="M499">
        <v>0</v>
      </c>
      <c r="N499">
        <v>2400</v>
      </c>
    </row>
    <row r="500" spans="1:14" x14ac:dyDescent="0.25">
      <c r="A500">
        <v>163.054575</v>
      </c>
      <c r="B500" s="1">
        <f>DATE(2010,10,11) + TIME(1,18,35)</f>
        <v>40462.054571759261</v>
      </c>
      <c r="C500">
        <v>80</v>
      </c>
      <c r="D500">
        <v>79.915222168</v>
      </c>
      <c r="E500">
        <v>50</v>
      </c>
      <c r="F500">
        <v>19.511018752999998</v>
      </c>
      <c r="G500">
        <v>1381.1677245999999</v>
      </c>
      <c r="H500">
        <v>1368.3815918</v>
      </c>
      <c r="I500">
        <v>1256.1700439000001</v>
      </c>
      <c r="J500">
        <v>1217.7182617000001</v>
      </c>
      <c r="K500">
        <v>2400</v>
      </c>
      <c r="L500">
        <v>0</v>
      </c>
      <c r="M500">
        <v>0</v>
      </c>
      <c r="N500">
        <v>2400</v>
      </c>
    </row>
    <row r="501" spans="1:14" x14ac:dyDescent="0.25">
      <c r="A501">
        <v>163.511785</v>
      </c>
      <c r="B501" s="1">
        <f>DATE(2010,10,11) + TIME(12,16,58)</f>
        <v>40462.511782407404</v>
      </c>
      <c r="C501">
        <v>80</v>
      </c>
      <c r="D501">
        <v>79.915283203000001</v>
      </c>
      <c r="E501">
        <v>50</v>
      </c>
      <c r="F501">
        <v>19.685384750000001</v>
      </c>
      <c r="G501">
        <v>1381.1435547000001</v>
      </c>
      <c r="H501">
        <v>1368.3577881000001</v>
      </c>
      <c r="I501">
        <v>1256.2319336</v>
      </c>
      <c r="J501">
        <v>1217.8328856999999</v>
      </c>
      <c r="K501">
        <v>2400</v>
      </c>
      <c r="L501">
        <v>0</v>
      </c>
      <c r="M501">
        <v>0</v>
      </c>
      <c r="N501">
        <v>2400</v>
      </c>
    </row>
    <row r="502" spans="1:14" x14ac:dyDescent="0.25">
      <c r="A502">
        <v>163.96899400000001</v>
      </c>
      <c r="B502" s="1">
        <f>DATE(2010,10,11) + TIME(23,15,21)</f>
        <v>40462.968993055554</v>
      </c>
      <c r="C502">
        <v>80</v>
      </c>
      <c r="D502">
        <v>79.915336608999993</v>
      </c>
      <c r="E502">
        <v>50</v>
      </c>
      <c r="F502">
        <v>19.862716675000001</v>
      </c>
      <c r="G502">
        <v>1381.1192627</v>
      </c>
      <c r="H502">
        <v>1368.3339844</v>
      </c>
      <c r="I502">
        <v>1256.2940673999999</v>
      </c>
      <c r="J502">
        <v>1217.9489745999999</v>
      </c>
      <c r="K502">
        <v>2400</v>
      </c>
      <c r="L502">
        <v>0</v>
      </c>
      <c r="M502">
        <v>0</v>
      </c>
      <c r="N502">
        <v>2400</v>
      </c>
    </row>
    <row r="503" spans="1:14" x14ac:dyDescent="0.25">
      <c r="A503">
        <v>164.42620299999999</v>
      </c>
      <c r="B503" s="1">
        <f>DATE(2010,10,12) + TIME(10,13,43)</f>
        <v>40463.426192129627</v>
      </c>
      <c r="C503">
        <v>80</v>
      </c>
      <c r="D503">
        <v>79.915390015</v>
      </c>
      <c r="E503">
        <v>50</v>
      </c>
      <c r="F503">
        <v>20.04293251</v>
      </c>
      <c r="G503">
        <v>1381.0952147999999</v>
      </c>
      <c r="H503">
        <v>1368.3103027</v>
      </c>
      <c r="I503">
        <v>1256.3562012</v>
      </c>
      <c r="J503">
        <v>1218.0664062000001</v>
      </c>
      <c r="K503">
        <v>2400</v>
      </c>
      <c r="L503">
        <v>0</v>
      </c>
      <c r="M503">
        <v>0</v>
      </c>
      <c r="N503">
        <v>2400</v>
      </c>
    </row>
    <row r="504" spans="1:14" x14ac:dyDescent="0.25">
      <c r="A504">
        <v>164.88341199999999</v>
      </c>
      <c r="B504" s="1">
        <f>DATE(2010,10,12) + TIME(21,12,6)</f>
        <v>40463.883402777778</v>
      </c>
      <c r="C504">
        <v>80</v>
      </c>
      <c r="D504">
        <v>79.915451050000001</v>
      </c>
      <c r="E504">
        <v>50</v>
      </c>
      <c r="F504">
        <v>20.226005554</v>
      </c>
      <c r="G504">
        <v>1381.0711670000001</v>
      </c>
      <c r="H504">
        <v>1368.2867432</v>
      </c>
      <c r="I504">
        <v>1256.4183350000001</v>
      </c>
      <c r="J504">
        <v>1218.1851807</v>
      </c>
      <c r="K504">
        <v>2400</v>
      </c>
      <c r="L504">
        <v>0</v>
      </c>
      <c r="M504">
        <v>0</v>
      </c>
      <c r="N504">
        <v>2400</v>
      </c>
    </row>
    <row r="505" spans="1:14" x14ac:dyDescent="0.25">
      <c r="A505">
        <v>165.340621</v>
      </c>
      <c r="B505" s="1">
        <f>DATE(2010,10,13) + TIME(8,10,29)</f>
        <v>40464.340613425928</v>
      </c>
      <c r="C505">
        <v>80</v>
      </c>
      <c r="D505">
        <v>79.915504455999994</v>
      </c>
      <c r="E505">
        <v>50</v>
      </c>
      <c r="F505">
        <v>20.411643982000001</v>
      </c>
      <c r="G505">
        <v>1381.0472411999999</v>
      </c>
      <c r="H505">
        <v>1368.2631836</v>
      </c>
      <c r="I505">
        <v>1256.4805908000001</v>
      </c>
      <c r="J505">
        <v>1218.3051757999999</v>
      </c>
      <c r="K505">
        <v>2400</v>
      </c>
      <c r="L505">
        <v>0</v>
      </c>
      <c r="M505">
        <v>0</v>
      </c>
      <c r="N505">
        <v>2400</v>
      </c>
    </row>
    <row r="506" spans="1:14" x14ac:dyDescent="0.25">
      <c r="A506">
        <v>165.797831</v>
      </c>
      <c r="B506" s="1">
        <f>DATE(2010,10,13) + TIME(19,8,52)</f>
        <v>40464.797824074078</v>
      </c>
      <c r="C506">
        <v>80</v>
      </c>
      <c r="D506">
        <v>79.915557860999996</v>
      </c>
      <c r="E506">
        <v>50</v>
      </c>
      <c r="F506">
        <v>20.599649428999999</v>
      </c>
      <c r="G506">
        <v>1381.0233154</v>
      </c>
      <c r="H506">
        <v>1368.2397461</v>
      </c>
      <c r="I506">
        <v>1256.5428466999999</v>
      </c>
      <c r="J506">
        <v>1218.4263916</v>
      </c>
      <c r="K506">
        <v>2400</v>
      </c>
      <c r="L506">
        <v>0</v>
      </c>
      <c r="M506">
        <v>0</v>
      </c>
      <c r="N506">
        <v>2400</v>
      </c>
    </row>
    <row r="507" spans="1:14" x14ac:dyDescent="0.25">
      <c r="A507">
        <v>166.25504000000001</v>
      </c>
      <c r="B507" s="1">
        <f>DATE(2010,10,14) + TIME(6,7,15)</f>
        <v>40465.25503472222</v>
      </c>
      <c r="C507">
        <v>80</v>
      </c>
      <c r="D507">
        <v>79.915618895999998</v>
      </c>
      <c r="E507">
        <v>50</v>
      </c>
      <c r="F507">
        <v>20.789791106999999</v>
      </c>
      <c r="G507">
        <v>1380.9995117000001</v>
      </c>
      <c r="H507">
        <v>1368.2163086</v>
      </c>
      <c r="I507">
        <v>1256.6052245999999</v>
      </c>
      <c r="J507">
        <v>1218.5488281</v>
      </c>
      <c r="K507">
        <v>2400</v>
      </c>
      <c r="L507">
        <v>0</v>
      </c>
      <c r="M507">
        <v>0</v>
      </c>
      <c r="N507">
        <v>2400</v>
      </c>
    </row>
    <row r="508" spans="1:14" x14ac:dyDescent="0.25">
      <c r="A508">
        <v>167.16945799999999</v>
      </c>
      <c r="B508" s="1">
        <f>DATE(2010,10,15) + TIME(4,4,1)</f>
        <v>40466.169456018521</v>
      </c>
      <c r="C508">
        <v>80</v>
      </c>
      <c r="D508">
        <v>79.915748596</v>
      </c>
      <c r="E508">
        <v>50</v>
      </c>
      <c r="F508">
        <v>21.066850662</v>
      </c>
      <c r="G508">
        <v>1380.9631348</v>
      </c>
      <c r="H508">
        <v>1368.1804199000001</v>
      </c>
      <c r="I508">
        <v>1256.6529541</v>
      </c>
      <c r="J508">
        <v>1218.703125</v>
      </c>
      <c r="K508">
        <v>2400</v>
      </c>
      <c r="L508">
        <v>0</v>
      </c>
      <c r="M508">
        <v>0</v>
      </c>
      <c r="N508">
        <v>2400</v>
      </c>
    </row>
    <row r="509" spans="1:14" x14ac:dyDescent="0.25">
      <c r="A509">
        <v>168.08848900000001</v>
      </c>
      <c r="B509" s="1">
        <f>DATE(2010,10,16) + TIME(2,7,25)</f>
        <v>40467.088483796295</v>
      </c>
      <c r="C509">
        <v>80</v>
      </c>
      <c r="D509">
        <v>79.915855407999999</v>
      </c>
      <c r="E509">
        <v>50</v>
      </c>
      <c r="F509">
        <v>21.409379958999999</v>
      </c>
      <c r="G509">
        <v>1380.9208983999999</v>
      </c>
      <c r="H509">
        <v>1368.1390381000001</v>
      </c>
      <c r="I509">
        <v>1256.7823486</v>
      </c>
      <c r="J509">
        <v>1218.9320068</v>
      </c>
      <c r="K509">
        <v>2400</v>
      </c>
      <c r="L509">
        <v>0</v>
      </c>
      <c r="M509">
        <v>0</v>
      </c>
      <c r="N509">
        <v>2400</v>
      </c>
    </row>
    <row r="510" spans="1:14" x14ac:dyDescent="0.25">
      <c r="A510">
        <v>169.050309</v>
      </c>
      <c r="B510" s="1">
        <f>DATE(2010,10,17) + TIME(1,12,26)</f>
        <v>40468.050300925926</v>
      </c>
      <c r="C510">
        <v>80</v>
      </c>
      <c r="D510">
        <v>79.915969849000007</v>
      </c>
      <c r="E510">
        <v>50</v>
      </c>
      <c r="F510">
        <v>21.791801453000001</v>
      </c>
      <c r="G510">
        <v>1380.8753661999999</v>
      </c>
      <c r="H510">
        <v>1368.0943603999999</v>
      </c>
      <c r="I510">
        <v>1256.909668</v>
      </c>
      <c r="J510">
        <v>1219.1799315999999</v>
      </c>
      <c r="K510">
        <v>2400</v>
      </c>
      <c r="L510">
        <v>0</v>
      </c>
      <c r="M510">
        <v>0</v>
      </c>
      <c r="N510">
        <v>2400</v>
      </c>
    </row>
    <row r="511" spans="1:14" x14ac:dyDescent="0.25">
      <c r="A511">
        <v>170.05779999999999</v>
      </c>
      <c r="B511" s="1">
        <f>DATE(2010,10,18) + TIME(1,23,13)</f>
        <v>40469.057789351849</v>
      </c>
      <c r="C511">
        <v>80</v>
      </c>
      <c r="D511">
        <v>79.916091918999996</v>
      </c>
      <c r="E511">
        <v>50</v>
      </c>
      <c r="F511">
        <v>22.205665587999999</v>
      </c>
      <c r="G511">
        <v>1380.8271483999999</v>
      </c>
      <c r="H511">
        <v>1368.0469971</v>
      </c>
      <c r="I511">
        <v>1257.0415039</v>
      </c>
      <c r="J511">
        <v>1219.4455565999999</v>
      </c>
      <c r="K511">
        <v>2400</v>
      </c>
      <c r="L511">
        <v>0</v>
      </c>
      <c r="M511">
        <v>0</v>
      </c>
      <c r="N511">
        <v>2400</v>
      </c>
    </row>
    <row r="512" spans="1:14" x14ac:dyDescent="0.25">
      <c r="A512">
        <v>171.07144500000001</v>
      </c>
      <c r="B512" s="1">
        <f>DATE(2010,10,19) + TIME(1,42,52)</f>
        <v>40470.071435185186</v>
      </c>
      <c r="C512">
        <v>80</v>
      </c>
      <c r="D512">
        <v>79.916213988999999</v>
      </c>
      <c r="E512">
        <v>50</v>
      </c>
      <c r="F512">
        <v>22.63948822</v>
      </c>
      <c r="G512">
        <v>1380.7777100000001</v>
      </c>
      <c r="H512">
        <v>1367.9984131000001</v>
      </c>
      <c r="I512">
        <v>1257.1805420000001</v>
      </c>
      <c r="J512">
        <v>1219.7250977000001</v>
      </c>
      <c r="K512">
        <v>2400</v>
      </c>
      <c r="L512">
        <v>0</v>
      </c>
      <c r="M512">
        <v>0</v>
      </c>
      <c r="N512">
        <v>2400</v>
      </c>
    </row>
    <row r="513" spans="1:14" x14ac:dyDescent="0.25">
      <c r="A513">
        <v>172.09327400000001</v>
      </c>
      <c r="B513" s="1">
        <f>DATE(2010,10,20) + TIME(2,14,18)</f>
        <v>40471.093263888892</v>
      </c>
      <c r="C513">
        <v>80</v>
      </c>
      <c r="D513">
        <v>79.916336060000006</v>
      </c>
      <c r="E513">
        <v>50</v>
      </c>
      <c r="F513">
        <v>23.084041594999999</v>
      </c>
      <c r="G513">
        <v>1380.7276611</v>
      </c>
      <c r="H513">
        <v>1367.9492187999999</v>
      </c>
      <c r="I513">
        <v>1257.3200684000001</v>
      </c>
      <c r="J513">
        <v>1220.0114745999999</v>
      </c>
      <c r="K513">
        <v>2400</v>
      </c>
      <c r="L513">
        <v>0</v>
      </c>
      <c r="M513">
        <v>0</v>
      </c>
      <c r="N513">
        <v>2400</v>
      </c>
    </row>
    <row r="514" spans="1:14" x14ac:dyDescent="0.25">
      <c r="A514">
        <v>173.13887</v>
      </c>
      <c r="B514" s="1">
        <f>DATE(2010,10,21) + TIME(3,19,58)</f>
        <v>40472.138865740744</v>
      </c>
      <c r="C514">
        <v>80</v>
      </c>
      <c r="D514">
        <v>79.916458129999995</v>
      </c>
      <c r="E514">
        <v>50</v>
      </c>
      <c r="F514">
        <v>23.537380218999999</v>
      </c>
      <c r="G514">
        <v>1380.6768798999999</v>
      </c>
      <c r="H514">
        <v>1367.8994141000001</v>
      </c>
      <c r="I514">
        <v>1257.4604492000001</v>
      </c>
      <c r="J514">
        <v>1220.3043213000001</v>
      </c>
      <c r="K514">
        <v>2400</v>
      </c>
      <c r="L514">
        <v>0</v>
      </c>
      <c r="M514">
        <v>0</v>
      </c>
      <c r="N514">
        <v>2400</v>
      </c>
    </row>
    <row r="515" spans="1:14" x14ac:dyDescent="0.25">
      <c r="A515">
        <v>174.22551300000001</v>
      </c>
      <c r="B515" s="1">
        <f>DATE(2010,10,22) + TIME(5,24,44)</f>
        <v>40473.22550925926</v>
      </c>
      <c r="C515">
        <v>80</v>
      </c>
      <c r="D515">
        <v>79.916587829999997</v>
      </c>
      <c r="E515">
        <v>50</v>
      </c>
      <c r="F515">
        <v>24.002155303999999</v>
      </c>
      <c r="G515">
        <v>1380.6248779</v>
      </c>
      <c r="H515">
        <v>1367.8482666</v>
      </c>
      <c r="I515">
        <v>1257.604126</v>
      </c>
      <c r="J515">
        <v>1220.6065673999999</v>
      </c>
      <c r="K515">
        <v>2400</v>
      </c>
      <c r="L515">
        <v>0</v>
      </c>
      <c r="M515">
        <v>0</v>
      </c>
      <c r="N515">
        <v>2400</v>
      </c>
    </row>
    <row r="516" spans="1:14" x14ac:dyDescent="0.25">
      <c r="A516">
        <v>175.343155</v>
      </c>
      <c r="B516" s="1">
        <f>DATE(2010,10,23) + TIME(8,14,8)</f>
        <v>40474.343148148146</v>
      </c>
      <c r="C516">
        <v>80</v>
      </c>
      <c r="D516">
        <v>79.916725158999995</v>
      </c>
      <c r="E516">
        <v>50</v>
      </c>
      <c r="F516">
        <v>24.478765488000001</v>
      </c>
      <c r="G516">
        <v>1380.5717772999999</v>
      </c>
      <c r="H516">
        <v>1367.7961425999999</v>
      </c>
      <c r="I516">
        <v>1257.7541504000001</v>
      </c>
      <c r="J516">
        <v>1220.9204102000001</v>
      </c>
      <c r="K516">
        <v>2400</v>
      </c>
      <c r="L516">
        <v>0</v>
      </c>
      <c r="M516">
        <v>0</v>
      </c>
      <c r="N516">
        <v>2400</v>
      </c>
    </row>
    <row r="517" spans="1:14" x14ac:dyDescent="0.25">
      <c r="A517">
        <v>176.502681</v>
      </c>
      <c r="B517" s="1">
        <f>DATE(2010,10,24) + TIME(12,3,51)</f>
        <v>40475.50267361111</v>
      </c>
      <c r="C517">
        <v>80</v>
      </c>
      <c r="D517">
        <v>79.916862488000007</v>
      </c>
      <c r="E517">
        <v>50</v>
      </c>
      <c r="F517">
        <v>24.967447280999998</v>
      </c>
      <c r="G517">
        <v>1380.5174560999999</v>
      </c>
      <c r="H517">
        <v>1367.7426757999999</v>
      </c>
      <c r="I517">
        <v>1257.9084473</v>
      </c>
      <c r="J517">
        <v>1221.2446289</v>
      </c>
      <c r="K517">
        <v>2400</v>
      </c>
      <c r="L517">
        <v>0</v>
      </c>
      <c r="M517">
        <v>0</v>
      </c>
      <c r="N517">
        <v>2400</v>
      </c>
    </row>
    <row r="518" spans="1:14" x14ac:dyDescent="0.25">
      <c r="A518">
        <v>177.689752</v>
      </c>
      <c r="B518" s="1">
        <f>DATE(2010,10,25) + TIME(16,33,14)</f>
        <v>40476.689745370371</v>
      </c>
      <c r="C518">
        <v>80</v>
      </c>
      <c r="D518">
        <v>79.916999817000004</v>
      </c>
      <c r="E518">
        <v>50</v>
      </c>
      <c r="F518">
        <v>25.466945647999999</v>
      </c>
      <c r="G518">
        <v>1380.4620361</v>
      </c>
      <c r="H518">
        <v>1367.6882324000001</v>
      </c>
      <c r="I518">
        <v>1258.0688477000001</v>
      </c>
      <c r="J518">
        <v>1221.5793457</v>
      </c>
      <c r="K518">
        <v>2400</v>
      </c>
      <c r="L518">
        <v>0</v>
      </c>
      <c r="M518">
        <v>0</v>
      </c>
      <c r="N518">
        <v>2400</v>
      </c>
    </row>
    <row r="519" spans="1:14" x14ac:dyDescent="0.25">
      <c r="A519">
        <v>178.895824</v>
      </c>
      <c r="B519" s="1">
        <f>DATE(2010,10,26) + TIME(21,29,59)</f>
        <v>40477.895821759259</v>
      </c>
      <c r="C519">
        <v>80</v>
      </c>
      <c r="D519">
        <v>79.917144774999997</v>
      </c>
      <c r="E519">
        <v>50</v>
      </c>
      <c r="F519">
        <v>25.972370148</v>
      </c>
      <c r="G519">
        <v>1380.4060059000001</v>
      </c>
      <c r="H519">
        <v>1367.6331786999999</v>
      </c>
      <c r="I519">
        <v>1258.2331543</v>
      </c>
      <c r="J519">
        <v>1221.9210204999999</v>
      </c>
      <c r="K519">
        <v>2400</v>
      </c>
      <c r="L519">
        <v>0</v>
      </c>
      <c r="M519">
        <v>0</v>
      </c>
      <c r="N519">
        <v>2400</v>
      </c>
    </row>
    <row r="520" spans="1:14" x14ac:dyDescent="0.25">
      <c r="A520">
        <v>180.119</v>
      </c>
      <c r="B520" s="1">
        <f>DATE(2010,10,28) + TIME(2,51,21)</f>
        <v>40479.118993055556</v>
      </c>
      <c r="C520">
        <v>80</v>
      </c>
      <c r="D520">
        <v>79.917289733999993</v>
      </c>
      <c r="E520">
        <v>50</v>
      </c>
      <c r="F520">
        <v>26.479761123999999</v>
      </c>
      <c r="G520">
        <v>1380.3496094</v>
      </c>
      <c r="H520">
        <v>1367.5777588000001</v>
      </c>
      <c r="I520">
        <v>1258.4001464999999</v>
      </c>
      <c r="J520">
        <v>1222.2670897999999</v>
      </c>
      <c r="K520">
        <v>2400</v>
      </c>
      <c r="L520">
        <v>0</v>
      </c>
      <c r="M520">
        <v>0</v>
      </c>
      <c r="N520">
        <v>2400</v>
      </c>
    </row>
    <row r="521" spans="1:14" x14ac:dyDescent="0.25">
      <c r="A521">
        <v>181.35656</v>
      </c>
      <c r="B521" s="1">
        <f>DATE(2010,10,29) + TIME(8,33,26)</f>
        <v>40480.356550925928</v>
      </c>
      <c r="C521">
        <v>80</v>
      </c>
      <c r="D521">
        <v>79.917434692</v>
      </c>
      <c r="E521">
        <v>50</v>
      </c>
      <c r="F521">
        <v>26.986204146999999</v>
      </c>
      <c r="G521">
        <v>1380.2929687999999</v>
      </c>
      <c r="H521">
        <v>1367.5220947</v>
      </c>
      <c r="I521">
        <v>1258.5693358999999</v>
      </c>
      <c r="J521">
        <v>1222.6160889</v>
      </c>
      <c r="K521">
        <v>2400</v>
      </c>
      <c r="L521">
        <v>0</v>
      </c>
      <c r="M521">
        <v>0</v>
      </c>
      <c r="N521">
        <v>2400</v>
      </c>
    </row>
    <row r="522" spans="1:14" x14ac:dyDescent="0.25">
      <c r="A522">
        <v>182.605548</v>
      </c>
      <c r="B522" s="1">
        <f>DATE(2010,10,30) + TIME(14,31,59)</f>
        <v>40481.605543981481</v>
      </c>
      <c r="C522">
        <v>80</v>
      </c>
      <c r="D522">
        <v>79.917579650999997</v>
      </c>
      <c r="E522">
        <v>50</v>
      </c>
      <c r="F522">
        <v>27.489269257</v>
      </c>
      <c r="G522">
        <v>1380.2364502</v>
      </c>
      <c r="H522">
        <v>1367.4665527</v>
      </c>
      <c r="I522">
        <v>1258.7404785000001</v>
      </c>
      <c r="J522">
        <v>1222.9665527</v>
      </c>
      <c r="K522">
        <v>2400</v>
      </c>
      <c r="L522">
        <v>0</v>
      </c>
      <c r="M522">
        <v>0</v>
      </c>
      <c r="N522">
        <v>2400</v>
      </c>
    </row>
    <row r="523" spans="1:14" x14ac:dyDescent="0.25">
      <c r="A523">
        <v>183.86526499999999</v>
      </c>
      <c r="B523" s="1">
        <f>DATE(2010,10,31) + TIME(20,45,58)</f>
        <v>40482.865254629629</v>
      </c>
      <c r="C523">
        <v>80</v>
      </c>
      <c r="D523">
        <v>79.917724609000004</v>
      </c>
      <c r="E523">
        <v>50</v>
      </c>
      <c r="F523">
        <v>27.987171173</v>
      </c>
      <c r="G523">
        <v>1380.1800536999999</v>
      </c>
      <c r="H523">
        <v>1367.4110106999999</v>
      </c>
      <c r="I523">
        <v>1258.9130858999999</v>
      </c>
      <c r="J523">
        <v>1223.3175048999999</v>
      </c>
      <c r="K523">
        <v>2400</v>
      </c>
      <c r="L523">
        <v>0</v>
      </c>
      <c r="M523">
        <v>0</v>
      </c>
      <c r="N523">
        <v>2400</v>
      </c>
    </row>
    <row r="524" spans="1:14" x14ac:dyDescent="0.25">
      <c r="A524">
        <v>184</v>
      </c>
      <c r="B524" s="1">
        <f>DATE(2010,11,1) + TIME(0,0,0)</f>
        <v>40483</v>
      </c>
      <c r="C524">
        <v>80</v>
      </c>
      <c r="D524">
        <v>79.917732239000003</v>
      </c>
      <c r="E524">
        <v>50</v>
      </c>
      <c r="F524">
        <v>28.114736557000001</v>
      </c>
      <c r="G524">
        <v>1380.168457</v>
      </c>
      <c r="H524">
        <v>1367.4001464999999</v>
      </c>
      <c r="I524">
        <v>1259.1086425999999</v>
      </c>
      <c r="J524">
        <v>1223.5025635</v>
      </c>
      <c r="K524">
        <v>2400</v>
      </c>
      <c r="L524">
        <v>0</v>
      </c>
      <c r="M524">
        <v>0</v>
      </c>
      <c r="N524">
        <v>2400</v>
      </c>
    </row>
    <row r="525" spans="1:14" x14ac:dyDescent="0.25">
      <c r="A525">
        <v>184.000001</v>
      </c>
      <c r="B525" s="1">
        <f>DATE(2010,11,1) + TIME(0,0,0)</f>
        <v>40483</v>
      </c>
      <c r="C525">
        <v>80</v>
      </c>
      <c r="D525">
        <v>79.917694092000005</v>
      </c>
      <c r="E525">
        <v>50</v>
      </c>
      <c r="F525">
        <v>28.114780425999999</v>
      </c>
      <c r="G525">
        <v>1367.3901367000001</v>
      </c>
      <c r="H525">
        <v>1354.8427733999999</v>
      </c>
      <c r="I525">
        <v>1295.5332031</v>
      </c>
      <c r="J525">
        <v>1259.1208495999999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184.00000399999999</v>
      </c>
      <c r="B526" s="1">
        <f>DATE(2010,11,1) + TIME(0,0,0)</f>
        <v>40483</v>
      </c>
      <c r="C526">
        <v>80</v>
      </c>
      <c r="D526">
        <v>79.917602539000001</v>
      </c>
      <c r="E526">
        <v>50</v>
      </c>
      <c r="F526">
        <v>28.114912033</v>
      </c>
      <c r="G526">
        <v>1367.3602295000001</v>
      </c>
      <c r="H526">
        <v>1354.8127440999999</v>
      </c>
      <c r="I526">
        <v>1295.5627440999999</v>
      </c>
      <c r="J526">
        <v>1259.1573486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184.000013</v>
      </c>
      <c r="B527" s="1">
        <f>DATE(2010,11,1) + TIME(0,0,1)</f>
        <v>40483.000011574077</v>
      </c>
      <c r="C527">
        <v>80</v>
      </c>
      <c r="D527">
        <v>79.917312621999997</v>
      </c>
      <c r="E527">
        <v>50</v>
      </c>
      <c r="F527">
        <v>28.115303040000001</v>
      </c>
      <c r="G527">
        <v>1367.2709961</v>
      </c>
      <c r="H527">
        <v>1354.7233887</v>
      </c>
      <c r="I527">
        <v>1295.651001</v>
      </c>
      <c r="J527">
        <v>1259.2666016000001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184.00004000000001</v>
      </c>
      <c r="B528" s="1">
        <f>DATE(2010,11,1) + TIME(0,0,3)</f>
        <v>40483.000034722223</v>
      </c>
      <c r="C528">
        <v>80</v>
      </c>
      <c r="D528">
        <v>79.916473389000004</v>
      </c>
      <c r="E528">
        <v>50</v>
      </c>
      <c r="F528">
        <v>28.116474151999999</v>
      </c>
      <c r="G528">
        <v>1367.0083007999999</v>
      </c>
      <c r="H528">
        <v>1354.4603271000001</v>
      </c>
      <c r="I528">
        <v>1295.9140625</v>
      </c>
      <c r="J528">
        <v>1259.5911865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184.00012100000001</v>
      </c>
      <c r="B529" s="1">
        <f>DATE(2010,11,1) + TIME(0,0,10)</f>
        <v>40483.000115740739</v>
      </c>
      <c r="C529">
        <v>80</v>
      </c>
      <c r="D529">
        <v>79.914077758999994</v>
      </c>
      <c r="E529">
        <v>50</v>
      </c>
      <c r="F529">
        <v>28.119953156000001</v>
      </c>
      <c r="G529">
        <v>1366.2630615</v>
      </c>
      <c r="H529">
        <v>1353.7139893000001</v>
      </c>
      <c r="I529">
        <v>1296.6871338000001</v>
      </c>
      <c r="J529">
        <v>1260.5393065999999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184.00036399999999</v>
      </c>
      <c r="B530" s="1">
        <f>DATE(2010,11,1) + TIME(0,0,31)</f>
        <v>40483.000358796293</v>
      </c>
      <c r="C530">
        <v>80</v>
      </c>
      <c r="D530">
        <v>79.907905579000001</v>
      </c>
      <c r="E530">
        <v>50</v>
      </c>
      <c r="F530">
        <v>28.130117416000001</v>
      </c>
      <c r="G530">
        <v>1364.3410644999999</v>
      </c>
      <c r="H530">
        <v>1351.7899170000001</v>
      </c>
      <c r="I530">
        <v>1298.8746338000001</v>
      </c>
      <c r="J530">
        <v>1263.1755370999999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184.001093</v>
      </c>
      <c r="B531" s="1">
        <f>DATE(2010,11,1) + TIME(0,1,34)</f>
        <v>40483.001087962963</v>
      </c>
      <c r="C531">
        <v>80</v>
      </c>
      <c r="D531">
        <v>79.894927979000002</v>
      </c>
      <c r="E531">
        <v>50</v>
      </c>
      <c r="F531">
        <v>28.158882140999999</v>
      </c>
      <c r="G531">
        <v>1360.3074951000001</v>
      </c>
      <c r="H531">
        <v>1347.7532959</v>
      </c>
      <c r="I531">
        <v>1304.4812012</v>
      </c>
      <c r="J531">
        <v>1269.6665039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184.00327999999999</v>
      </c>
      <c r="B532" s="1">
        <f>DATE(2010,11,1) + TIME(0,4,43)</f>
        <v>40483.003275462965</v>
      </c>
      <c r="C532">
        <v>80</v>
      </c>
      <c r="D532">
        <v>79.874656677000004</v>
      </c>
      <c r="E532">
        <v>50</v>
      </c>
      <c r="F532">
        <v>28.237314223999999</v>
      </c>
      <c r="G532">
        <v>1354.1212158000001</v>
      </c>
      <c r="H532">
        <v>1341.5662841999999</v>
      </c>
      <c r="I532">
        <v>1316.1241454999999</v>
      </c>
      <c r="J532">
        <v>1282.2670897999999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184.00984099999999</v>
      </c>
      <c r="B533" s="1">
        <f>DATE(2010,11,1) + TIME(0,14,10)</f>
        <v>40483.009837962964</v>
      </c>
      <c r="C533">
        <v>80</v>
      </c>
      <c r="D533">
        <v>79.849937439000001</v>
      </c>
      <c r="E533">
        <v>50</v>
      </c>
      <c r="F533">
        <v>28.453496933</v>
      </c>
      <c r="G533">
        <v>1346.9984131000001</v>
      </c>
      <c r="H533">
        <v>1334.4444579999999</v>
      </c>
      <c r="I533">
        <v>1333.6420897999999</v>
      </c>
      <c r="J533">
        <v>1300.0001221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184.02952400000001</v>
      </c>
      <c r="B534" s="1">
        <f>DATE(2010,11,1) + TIME(0,42,30)</f>
        <v>40483.029513888891</v>
      </c>
      <c r="C534">
        <v>80</v>
      </c>
      <c r="D534">
        <v>79.820602417000003</v>
      </c>
      <c r="E534">
        <v>50</v>
      </c>
      <c r="F534">
        <v>29.065904617000001</v>
      </c>
      <c r="G534">
        <v>1339.7449951000001</v>
      </c>
      <c r="H534">
        <v>1327.1875</v>
      </c>
      <c r="I534">
        <v>1353.1905518000001</v>
      </c>
      <c r="J534">
        <v>1319.6129149999999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184.05715699999999</v>
      </c>
      <c r="B535" s="1">
        <f>DATE(2010,11,1) + TIME(1,22,18)</f>
        <v>40483.057152777779</v>
      </c>
      <c r="C535">
        <v>80</v>
      </c>
      <c r="D535">
        <v>79.796508789000001</v>
      </c>
      <c r="E535">
        <v>50</v>
      </c>
      <c r="F535">
        <v>29.883605957</v>
      </c>
      <c r="G535">
        <v>1334.9837646000001</v>
      </c>
      <c r="H535">
        <v>1322.4155272999999</v>
      </c>
      <c r="I535">
        <v>1365.5124512</v>
      </c>
      <c r="J535">
        <v>1332.3509521000001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184.08591899999999</v>
      </c>
      <c r="B536" s="1">
        <f>DATE(2010,11,1) + TIME(2,3,43)</f>
        <v>40483.085914351854</v>
      </c>
      <c r="C536">
        <v>80</v>
      </c>
      <c r="D536">
        <v>79.777320861999996</v>
      </c>
      <c r="E536">
        <v>50</v>
      </c>
      <c r="F536">
        <v>30.696472168</v>
      </c>
      <c r="G536">
        <v>1331.9174805</v>
      </c>
      <c r="H536">
        <v>1319.3376464999999</v>
      </c>
      <c r="I536">
        <v>1372.8851318</v>
      </c>
      <c r="J536">
        <v>1340.2489014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184.11566300000001</v>
      </c>
      <c r="B537" s="1">
        <f>DATE(2010,11,1) + TIME(2,46,33)</f>
        <v>40483.115659722222</v>
      </c>
      <c r="C537">
        <v>80</v>
      </c>
      <c r="D537">
        <v>79.760314941000004</v>
      </c>
      <c r="E537">
        <v>50</v>
      </c>
      <c r="F537">
        <v>31.499586104999999</v>
      </c>
      <c r="G537">
        <v>1329.6401367000001</v>
      </c>
      <c r="H537">
        <v>1317.0501709</v>
      </c>
      <c r="I537">
        <v>1377.927124</v>
      </c>
      <c r="J537">
        <v>1345.8469238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184.146366</v>
      </c>
      <c r="B538" s="1">
        <f>DATE(2010,11,1) + TIME(3,30,46)</f>
        <v>40483.146365740744</v>
      </c>
      <c r="C538">
        <v>80</v>
      </c>
      <c r="D538">
        <v>79.744415282999995</v>
      </c>
      <c r="E538">
        <v>50</v>
      </c>
      <c r="F538">
        <v>32.290916443</v>
      </c>
      <c r="G538">
        <v>1327.8023682</v>
      </c>
      <c r="H538">
        <v>1315.2039795000001</v>
      </c>
      <c r="I538">
        <v>1381.6662598</v>
      </c>
      <c r="J538">
        <v>1350.145874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184.17802399999999</v>
      </c>
      <c r="B539" s="1">
        <f>DATE(2010,11,1) + TIME(4,16,21)</f>
        <v>40483.178020833337</v>
      </c>
      <c r="C539">
        <v>80</v>
      </c>
      <c r="D539">
        <v>79.729148864999999</v>
      </c>
      <c r="E539">
        <v>50</v>
      </c>
      <c r="F539">
        <v>33.068965912000003</v>
      </c>
      <c r="G539">
        <v>1326.2416992000001</v>
      </c>
      <c r="H539">
        <v>1313.6364745999999</v>
      </c>
      <c r="I539">
        <v>1384.5878906</v>
      </c>
      <c r="J539">
        <v>1353.6199951000001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184.21070900000001</v>
      </c>
      <c r="B540" s="1">
        <f>DATE(2010,11,1) + TIME(5,3,25)</f>
        <v>40483.210706018515</v>
      </c>
      <c r="C540">
        <v>80</v>
      </c>
      <c r="D540">
        <v>79.71421814</v>
      </c>
      <c r="E540">
        <v>50</v>
      </c>
      <c r="F540">
        <v>33.833950043000002</v>
      </c>
      <c r="G540">
        <v>1324.8696289</v>
      </c>
      <c r="H540">
        <v>1312.2587891000001</v>
      </c>
      <c r="I540">
        <v>1386.9591064000001</v>
      </c>
      <c r="J540">
        <v>1356.5313721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184.244484</v>
      </c>
      <c r="B541" s="1">
        <f>DATE(2010,11,1) + TIME(5,52,3)</f>
        <v>40483.244479166664</v>
      </c>
      <c r="C541">
        <v>80</v>
      </c>
      <c r="D541">
        <v>79.699455260999997</v>
      </c>
      <c r="E541">
        <v>50</v>
      </c>
      <c r="F541">
        <v>34.585651398000003</v>
      </c>
      <c r="G541">
        <v>1323.6347656</v>
      </c>
      <c r="H541">
        <v>1311.0194091999999</v>
      </c>
      <c r="I541">
        <v>1388.9370117000001</v>
      </c>
      <c r="J541">
        <v>1359.0345459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184.27941899999999</v>
      </c>
      <c r="B542" s="1">
        <f>DATE(2010,11,1) + TIME(6,42,21)</f>
        <v>40483.279409722221</v>
      </c>
      <c r="C542">
        <v>80</v>
      </c>
      <c r="D542">
        <v>79.684738159000005</v>
      </c>
      <c r="E542">
        <v>50</v>
      </c>
      <c r="F542">
        <v>35.323940276999998</v>
      </c>
      <c r="G542">
        <v>1322.5047606999999</v>
      </c>
      <c r="H542">
        <v>1309.8856201000001</v>
      </c>
      <c r="I542">
        <v>1390.6220702999999</v>
      </c>
      <c r="J542">
        <v>1361.2285156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184.31558000000001</v>
      </c>
      <c r="B543" s="1">
        <f>DATE(2010,11,1) + TIME(7,34,26)</f>
        <v>40483.315578703703</v>
      </c>
      <c r="C543">
        <v>80</v>
      </c>
      <c r="D543">
        <v>79.669998168999996</v>
      </c>
      <c r="E543">
        <v>50</v>
      </c>
      <c r="F543">
        <v>36.048374176000003</v>
      </c>
      <c r="G543">
        <v>1321.4584961</v>
      </c>
      <c r="H543">
        <v>1308.8360596</v>
      </c>
      <c r="I543">
        <v>1392.0809326000001</v>
      </c>
      <c r="J543">
        <v>1363.1793213000001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184.35305</v>
      </c>
      <c r="B544" s="1">
        <f>DATE(2010,11,1) + TIME(8,28,23)</f>
        <v>40483.353043981479</v>
      </c>
      <c r="C544">
        <v>80</v>
      </c>
      <c r="D544">
        <v>79.655166625999996</v>
      </c>
      <c r="E544">
        <v>50</v>
      </c>
      <c r="F544">
        <v>36.758743285999998</v>
      </c>
      <c r="G544">
        <v>1320.4807129000001</v>
      </c>
      <c r="H544">
        <v>1307.8554687999999</v>
      </c>
      <c r="I544">
        <v>1393.3612060999999</v>
      </c>
      <c r="J544">
        <v>1364.934082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184.39191500000001</v>
      </c>
      <c r="B545" s="1">
        <f>DATE(2010,11,1) + TIME(9,24,21)</f>
        <v>40483.391909722224</v>
      </c>
      <c r="C545">
        <v>80</v>
      </c>
      <c r="D545">
        <v>79.640190125000004</v>
      </c>
      <c r="E545">
        <v>50</v>
      </c>
      <c r="F545">
        <v>37.454761505</v>
      </c>
      <c r="G545">
        <v>1319.5604248</v>
      </c>
      <c r="H545">
        <v>1306.9327393000001</v>
      </c>
      <c r="I545">
        <v>1394.4970702999999</v>
      </c>
      <c r="J545">
        <v>1366.5270995999999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184.43231</v>
      </c>
      <c r="B546" s="1">
        <f>DATE(2010,11,1) + TIME(10,22,31)</f>
        <v>40483.432303240741</v>
      </c>
      <c r="C546">
        <v>80</v>
      </c>
      <c r="D546">
        <v>79.625015258999994</v>
      </c>
      <c r="E546">
        <v>50</v>
      </c>
      <c r="F546">
        <v>38.136768341</v>
      </c>
      <c r="G546">
        <v>1318.6885986</v>
      </c>
      <c r="H546">
        <v>1306.0585937999999</v>
      </c>
      <c r="I546">
        <v>1395.5155029</v>
      </c>
      <c r="J546">
        <v>1367.9858397999999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184.47436400000001</v>
      </c>
      <c r="B547" s="1">
        <f>DATE(2010,11,1) + TIME(11,23,5)</f>
        <v>40483.474363425928</v>
      </c>
      <c r="C547">
        <v>80</v>
      </c>
      <c r="D547">
        <v>79.609588622999993</v>
      </c>
      <c r="E547">
        <v>50</v>
      </c>
      <c r="F547">
        <v>38.804759979000004</v>
      </c>
      <c r="G547">
        <v>1317.8583983999999</v>
      </c>
      <c r="H547">
        <v>1305.2263184000001</v>
      </c>
      <c r="I547">
        <v>1396.4361572</v>
      </c>
      <c r="J547">
        <v>1369.3305664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184.51822799999999</v>
      </c>
      <c r="B548" s="1">
        <f>DATE(2010,11,1) + TIME(12,26,14)</f>
        <v>40483.518217592595</v>
      </c>
      <c r="C548">
        <v>80</v>
      </c>
      <c r="D548">
        <v>79.593856811999999</v>
      </c>
      <c r="E548">
        <v>50</v>
      </c>
      <c r="F548">
        <v>39.458713531000001</v>
      </c>
      <c r="G548">
        <v>1317.0643310999999</v>
      </c>
      <c r="H548">
        <v>1304.4304199000001</v>
      </c>
      <c r="I548">
        <v>1397.2749022999999</v>
      </c>
      <c r="J548">
        <v>1370.5776367000001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184.56406999999999</v>
      </c>
      <c r="B549" s="1">
        <f>DATE(2010,11,1) + TIME(13,32,15)</f>
        <v>40483.564062500001</v>
      </c>
      <c r="C549">
        <v>80</v>
      </c>
      <c r="D549">
        <v>79.577774047999995</v>
      </c>
      <c r="E549">
        <v>50</v>
      </c>
      <c r="F549">
        <v>40.098636626999998</v>
      </c>
      <c r="G549">
        <v>1316.3016356999999</v>
      </c>
      <c r="H549">
        <v>1303.6661377</v>
      </c>
      <c r="I549">
        <v>1398.0439452999999</v>
      </c>
      <c r="J549">
        <v>1371.7399902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184.61207300000001</v>
      </c>
      <c r="B550" s="1">
        <f>DATE(2010,11,1) + TIME(14,41,23)</f>
        <v>40483.612071759257</v>
      </c>
      <c r="C550">
        <v>80</v>
      </c>
      <c r="D550">
        <v>79.561279296999999</v>
      </c>
      <c r="E550">
        <v>50</v>
      </c>
      <c r="F550">
        <v>40.724441528</v>
      </c>
      <c r="G550">
        <v>1315.5667725000001</v>
      </c>
      <c r="H550">
        <v>1302.9295654</v>
      </c>
      <c r="I550">
        <v>1398.753418</v>
      </c>
      <c r="J550">
        <v>1372.8280029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184.66247200000001</v>
      </c>
      <c r="B551" s="1">
        <f>DATE(2010,11,1) + TIME(15,53,57)</f>
        <v>40483.662465277775</v>
      </c>
      <c r="C551">
        <v>80</v>
      </c>
      <c r="D551">
        <v>79.544319153000004</v>
      </c>
      <c r="E551">
        <v>50</v>
      </c>
      <c r="F551">
        <v>41.336101532000001</v>
      </c>
      <c r="G551">
        <v>1314.855957</v>
      </c>
      <c r="H551">
        <v>1302.2174072</v>
      </c>
      <c r="I551">
        <v>1399.4118652</v>
      </c>
      <c r="J551">
        <v>1373.8508300999999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184.71552600000001</v>
      </c>
      <c r="B552" s="1">
        <f>DATE(2010,11,1) + TIME(17,10,21)</f>
        <v>40483.715520833335</v>
      </c>
      <c r="C552">
        <v>80</v>
      </c>
      <c r="D552">
        <v>79.526817321999999</v>
      </c>
      <c r="E552">
        <v>50</v>
      </c>
      <c r="F552">
        <v>41.933532714999998</v>
      </c>
      <c r="G552">
        <v>1314.1663818</v>
      </c>
      <c r="H552">
        <v>1301.5264893000001</v>
      </c>
      <c r="I552">
        <v>1400.026001</v>
      </c>
      <c r="J552">
        <v>1374.8160399999999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184.77153999999999</v>
      </c>
      <c r="B553" s="1">
        <f>DATE(2010,11,1) + TIME(18,31,1)</f>
        <v>40483.771539351852</v>
      </c>
      <c r="C553">
        <v>80</v>
      </c>
      <c r="D553">
        <v>79.508705139</v>
      </c>
      <c r="E553">
        <v>50</v>
      </c>
      <c r="F553">
        <v>42.516624450999998</v>
      </c>
      <c r="G553">
        <v>1313.4953613</v>
      </c>
      <c r="H553">
        <v>1300.8540039</v>
      </c>
      <c r="I553">
        <v>1400.6019286999999</v>
      </c>
      <c r="J553">
        <v>1375.7298584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184.83086800000001</v>
      </c>
      <c r="B554" s="1">
        <f>DATE(2010,11,1) + TIME(19,56,26)</f>
        <v>40483.83085648148</v>
      </c>
      <c r="C554">
        <v>80</v>
      </c>
      <c r="D554">
        <v>79.489898682000003</v>
      </c>
      <c r="E554">
        <v>50</v>
      </c>
      <c r="F554">
        <v>43.085186004999997</v>
      </c>
      <c r="G554">
        <v>1312.8402100000001</v>
      </c>
      <c r="H554">
        <v>1300.1976318</v>
      </c>
      <c r="I554">
        <v>1401.1441649999999</v>
      </c>
      <c r="J554">
        <v>1376.5977783000001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184.89388299999999</v>
      </c>
      <c r="B555" s="1">
        <f>DATE(2010,11,1) + TIME(21,27,11)</f>
        <v>40483.893877314818</v>
      </c>
      <c r="C555">
        <v>80</v>
      </c>
      <c r="D555">
        <v>79.470306395999998</v>
      </c>
      <c r="E555">
        <v>50</v>
      </c>
      <c r="F555">
        <v>43.638622284</v>
      </c>
      <c r="G555">
        <v>1312.1992187999999</v>
      </c>
      <c r="H555">
        <v>1299.5554199000001</v>
      </c>
      <c r="I555">
        <v>1401.6569824000001</v>
      </c>
      <c r="J555">
        <v>1377.4239502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184.96107599999999</v>
      </c>
      <c r="B556" s="1">
        <f>DATE(2010,11,1) + TIME(23,3,56)</f>
        <v>40483.961064814815</v>
      </c>
      <c r="C556">
        <v>80</v>
      </c>
      <c r="D556">
        <v>79.449829101999995</v>
      </c>
      <c r="E556">
        <v>50</v>
      </c>
      <c r="F556">
        <v>44.176677703999999</v>
      </c>
      <c r="G556">
        <v>1311.5703125</v>
      </c>
      <c r="H556">
        <v>1298.925293</v>
      </c>
      <c r="I556">
        <v>1402.1437988</v>
      </c>
      <c r="J556">
        <v>1378.2124022999999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185.03304299999999</v>
      </c>
      <c r="B557" s="1">
        <f>DATE(2010,11,2) + TIME(0,47,34)</f>
        <v>40484.033032407409</v>
      </c>
      <c r="C557">
        <v>80</v>
      </c>
      <c r="D557">
        <v>79.428321838000002</v>
      </c>
      <c r="E557">
        <v>50</v>
      </c>
      <c r="F557">
        <v>44.699047088999997</v>
      </c>
      <c r="G557">
        <v>1310.9511719</v>
      </c>
      <c r="H557">
        <v>1298.3050536999999</v>
      </c>
      <c r="I557">
        <v>1402.6080322</v>
      </c>
      <c r="J557">
        <v>1378.9670410000001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185.11051</v>
      </c>
      <c r="B558" s="1">
        <f>DATE(2010,11,2) + TIME(2,39,8)</f>
        <v>40484.110509259262</v>
      </c>
      <c r="C558">
        <v>80</v>
      </c>
      <c r="D558">
        <v>79.405632018999995</v>
      </c>
      <c r="E558">
        <v>50</v>
      </c>
      <c r="F558">
        <v>45.205345154</v>
      </c>
      <c r="G558">
        <v>1310.3398437999999</v>
      </c>
      <c r="H558">
        <v>1297.6925048999999</v>
      </c>
      <c r="I558">
        <v>1403.0524902</v>
      </c>
      <c r="J558">
        <v>1379.6910399999999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185.19435300000001</v>
      </c>
      <c r="B559" s="1">
        <f>DATE(2010,11,2) + TIME(4,39,52)</f>
        <v>40484.194351851853</v>
      </c>
      <c r="C559">
        <v>80</v>
      </c>
      <c r="D559">
        <v>79.381576538000004</v>
      </c>
      <c r="E559">
        <v>50</v>
      </c>
      <c r="F559">
        <v>45.694976807000003</v>
      </c>
      <c r="G559">
        <v>1309.7341309000001</v>
      </c>
      <c r="H559">
        <v>1297.0856934000001</v>
      </c>
      <c r="I559">
        <v>1403.4796143000001</v>
      </c>
      <c r="J559">
        <v>1380.387207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185.285607</v>
      </c>
      <c r="B560" s="1">
        <f>DATE(2010,11,2) + TIME(6,51,16)</f>
        <v>40484.285601851851</v>
      </c>
      <c r="C560">
        <v>80</v>
      </c>
      <c r="D560">
        <v>79.355934142999999</v>
      </c>
      <c r="E560">
        <v>50</v>
      </c>
      <c r="F560">
        <v>46.166965484999999</v>
      </c>
      <c r="G560">
        <v>1309.1324463000001</v>
      </c>
      <c r="H560">
        <v>1296.4829102000001</v>
      </c>
      <c r="I560">
        <v>1403.8912353999999</v>
      </c>
      <c r="J560">
        <v>1381.0576172000001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185.38555099999999</v>
      </c>
      <c r="B561" s="1">
        <f>DATE(2010,11,2) + TIME(9,15,11)</f>
        <v>40484.38554398148</v>
      </c>
      <c r="C561">
        <v>80</v>
      </c>
      <c r="D561">
        <v>79.328453064000001</v>
      </c>
      <c r="E561">
        <v>50</v>
      </c>
      <c r="F561">
        <v>46.620143890000001</v>
      </c>
      <c r="G561">
        <v>1308.5332031</v>
      </c>
      <c r="H561">
        <v>1295.8824463000001</v>
      </c>
      <c r="I561">
        <v>1404.2891846</v>
      </c>
      <c r="J561">
        <v>1381.7039795000001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185.495903</v>
      </c>
      <c r="B562" s="1">
        <f>DATE(2010,11,2) + TIME(11,54,6)</f>
        <v>40484.49590277778</v>
      </c>
      <c r="C562">
        <v>80</v>
      </c>
      <c r="D562">
        <v>79.298782349000007</v>
      </c>
      <c r="E562">
        <v>50</v>
      </c>
      <c r="F562">
        <v>47.053524017000001</v>
      </c>
      <c r="G562">
        <v>1307.9339600000001</v>
      </c>
      <c r="H562">
        <v>1295.2819824000001</v>
      </c>
      <c r="I562">
        <v>1404.6751709</v>
      </c>
      <c r="J562">
        <v>1382.3282471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185.61391900000001</v>
      </c>
      <c r="B563" s="1">
        <f>DATE(2010,11,2) + TIME(14,44,2)</f>
        <v>40484.613912037035</v>
      </c>
      <c r="C563">
        <v>80</v>
      </c>
      <c r="D563">
        <v>79.267623900999993</v>
      </c>
      <c r="E563">
        <v>50</v>
      </c>
      <c r="F563">
        <v>47.451538085999999</v>
      </c>
      <c r="G563">
        <v>1307.3546143000001</v>
      </c>
      <c r="H563">
        <v>1294.7012939000001</v>
      </c>
      <c r="I563">
        <v>1405.0343018000001</v>
      </c>
      <c r="J563">
        <v>1382.9069824000001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185.73305500000001</v>
      </c>
      <c r="B564" s="1">
        <f>DATE(2010,11,2) + TIME(17,35,35)</f>
        <v>40484.733043981483</v>
      </c>
      <c r="C564">
        <v>80</v>
      </c>
      <c r="D564">
        <v>79.236465453999998</v>
      </c>
      <c r="E564">
        <v>50</v>
      </c>
      <c r="F564">
        <v>47.796360016000001</v>
      </c>
      <c r="G564">
        <v>1306.8236084</v>
      </c>
      <c r="H564">
        <v>1294.1691894999999</v>
      </c>
      <c r="I564">
        <v>1405.3472899999999</v>
      </c>
      <c r="J564">
        <v>1383.4113769999999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185.85393999999999</v>
      </c>
      <c r="B565" s="1">
        <f>DATE(2010,11,2) + TIME(20,29,40)</f>
        <v>40484.853935185187</v>
      </c>
      <c r="C565">
        <v>80</v>
      </c>
      <c r="D565">
        <v>79.205154418999996</v>
      </c>
      <c r="E565">
        <v>50</v>
      </c>
      <c r="F565">
        <v>48.096202849999997</v>
      </c>
      <c r="G565">
        <v>1306.3334961</v>
      </c>
      <c r="H565">
        <v>1293.6779785000001</v>
      </c>
      <c r="I565">
        <v>1405.6247559000001</v>
      </c>
      <c r="J565">
        <v>1383.8579102000001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185.97712999999999</v>
      </c>
      <c r="B566" s="1">
        <f>DATE(2010,11,2) + TIME(23,27,4)</f>
        <v>40484.977129629631</v>
      </c>
      <c r="C566">
        <v>80</v>
      </c>
      <c r="D566">
        <v>79.173568725999999</v>
      </c>
      <c r="E566">
        <v>50</v>
      </c>
      <c r="F566">
        <v>48.357501984000002</v>
      </c>
      <c r="G566">
        <v>1305.878418</v>
      </c>
      <c r="H566">
        <v>1293.2218018000001</v>
      </c>
      <c r="I566">
        <v>1405.8723144999999</v>
      </c>
      <c r="J566">
        <v>1384.2558594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186.10317900000001</v>
      </c>
      <c r="B567" s="1">
        <f>DATE(2010,11,3) + TIME(2,28,34)</f>
        <v>40485.103171296294</v>
      </c>
      <c r="C567">
        <v>80</v>
      </c>
      <c r="D567">
        <v>79.141586304</v>
      </c>
      <c r="E567">
        <v>50</v>
      </c>
      <c r="F567">
        <v>48.585506439</v>
      </c>
      <c r="G567">
        <v>1305.4536132999999</v>
      </c>
      <c r="H567">
        <v>1292.7958983999999</v>
      </c>
      <c r="I567">
        <v>1406.0938721</v>
      </c>
      <c r="J567">
        <v>1384.6116943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186.23236600000001</v>
      </c>
      <c r="B568" s="1">
        <f>DATE(2010,11,3) + TIME(5,34,36)</f>
        <v>40485.232361111113</v>
      </c>
      <c r="C568">
        <v>80</v>
      </c>
      <c r="D568">
        <v>79.109146117999998</v>
      </c>
      <c r="E568">
        <v>50</v>
      </c>
      <c r="F568">
        <v>48.784175873000002</v>
      </c>
      <c r="G568">
        <v>1305.0561522999999</v>
      </c>
      <c r="H568">
        <v>1292.3973389</v>
      </c>
      <c r="I568">
        <v>1406.291626</v>
      </c>
      <c r="J568">
        <v>1384.9298096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186.36510899999999</v>
      </c>
      <c r="B569" s="1">
        <f>DATE(2010,11,3) + TIME(8,45,45)</f>
        <v>40485.365104166667</v>
      </c>
      <c r="C569">
        <v>80</v>
      </c>
      <c r="D569">
        <v>79.076148986999996</v>
      </c>
      <c r="E569">
        <v>50</v>
      </c>
      <c r="F569">
        <v>48.957115172999998</v>
      </c>
      <c r="G569">
        <v>1304.6833495999999</v>
      </c>
      <c r="H569">
        <v>1292.0233154</v>
      </c>
      <c r="I569">
        <v>1406.4677733999999</v>
      </c>
      <c r="J569">
        <v>1385.2139893000001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186.50201300000001</v>
      </c>
      <c r="B570" s="1">
        <f>DATE(2010,11,3) + TIME(12,2,53)</f>
        <v>40485.502002314817</v>
      </c>
      <c r="C570">
        <v>80</v>
      </c>
      <c r="D570">
        <v>79.042480468999997</v>
      </c>
      <c r="E570">
        <v>50</v>
      </c>
      <c r="F570">
        <v>49.107585907000001</v>
      </c>
      <c r="G570">
        <v>1304.3322754000001</v>
      </c>
      <c r="H570">
        <v>1291.6711425999999</v>
      </c>
      <c r="I570">
        <v>1406.6241454999999</v>
      </c>
      <c r="J570">
        <v>1385.4680175999999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186.643765</v>
      </c>
      <c r="B571" s="1">
        <f>DATE(2010,11,3) + TIME(15,27,1)</f>
        <v>40485.643761574072</v>
      </c>
      <c r="C571">
        <v>80</v>
      </c>
      <c r="D571">
        <v>79.007995605000005</v>
      </c>
      <c r="E571">
        <v>50</v>
      </c>
      <c r="F571">
        <v>49.238376617</v>
      </c>
      <c r="G571">
        <v>1304.0008545000001</v>
      </c>
      <c r="H571">
        <v>1291.338501</v>
      </c>
      <c r="I571">
        <v>1406.762207</v>
      </c>
      <c r="J571">
        <v>1385.6944579999999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186.7911</v>
      </c>
      <c r="B572" s="1">
        <f>DATE(2010,11,3) + TIME(18,59,11)</f>
        <v>40485.79109953704</v>
      </c>
      <c r="C572">
        <v>80</v>
      </c>
      <c r="D572">
        <v>78.972549438000001</v>
      </c>
      <c r="E572">
        <v>50</v>
      </c>
      <c r="F572">
        <v>49.351856232000003</v>
      </c>
      <c r="G572">
        <v>1303.6871338000001</v>
      </c>
      <c r="H572">
        <v>1291.0235596</v>
      </c>
      <c r="I572">
        <v>1406.8828125</v>
      </c>
      <c r="J572">
        <v>1385.8955077999999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186.94458299999999</v>
      </c>
      <c r="B573" s="1">
        <f>DATE(2010,11,3) + TIME(22,40,11)</f>
        <v>40485.944571759261</v>
      </c>
      <c r="C573">
        <v>80</v>
      </c>
      <c r="D573">
        <v>78.936035156000003</v>
      </c>
      <c r="E573">
        <v>50</v>
      </c>
      <c r="F573">
        <v>49.449920654000003</v>
      </c>
      <c r="G573">
        <v>1303.3898925999999</v>
      </c>
      <c r="H573">
        <v>1290.7250977000001</v>
      </c>
      <c r="I573">
        <v>1406.9863281</v>
      </c>
      <c r="J573">
        <v>1386.0722656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187.10502399999999</v>
      </c>
      <c r="B574" s="1">
        <f>DATE(2010,11,4) + TIME(2,31,14)</f>
        <v>40486.105023148149</v>
      </c>
      <c r="C574">
        <v>80</v>
      </c>
      <c r="D574">
        <v>78.898300171000002</v>
      </c>
      <c r="E574">
        <v>50</v>
      </c>
      <c r="F574">
        <v>49.534366607999999</v>
      </c>
      <c r="G574">
        <v>1303.1081543</v>
      </c>
      <c r="H574">
        <v>1290.4420166</v>
      </c>
      <c r="I574">
        <v>1407.0729980000001</v>
      </c>
      <c r="J574">
        <v>1386.2263184000001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187.27345800000001</v>
      </c>
      <c r="B575" s="1">
        <f>DATE(2010,11,4) + TIME(6,33,46)</f>
        <v>40486.273449074077</v>
      </c>
      <c r="C575">
        <v>80</v>
      </c>
      <c r="D575">
        <v>78.859161377000007</v>
      </c>
      <c r="E575">
        <v>50</v>
      </c>
      <c r="F575">
        <v>49.606811522999998</v>
      </c>
      <c r="G575">
        <v>1302.8405762</v>
      </c>
      <c r="H575">
        <v>1290.1730957</v>
      </c>
      <c r="I575">
        <v>1407.1434326000001</v>
      </c>
      <c r="J575">
        <v>1386.3583983999999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187.45093299999999</v>
      </c>
      <c r="B576" s="1">
        <f>DATE(2010,11,4) + TIME(10,49,20)</f>
        <v>40486.450925925928</v>
      </c>
      <c r="C576">
        <v>80</v>
      </c>
      <c r="D576">
        <v>78.818412781000006</v>
      </c>
      <c r="E576">
        <v>50</v>
      </c>
      <c r="F576">
        <v>49.668640136999997</v>
      </c>
      <c r="G576">
        <v>1302.5864257999999</v>
      </c>
      <c r="H576">
        <v>1289.9174805</v>
      </c>
      <c r="I576">
        <v>1407.1971435999999</v>
      </c>
      <c r="J576">
        <v>1386.4692382999999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187.63803300000001</v>
      </c>
      <c r="B577" s="1">
        <f>DATE(2010,11,4) + TIME(15,18,46)</f>
        <v>40486.638032407405</v>
      </c>
      <c r="C577">
        <v>80</v>
      </c>
      <c r="D577">
        <v>78.775955199999999</v>
      </c>
      <c r="E577">
        <v>50</v>
      </c>
      <c r="F577">
        <v>49.720943450999997</v>
      </c>
      <c r="G577">
        <v>1302.3455810999999</v>
      </c>
      <c r="H577">
        <v>1289.6751709</v>
      </c>
      <c r="I577">
        <v>1407.2336425999999</v>
      </c>
      <c r="J577">
        <v>1386.5585937999999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187.83449300000001</v>
      </c>
      <c r="B578" s="1">
        <f>DATE(2010,11,4) + TIME(20,1,40)</f>
        <v>40486.834490740737</v>
      </c>
      <c r="C578">
        <v>80</v>
      </c>
      <c r="D578">
        <v>78.731857300000001</v>
      </c>
      <c r="E578">
        <v>50</v>
      </c>
      <c r="F578">
        <v>49.764625549000002</v>
      </c>
      <c r="G578">
        <v>1302.1190185999999</v>
      </c>
      <c r="H578">
        <v>1289.4471435999999</v>
      </c>
      <c r="I578">
        <v>1407.2518310999999</v>
      </c>
      <c r="J578">
        <v>1386.6257324000001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188.04170199999999</v>
      </c>
      <c r="B579" s="1">
        <f>DATE(2010,11,5) + TIME(1,0,3)</f>
        <v>40487.041701388887</v>
      </c>
      <c r="C579">
        <v>80</v>
      </c>
      <c r="D579">
        <v>78.685867310000006</v>
      </c>
      <c r="E579">
        <v>50</v>
      </c>
      <c r="F579">
        <v>49.800903320000003</v>
      </c>
      <c r="G579">
        <v>1301.9058838000001</v>
      </c>
      <c r="H579">
        <v>1289.2322998</v>
      </c>
      <c r="I579">
        <v>1407.2528076000001</v>
      </c>
      <c r="J579">
        <v>1386.6722411999999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188.26088899999999</v>
      </c>
      <c r="B580" s="1">
        <f>DATE(2010,11,5) + TIME(6,15,40)</f>
        <v>40487.260879629626</v>
      </c>
      <c r="C580">
        <v>80</v>
      </c>
      <c r="D580">
        <v>78.637779236</v>
      </c>
      <c r="E580">
        <v>50</v>
      </c>
      <c r="F580">
        <v>49.830802917</v>
      </c>
      <c r="G580">
        <v>1301.7053223</v>
      </c>
      <c r="H580">
        <v>1289.0300293</v>
      </c>
      <c r="I580">
        <v>1407.2362060999999</v>
      </c>
      <c r="J580">
        <v>1386.6984863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188.49399</v>
      </c>
      <c r="B581" s="1">
        <f>DATE(2010,11,5) + TIME(11,51,20)</f>
        <v>40487.493981481479</v>
      </c>
      <c r="C581">
        <v>80</v>
      </c>
      <c r="D581">
        <v>78.587272643999995</v>
      </c>
      <c r="E581">
        <v>50</v>
      </c>
      <c r="F581">
        <v>49.855270386000001</v>
      </c>
      <c r="G581">
        <v>1301.5167236</v>
      </c>
      <c r="H581">
        <v>1288.8397216999999</v>
      </c>
      <c r="I581">
        <v>1407.2022704999999</v>
      </c>
      <c r="J581">
        <v>1386.7048339999999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188.74332999999999</v>
      </c>
      <c r="B582" s="1">
        <f>DATE(2010,11,5) + TIME(17,50,23)</f>
        <v>40487.743321759262</v>
      </c>
      <c r="C582">
        <v>80</v>
      </c>
      <c r="D582">
        <v>78.533973693999997</v>
      </c>
      <c r="E582">
        <v>50</v>
      </c>
      <c r="F582">
        <v>49.875133513999998</v>
      </c>
      <c r="G582">
        <v>1301.3392334</v>
      </c>
      <c r="H582">
        <v>1288.6601562000001</v>
      </c>
      <c r="I582">
        <v>1407.1505127</v>
      </c>
      <c r="J582">
        <v>1386.6915283000001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188.99429000000001</v>
      </c>
      <c r="B583" s="1">
        <f>DATE(2010,11,5) + TIME(23,51,46)</f>
        <v>40487.99428240741</v>
      </c>
      <c r="C583">
        <v>80</v>
      </c>
      <c r="D583">
        <v>78.480209350999999</v>
      </c>
      <c r="E583">
        <v>50</v>
      </c>
      <c r="F583">
        <v>49.890304565000001</v>
      </c>
      <c r="G583">
        <v>1301.1810303</v>
      </c>
      <c r="H583">
        <v>1288.5001221</v>
      </c>
      <c r="I583">
        <v>1407.0754394999999</v>
      </c>
      <c r="J583">
        <v>1386.6527100000001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189.247409</v>
      </c>
      <c r="B584" s="1">
        <f>DATE(2010,11,6) + TIME(5,56,16)</f>
        <v>40488.247407407405</v>
      </c>
      <c r="C584">
        <v>80</v>
      </c>
      <c r="D584">
        <v>78.426025390999996</v>
      </c>
      <c r="E584">
        <v>50</v>
      </c>
      <c r="F584">
        <v>49.901927948000001</v>
      </c>
      <c r="G584">
        <v>1301.0397949000001</v>
      </c>
      <c r="H584">
        <v>1288.3569336</v>
      </c>
      <c r="I584">
        <v>1406.9885254000001</v>
      </c>
      <c r="J584">
        <v>1386.5991211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189.504053</v>
      </c>
      <c r="B585" s="1">
        <f>DATE(2010,11,6) + TIME(12,5,50)</f>
        <v>40488.504050925927</v>
      </c>
      <c r="C585">
        <v>80</v>
      </c>
      <c r="D585">
        <v>78.371292113999999</v>
      </c>
      <c r="E585">
        <v>50</v>
      </c>
      <c r="F585">
        <v>49.910877227999997</v>
      </c>
      <c r="G585">
        <v>1300.9130858999999</v>
      </c>
      <c r="H585">
        <v>1288.2280272999999</v>
      </c>
      <c r="I585">
        <v>1406.8925781</v>
      </c>
      <c r="J585">
        <v>1386.5340576000001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189.76511600000001</v>
      </c>
      <c r="B586" s="1">
        <f>DATE(2010,11,6) + TIME(18,21,46)</f>
        <v>40488.765115740738</v>
      </c>
      <c r="C586">
        <v>80</v>
      </c>
      <c r="D586">
        <v>78.315948485999996</v>
      </c>
      <c r="E586">
        <v>50</v>
      </c>
      <c r="F586">
        <v>49.917785645000002</v>
      </c>
      <c r="G586">
        <v>1300.7985839999999</v>
      </c>
      <c r="H586">
        <v>1288.1115723</v>
      </c>
      <c r="I586">
        <v>1406.7885742000001</v>
      </c>
      <c r="J586">
        <v>1386.4591064000001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190.03121899999999</v>
      </c>
      <c r="B587" s="1">
        <f>DATE(2010,11,7) + TIME(0,44,57)</f>
        <v>40489.031215277777</v>
      </c>
      <c r="C587">
        <v>80</v>
      </c>
      <c r="D587">
        <v>78.259910583000007</v>
      </c>
      <c r="E587">
        <v>50</v>
      </c>
      <c r="F587">
        <v>49.923130035</v>
      </c>
      <c r="G587">
        <v>1300.6948242000001</v>
      </c>
      <c r="H587">
        <v>1288.0056152</v>
      </c>
      <c r="I587">
        <v>1406.6774902</v>
      </c>
      <c r="J587">
        <v>1386.3754882999999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190.30371</v>
      </c>
      <c r="B588" s="1">
        <f>DATE(2010,11,7) + TIME(7,17,20)</f>
        <v>40489.303703703707</v>
      </c>
      <c r="C588">
        <v>80</v>
      </c>
      <c r="D588">
        <v>78.203010559000006</v>
      </c>
      <c r="E588">
        <v>50</v>
      </c>
      <c r="F588">
        <v>49.927272797000001</v>
      </c>
      <c r="G588">
        <v>1300.6003418</v>
      </c>
      <c r="H588">
        <v>1287.9089355000001</v>
      </c>
      <c r="I588">
        <v>1406.5601807</v>
      </c>
      <c r="J588">
        <v>1386.2843018000001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190.583943</v>
      </c>
      <c r="B589" s="1">
        <f>DATE(2010,11,7) + TIME(14,0,52)</f>
        <v>40489.583935185183</v>
      </c>
      <c r="C589">
        <v>80</v>
      </c>
      <c r="D589">
        <v>78.145034789999997</v>
      </c>
      <c r="E589">
        <v>50</v>
      </c>
      <c r="F589">
        <v>49.930496216000002</v>
      </c>
      <c r="G589">
        <v>1300.5137939000001</v>
      </c>
      <c r="H589">
        <v>1287.8199463000001</v>
      </c>
      <c r="I589">
        <v>1406.4372559000001</v>
      </c>
      <c r="J589">
        <v>1386.1864014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190.87329</v>
      </c>
      <c r="B590" s="1">
        <f>DATE(2010,11,7) + TIME(20,57,32)</f>
        <v>40489.873287037037</v>
      </c>
      <c r="C590">
        <v>80</v>
      </c>
      <c r="D590">
        <v>78.085792541999993</v>
      </c>
      <c r="E590">
        <v>50</v>
      </c>
      <c r="F590">
        <v>49.933010101000001</v>
      </c>
      <c r="G590">
        <v>1300.4339600000001</v>
      </c>
      <c r="H590">
        <v>1287.7376709</v>
      </c>
      <c r="I590">
        <v>1406.3088379000001</v>
      </c>
      <c r="J590">
        <v>1386.0823975000001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191.17242300000001</v>
      </c>
      <c r="B591" s="1">
        <f>DATE(2010,11,8) + TIME(4,8,17)</f>
        <v>40490.172418981485</v>
      </c>
      <c r="C591">
        <v>80</v>
      </c>
      <c r="D591">
        <v>78.025161742999998</v>
      </c>
      <c r="E591">
        <v>50</v>
      </c>
      <c r="F591">
        <v>49.934970856</v>
      </c>
      <c r="G591">
        <v>1300.3601074000001</v>
      </c>
      <c r="H591">
        <v>1287.6612548999999</v>
      </c>
      <c r="I591">
        <v>1406.1754149999999</v>
      </c>
      <c r="J591">
        <v>1385.9725341999999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191.48305999999999</v>
      </c>
      <c r="B592" s="1">
        <f>DATE(2010,11,8) + TIME(11,35,36)</f>
        <v>40490.483055555553</v>
      </c>
      <c r="C592">
        <v>80</v>
      </c>
      <c r="D592">
        <v>77.962890625</v>
      </c>
      <c r="E592">
        <v>50</v>
      </c>
      <c r="F592">
        <v>49.936511993000003</v>
      </c>
      <c r="G592">
        <v>1300.2915039</v>
      </c>
      <c r="H592">
        <v>1287.5899658000001</v>
      </c>
      <c r="I592">
        <v>1406.0373535000001</v>
      </c>
      <c r="J592">
        <v>1385.8576660000001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191.806556</v>
      </c>
      <c r="B593" s="1">
        <f>DATE(2010,11,8) + TIME(19,21,26)</f>
        <v>40490.806550925925</v>
      </c>
      <c r="C593">
        <v>80</v>
      </c>
      <c r="D593">
        <v>77.898765564000001</v>
      </c>
      <c r="E593">
        <v>50</v>
      </c>
      <c r="F593">
        <v>49.937721252000003</v>
      </c>
      <c r="G593">
        <v>1300.2271728999999</v>
      </c>
      <c r="H593">
        <v>1287.5228271000001</v>
      </c>
      <c r="I593">
        <v>1405.8947754000001</v>
      </c>
      <c r="J593">
        <v>1385.7379149999999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192.14453900000001</v>
      </c>
      <c r="B594" s="1">
        <f>DATE(2010,11,9) + TIME(3,28,8)</f>
        <v>40491.144537037035</v>
      </c>
      <c r="C594">
        <v>80</v>
      </c>
      <c r="D594">
        <v>77.832550049000005</v>
      </c>
      <c r="E594">
        <v>50</v>
      </c>
      <c r="F594">
        <v>49.938674927000001</v>
      </c>
      <c r="G594">
        <v>1300.1667480000001</v>
      </c>
      <c r="H594">
        <v>1287.4593506000001</v>
      </c>
      <c r="I594">
        <v>1405.7479248</v>
      </c>
      <c r="J594">
        <v>1385.6136475000001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192.49842200000001</v>
      </c>
      <c r="B595" s="1">
        <f>DATE(2010,11,9) + TIME(11,57,43)</f>
        <v>40491.498414351852</v>
      </c>
      <c r="C595">
        <v>80</v>
      </c>
      <c r="D595">
        <v>77.764015197999996</v>
      </c>
      <c r="E595">
        <v>50</v>
      </c>
      <c r="F595">
        <v>49.939430237000003</v>
      </c>
      <c r="G595">
        <v>1300.1094971</v>
      </c>
      <c r="H595">
        <v>1287.3990478999999</v>
      </c>
      <c r="I595">
        <v>1405.5970459</v>
      </c>
      <c r="J595">
        <v>1385.4851074000001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192.87067999999999</v>
      </c>
      <c r="B596" s="1">
        <f>DATE(2010,11,9) + TIME(20,53,46)</f>
        <v>40491.870671296296</v>
      </c>
      <c r="C596">
        <v>80</v>
      </c>
      <c r="D596">
        <v>77.692810058999996</v>
      </c>
      <c r="E596">
        <v>50</v>
      </c>
      <c r="F596">
        <v>49.940036773999999</v>
      </c>
      <c r="G596">
        <v>1300.0550536999999</v>
      </c>
      <c r="H596">
        <v>1287.3410644999999</v>
      </c>
      <c r="I596">
        <v>1405.4422606999999</v>
      </c>
      <c r="J596">
        <v>1385.3525391000001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193.26316</v>
      </c>
      <c r="B597" s="1">
        <f>DATE(2010,11,10) + TIME(6,18,56)</f>
        <v>40492.263148148151</v>
      </c>
      <c r="C597">
        <v>80</v>
      </c>
      <c r="D597">
        <v>77.618675232000001</v>
      </c>
      <c r="E597">
        <v>50</v>
      </c>
      <c r="F597">
        <v>49.940525055000002</v>
      </c>
      <c r="G597">
        <v>1300.0026855000001</v>
      </c>
      <c r="H597">
        <v>1287.2850341999999</v>
      </c>
      <c r="I597">
        <v>1405.2833252</v>
      </c>
      <c r="J597">
        <v>1385.2158202999999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193.663025</v>
      </c>
      <c r="B598" s="1">
        <f>DATE(2010,11,10) + TIME(15,54,45)</f>
        <v>40492.66302083333</v>
      </c>
      <c r="C598">
        <v>80</v>
      </c>
      <c r="D598">
        <v>77.543151855000005</v>
      </c>
      <c r="E598">
        <v>50</v>
      </c>
      <c r="F598">
        <v>49.940898894999997</v>
      </c>
      <c r="G598">
        <v>1299.953125</v>
      </c>
      <c r="H598">
        <v>1287.2316894999999</v>
      </c>
      <c r="I598">
        <v>1405.1213379000001</v>
      </c>
      <c r="J598">
        <v>1385.0760498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194.06499500000001</v>
      </c>
      <c r="B599" s="1">
        <f>DATE(2010,11,11) + TIME(1,33,35)</f>
        <v>40493.064988425926</v>
      </c>
      <c r="C599">
        <v>80</v>
      </c>
      <c r="D599">
        <v>77.467132567999997</v>
      </c>
      <c r="E599">
        <v>50</v>
      </c>
      <c r="F599">
        <v>49.941192627</v>
      </c>
      <c r="G599">
        <v>1299.9064940999999</v>
      </c>
      <c r="H599">
        <v>1287.1811522999999</v>
      </c>
      <c r="I599">
        <v>1404.9614257999999</v>
      </c>
      <c r="J599">
        <v>1384.9377440999999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194.47122899999999</v>
      </c>
      <c r="B600" s="1">
        <f>DATE(2010,11,11) + TIME(11,18,34)</f>
        <v>40493.471226851849</v>
      </c>
      <c r="C600">
        <v>80</v>
      </c>
      <c r="D600">
        <v>77.390617371000005</v>
      </c>
      <c r="E600">
        <v>50</v>
      </c>
      <c r="F600">
        <v>49.941429137999997</v>
      </c>
      <c r="G600">
        <v>1299.8625488</v>
      </c>
      <c r="H600">
        <v>1287.1330565999999</v>
      </c>
      <c r="I600">
        <v>1404.8057861</v>
      </c>
      <c r="J600">
        <v>1384.8026123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194.883861</v>
      </c>
      <c r="B601" s="1">
        <f>DATE(2010,11,11) + TIME(21,12,45)</f>
        <v>40493.88385416667</v>
      </c>
      <c r="C601">
        <v>80</v>
      </c>
      <c r="D601">
        <v>77.313476562000005</v>
      </c>
      <c r="E601">
        <v>50</v>
      </c>
      <c r="F601">
        <v>49.941619873</v>
      </c>
      <c r="G601">
        <v>1299.8204346</v>
      </c>
      <c r="H601">
        <v>1287.0866699000001</v>
      </c>
      <c r="I601">
        <v>1404.6539307</v>
      </c>
      <c r="J601">
        <v>1384.6704102000001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195.305049</v>
      </c>
      <c r="B602" s="1">
        <f>DATE(2010,11,12) + TIME(7,19,16)</f>
        <v>40494.305046296293</v>
      </c>
      <c r="C602">
        <v>80</v>
      </c>
      <c r="D602">
        <v>77.235496521000002</v>
      </c>
      <c r="E602">
        <v>50</v>
      </c>
      <c r="F602">
        <v>49.941780090000002</v>
      </c>
      <c r="G602">
        <v>1299.7799072</v>
      </c>
      <c r="H602">
        <v>1287.0415039</v>
      </c>
      <c r="I602">
        <v>1404.5050048999999</v>
      </c>
      <c r="J602">
        <v>1384.5406493999999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195.73531700000001</v>
      </c>
      <c r="B603" s="1">
        <f>DATE(2010,11,12) + TIME(17,38,51)</f>
        <v>40494.735312500001</v>
      </c>
      <c r="C603">
        <v>80</v>
      </c>
      <c r="D603">
        <v>77.156623839999995</v>
      </c>
      <c r="E603">
        <v>50</v>
      </c>
      <c r="F603">
        <v>49.941909789999997</v>
      </c>
      <c r="G603">
        <v>1299.7403564000001</v>
      </c>
      <c r="H603">
        <v>1286.9973144999999</v>
      </c>
      <c r="I603">
        <v>1404.3586425999999</v>
      </c>
      <c r="J603">
        <v>1384.4129639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196.176704</v>
      </c>
      <c r="B604" s="1">
        <f>DATE(2010,11,13) + TIME(4,14,27)</f>
        <v>40495.176701388889</v>
      </c>
      <c r="C604">
        <v>80</v>
      </c>
      <c r="D604">
        <v>77.076622009000005</v>
      </c>
      <c r="E604">
        <v>50</v>
      </c>
      <c r="F604">
        <v>49.942024230999998</v>
      </c>
      <c r="G604">
        <v>1299.7015381000001</v>
      </c>
      <c r="H604">
        <v>1286.9534911999999</v>
      </c>
      <c r="I604">
        <v>1404.2144774999999</v>
      </c>
      <c r="J604">
        <v>1384.2868652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196.63158200000001</v>
      </c>
      <c r="B605" s="1">
        <f>DATE(2010,11,13) + TIME(15,9,28)</f>
        <v>40495.631574074076</v>
      </c>
      <c r="C605">
        <v>80</v>
      </c>
      <c r="D605">
        <v>76.995185852000006</v>
      </c>
      <c r="E605">
        <v>50</v>
      </c>
      <c r="F605">
        <v>49.942119597999998</v>
      </c>
      <c r="G605">
        <v>1299.6630858999999</v>
      </c>
      <c r="H605">
        <v>1286.909668</v>
      </c>
      <c r="I605">
        <v>1404.0720214999999</v>
      </c>
      <c r="J605">
        <v>1384.1622314000001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197.10145499999999</v>
      </c>
      <c r="B606" s="1">
        <f>DATE(2010,11,14) + TIME(2,26,5)</f>
        <v>40496.101446759261</v>
      </c>
      <c r="C606">
        <v>80</v>
      </c>
      <c r="D606">
        <v>76.912086486999996</v>
      </c>
      <c r="E606">
        <v>50</v>
      </c>
      <c r="F606">
        <v>49.942199707</v>
      </c>
      <c r="G606">
        <v>1299.6247559000001</v>
      </c>
      <c r="H606">
        <v>1286.8656006000001</v>
      </c>
      <c r="I606">
        <v>1403.9307861</v>
      </c>
      <c r="J606">
        <v>1384.0384521000001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197.588247</v>
      </c>
      <c r="B607" s="1">
        <f>DATE(2010,11,14) + TIME(14,7,4)</f>
        <v>40496.588240740741</v>
      </c>
      <c r="C607">
        <v>80</v>
      </c>
      <c r="D607">
        <v>76.827079772999994</v>
      </c>
      <c r="E607">
        <v>50</v>
      </c>
      <c r="F607">
        <v>49.942272185999997</v>
      </c>
      <c r="G607">
        <v>1299.5860596</v>
      </c>
      <c r="H607">
        <v>1286.8210449000001</v>
      </c>
      <c r="I607">
        <v>1403.7904053</v>
      </c>
      <c r="J607">
        <v>1383.9152832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198.09474299999999</v>
      </c>
      <c r="B608" s="1">
        <f>DATE(2010,11,15) + TIME(2,16,25)</f>
        <v>40497.094733796293</v>
      </c>
      <c r="C608">
        <v>80</v>
      </c>
      <c r="D608">
        <v>76.739814757999994</v>
      </c>
      <c r="E608">
        <v>50</v>
      </c>
      <c r="F608">
        <v>49.942337035999998</v>
      </c>
      <c r="G608">
        <v>1299.546875</v>
      </c>
      <c r="H608">
        <v>1286.7755127</v>
      </c>
      <c r="I608">
        <v>1403.6505127</v>
      </c>
      <c r="J608">
        <v>1383.7924805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198.62237099999999</v>
      </c>
      <c r="B609" s="1">
        <f>DATE(2010,11,15) + TIME(14,56,12)</f>
        <v>40497.622361111113</v>
      </c>
      <c r="C609">
        <v>80</v>
      </c>
      <c r="D609">
        <v>76.650062560999999</v>
      </c>
      <c r="E609">
        <v>50</v>
      </c>
      <c r="F609">
        <v>49.942394256999997</v>
      </c>
      <c r="G609">
        <v>1299.5069579999999</v>
      </c>
      <c r="H609">
        <v>1286.7286377</v>
      </c>
      <c r="I609">
        <v>1403.5107422000001</v>
      </c>
      <c r="J609">
        <v>1383.6696777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199.16932299999999</v>
      </c>
      <c r="B610" s="1">
        <f>DATE(2010,11,16) + TIME(4,3,49)</f>
        <v>40498.169317129628</v>
      </c>
      <c r="C610">
        <v>80</v>
      </c>
      <c r="D610">
        <v>76.557952881000006</v>
      </c>
      <c r="E610">
        <v>50</v>
      </c>
      <c r="F610">
        <v>49.942443848000003</v>
      </c>
      <c r="G610">
        <v>1299.4660644999999</v>
      </c>
      <c r="H610">
        <v>1286.6804199000001</v>
      </c>
      <c r="I610">
        <v>1403.3709716999999</v>
      </c>
      <c r="J610">
        <v>1383.5467529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199.71947800000001</v>
      </c>
      <c r="B611" s="1">
        <f>DATE(2010,11,16) + TIME(17,16,2)</f>
        <v>40498.719467592593</v>
      </c>
      <c r="C611">
        <v>80</v>
      </c>
      <c r="D611">
        <v>76.465126037999994</v>
      </c>
      <c r="E611">
        <v>50</v>
      </c>
      <c r="F611">
        <v>49.942485808999997</v>
      </c>
      <c r="G611">
        <v>1299.4244385</v>
      </c>
      <c r="H611">
        <v>1286.6311035000001</v>
      </c>
      <c r="I611">
        <v>1403.2322998</v>
      </c>
      <c r="J611">
        <v>1383.4246826000001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200.27585999999999</v>
      </c>
      <c r="B612" s="1">
        <f>DATE(2010,11,17) + TIME(6,37,14)</f>
        <v>40499.275856481479</v>
      </c>
      <c r="C612">
        <v>80</v>
      </c>
      <c r="D612">
        <v>76.371749878000003</v>
      </c>
      <c r="E612">
        <v>50</v>
      </c>
      <c r="F612">
        <v>49.942523956000002</v>
      </c>
      <c r="G612">
        <v>1299.3826904</v>
      </c>
      <c r="H612">
        <v>1286.5812988</v>
      </c>
      <c r="I612">
        <v>1403.0979004000001</v>
      </c>
      <c r="J612">
        <v>1383.3062743999999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200.84060700000001</v>
      </c>
      <c r="B613" s="1">
        <f>DATE(2010,11,17) + TIME(20,10,28)</f>
        <v>40499.840601851851</v>
      </c>
      <c r="C613">
        <v>80</v>
      </c>
      <c r="D613">
        <v>76.277816771999994</v>
      </c>
      <c r="E613">
        <v>50</v>
      </c>
      <c r="F613">
        <v>49.942562103</v>
      </c>
      <c r="G613">
        <v>1299.3406981999999</v>
      </c>
      <c r="H613">
        <v>1286.5306396000001</v>
      </c>
      <c r="I613">
        <v>1402.9671631000001</v>
      </c>
      <c r="J613">
        <v>1383.1907959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201.41444999999999</v>
      </c>
      <c r="B614" s="1">
        <f>DATE(2010,11,18) + TIME(9,56,48)</f>
        <v>40500.414444444446</v>
      </c>
      <c r="C614">
        <v>80</v>
      </c>
      <c r="D614">
        <v>76.183319092000005</v>
      </c>
      <c r="E614">
        <v>50</v>
      </c>
      <c r="F614">
        <v>49.942596436000002</v>
      </c>
      <c r="G614">
        <v>1299.2979736</v>
      </c>
      <c r="H614">
        <v>1286.4790039</v>
      </c>
      <c r="I614">
        <v>1402.8394774999999</v>
      </c>
      <c r="J614">
        <v>1383.0780029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202.00035700000001</v>
      </c>
      <c r="B615" s="1">
        <f>DATE(2010,11,19) + TIME(0,0,30)</f>
        <v>40501.000347222223</v>
      </c>
      <c r="C615">
        <v>80</v>
      </c>
      <c r="D615">
        <v>76.088012695000003</v>
      </c>
      <c r="E615">
        <v>50</v>
      </c>
      <c r="F615">
        <v>49.942634583</v>
      </c>
      <c r="G615">
        <v>1299.2547606999999</v>
      </c>
      <c r="H615">
        <v>1286.4262695</v>
      </c>
      <c r="I615">
        <v>1402.7143555</v>
      </c>
      <c r="J615">
        <v>1382.9674072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202.60142999999999</v>
      </c>
      <c r="B616" s="1">
        <f>DATE(2010,11,19) + TIME(14,26,3)</f>
        <v>40501.601423611108</v>
      </c>
      <c r="C616">
        <v>80</v>
      </c>
      <c r="D616">
        <v>75.991577148000005</v>
      </c>
      <c r="E616">
        <v>50</v>
      </c>
      <c r="F616">
        <v>49.942668914999999</v>
      </c>
      <c r="G616">
        <v>1299.2103271000001</v>
      </c>
      <c r="H616">
        <v>1286.3718262</v>
      </c>
      <c r="I616">
        <v>1402.5913086</v>
      </c>
      <c r="J616">
        <v>1382.8585204999999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203.21896799999999</v>
      </c>
      <c r="B617" s="1">
        <f>DATE(2010,11,20) + TIME(5,15,18)</f>
        <v>40502.218958333331</v>
      </c>
      <c r="C617">
        <v>80</v>
      </c>
      <c r="D617">
        <v>75.893791199000006</v>
      </c>
      <c r="E617">
        <v>50</v>
      </c>
      <c r="F617">
        <v>49.942707061999997</v>
      </c>
      <c r="G617">
        <v>1299.1647949000001</v>
      </c>
      <c r="H617">
        <v>1286.3156738</v>
      </c>
      <c r="I617">
        <v>1402.4697266000001</v>
      </c>
      <c r="J617">
        <v>1382.7508545000001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203.855558</v>
      </c>
      <c r="B618" s="1">
        <f>DATE(2010,11,20) + TIME(20,32,0)</f>
        <v>40502.855555555558</v>
      </c>
      <c r="C618">
        <v>80</v>
      </c>
      <c r="D618">
        <v>75.794357300000001</v>
      </c>
      <c r="E618">
        <v>50</v>
      </c>
      <c r="F618">
        <v>49.942741394000002</v>
      </c>
      <c r="G618">
        <v>1299.1176757999999</v>
      </c>
      <c r="H618">
        <v>1286.2573242000001</v>
      </c>
      <c r="I618">
        <v>1402.3491211</v>
      </c>
      <c r="J618">
        <v>1382.6439209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204.51410000000001</v>
      </c>
      <c r="B619" s="1">
        <f>DATE(2010,11,21) + TIME(12,20,18)</f>
        <v>40503.514097222222</v>
      </c>
      <c r="C619">
        <v>80</v>
      </c>
      <c r="D619">
        <v>75.692962645999998</v>
      </c>
      <c r="E619">
        <v>50</v>
      </c>
      <c r="F619">
        <v>49.942783356</v>
      </c>
      <c r="G619">
        <v>1299.0688477000001</v>
      </c>
      <c r="H619">
        <v>1286.1964111</v>
      </c>
      <c r="I619">
        <v>1402.2292480000001</v>
      </c>
      <c r="J619">
        <v>1382.5374756000001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205.196439</v>
      </c>
      <c r="B620" s="1">
        <f>DATE(2010,11,22) + TIME(4,42,52)</f>
        <v>40504.196435185186</v>
      </c>
      <c r="C620">
        <v>80</v>
      </c>
      <c r="D620">
        <v>75.589332580999994</v>
      </c>
      <c r="E620">
        <v>50</v>
      </c>
      <c r="F620">
        <v>49.942821502999998</v>
      </c>
      <c r="G620">
        <v>1299.0179443</v>
      </c>
      <c r="H620">
        <v>1286.1328125</v>
      </c>
      <c r="I620">
        <v>1402.1097411999999</v>
      </c>
      <c r="J620">
        <v>1382.4311522999999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205.906769</v>
      </c>
      <c r="B621" s="1">
        <f>DATE(2010,11,22) + TIME(21,45,44)</f>
        <v>40504.906759259262</v>
      </c>
      <c r="C621">
        <v>80</v>
      </c>
      <c r="D621">
        <v>75.483062743999994</v>
      </c>
      <c r="E621">
        <v>50</v>
      </c>
      <c r="F621">
        <v>49.942867278999998</v>
      </c>
      <c r="G621">
        <v>1298.9648437999999</v>
      </c>
      <c r="H621">
        <v>1286.065918</v>
      </c>
      <c r="I621">
        <v>1401.9902344</v>
      </c>
      <c r="J621">
        <v>1382.3248291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206.62445600000001</v>
      </c>
      <c r="B622" s="1">
        <f>DATE(2010,11,23) + TIME(14,59,13)</f>
        <v>40505.624456018515</v>
      </c>
      <c r="C622">
        <v>80</v>
      </c>
      <c r="D622">
        <v>75.375648498999993</v>
      </c>
      <c r="E622">
        <v>50</v>
      </c>
      <c r="F622">
        <v>49.942909241000002</v>
      </c>
      <c r="G622">
        <v>1298.9094238</v>
      </c>
      <c r="H622">
        <v>1285.9958495999999</v>
      </c>
      <c r="I622">
        <v>1401.8707274999999</v>
      </c>
      <c r="J622">
        <v>1382.2183838000001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207.34645499999999</v>
      </c>
      <c r="B623" s="1">
        <f>DATE(2010,11,24) + TIME(8,18,53)</f>
        <v>40506.346446759257</v>
      </c>
      <c r="C623">
        <v>80</v>
      </c>
      <c r="D623">
        <v>75.267936707000004</v>
      </c>
      <c r="E623">
        <v>50</v>
      </c>
      <c r="F623">
        <v>49.942951202000003</v>
      </c>
      <c r="G623">
        <v>1298.8526611</v>
      </c>
      <c r="H623">
        <v>1285.9238281</v>
      </c>
      <c r="I623">
        <v>1401.7540283000001</v>
      </c>
      <c r="J623">
        <v>1382.1143798999999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208.076008</v>
      </c>
      <c r="B624" s="1">
        <f>DATE(2010,11,25) + TIME(1,49,27)</f>
        <v>40507.076006944444</v>
      </c>
      <c r="C624">
        <v>80</v>
      </c>
      <c r="D624">
        <v>75.160102843999994</v>
      </c>
      <c r="E624">
        <v>50</v>
      </c>
      <c r="F624">
        <v>49.942996979</v>
      </c>
      <c r="G624">
        <v>1298.7947998</v>
      </c>
      <c r="H624">
        <v>1285.8500977000001</v>
      </c>
      <c r="I624">
        <v>1401.6405029</v>
      </c>
      <c r="J624">
        <v>1382.0129394999999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208.81704099999999</v>
      </c>
      <c r="B625" s="1">
        <f>DATE(2010,11,25) + TIME(19,36,32)</f>
        <v>40507.817037037035</v>
      </c>
      <c r="C625">
        <v>80</v>
      </c>
      <c r="D625">
        <v>75.051979064999998</v>
      </c>
      <c r="E625">
        <v>50</v>
      </c>
      <c r="F625">
        <v>49.943042755</v>
      </c>
      <c r="G625">
        <v>1298.7357178</v>
      </c>
      <c r="H625">
        <v>1285.7741699000001</v>
      </c>
      <c r="I625">
        <v>1401.5296631000001</v>
      </c>
      <c r="J625">
        <v>1381.9138184000001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209.573511</v>
      </c>
      <c r="B626" s="1">
        <f>DATE(2010,11,26) + TIME(13,45,51)</f>
        <v>40508.573506944442</v>
      </c>
      <c r="C626">
        <v>80</v>
      </c>
      <c r="D626">
        <v>74.943206786999994</v>
      </c>
      <c r="E626">
        <v>50</v>
      </c>
      <c r="F626">
        <v>49.943092346</v>
      </c>
      <c r="G626">
        <v>1298.6749268000001</v>
      </c>
      <c r="H626">
        <v>1285.6959228999999</v>
      </c>
      <c r="I626">
        <v>1401.4207764</v>
      </c>
      <c r="J626">
        <v>1381.8164062000001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210.346946</v>
      </c>
      <c r="B627" s="1">
        <f>DATE(2010,11,27) + TIME(8,19,36)</f>
        <v>40509.346944444442</v>
      </c>
      <c r="C627">
        <v>80</v>
      </c>
      <c r="D627">
        <v>74.833503723000007</v>
      </c>
      <c r="E627">
        <v>50</v>
      </c>
      <c r="F627">
        <v>49.943145752</v>
      </c>
      <c r="G627">
        <v>1298.6123047000001</v>
      </c>
      <c r="H627">
        <v>1285.6147461</v>
      </c>
      <c r="I627">
        <v>1401.3132324000001</v>
      </c>
      <c r="J627">
        <v>1381.7199707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211.139667</v>
      </c>
      <c r="B628" s="1">
        <f>DATE(2010,11,28) + TIME(3,21,7)</f>
        <v>40510.139664351853</v>
      </c>
      <c r="C628">
        <v>80</v>
      </c>
      <c r="D628">
        <v>74.722633361999996</v>
      </c>
      <c r="E628">
        <v>50</v>
      </c>
      <c r="F628">
        <v>49.943202972000002</v>
      </c>
      <c r="G628">
        <v>1298.5473632999999</v>
      </c>
      <c r="H628">
        <v>1285.5303954999999</v>
      </c>
      <c r="I628">
        <v>1401.2069091999999</v>
      </c>
      <c r="J628">
        <v>1381.6246338000001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211.95621</v>
      </c>
      <c r="B629" s="1">
        <f>DATE(2010,11,28) + TIME(22,56,56)</f>
        <v>40510.956203703703</v>
      </c>
      <c r="C629">
        <v>80</v>
      </c>
      <c r="D629">
        <v>74.610176085999996</v>
      </c>
      <c r="E629">
        <v>50</v>
      </c>
      <c r="F629">
        <v>49.943260193</v>
      </c>
      <c r="G629">
        <v>1298.4801024999999</v>
      </c>
      <c r="H629">
        <v>1285.4426269999999</v>
      </c>
      <c r="I629">
        <v>1401.1014404</v>
      </c>
      <c r="J629">
        <v>1381.5297852000001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212.798205</v>
      </c>
      <c r="B630" s="1">
        <f>DATE(2010,11,29) + TIME(19,9,24)</f>
        <v>40511.798194444447</v>
      </c>
      <c r="C630">
        <v>80</v>
      </c>
      <c r="D630">
        <v>74.495857239000003</v>
      </c>
      <c r="E630">
        <v>50</v>
      </c>
      <c r="F630">
        <v>49.943321228000002</v>
      </c>
      <c r="G630">
        <v>1298.4099120999999</v>
      </c>
      <c r="H630">
        <v>1285.3507079999999</v>
      </c>
      <c r="I630">
        <v>1400.9962158000001</v>
      </c>
      <c r="J630">
        <v>1381.4351807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213.66916000000001</v>
      </c>
      <c r="B631" s="1">
        <f>DATE(2010,11,30) + TIME(16,3,35)</f>
        <v>40512.66915509259</v>
      </c>
      <c r="C631">
        <v>80</v>
      </c>
      <c r="D631">
        <v>74.379341124999996</v>
      </c>
      <c r="E631">
        <v>50</v>
      </c>
      <c r="F631">
        <v>49.943386078000003</v>
      </c>
      <c r="G631">
        <v>1298.3367920000001</v>
      </c>
      <c r="H631">
        <v>1285.2545166</v>
      </c>
      <c r="I631">
        <v>1400.8912353999999</v>
      </c>
      <c r="J631">
        <v>1381.3406981999999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214</v>
      </c>
      <c r="B632" s="1">
        <f>DATE(2010,12,1) + TIME(0,0,0)</f>
        <v>40513</v>
      </c>
      <c r="C632">
        <v>80</v>
      </c>
      <c r="D632">
        <v>74.314002990999995</v>
      </c>
      <c r="E632">
        <v>50</v>
      </c>
      <c r="F632">
        <v>49.943355560000001</v>
      </c>
      <c r="G632">
        <v>1298.2728271000001</v>
      </c>
      <c r="H632">
        <v>1285.1738281</v>
      </c>
      <c r="I632">
        <v>1400.802124</v>
      </c>
      <c r="J632">
        <v>1381.2612305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214.88872499999999</v>
      </c>
      <c r="B633" s="1">
        <f>DATE(2010,12,1) + TIME(21,19,45)</f>
        <v>40513.888715277775</v>
      </c>
      <c r="C633">
        <v>80</v>
      </c>
      <c r="D633">
        <v>74.206909179999997</v>
      </c>
      <c r="E633">
        <v>50</v>
      </c>
      <c r="F633">
        <v>49.943477631</v>
      </c>
      <c r="G633">
        <v>1298.2272949000001</v>
      </c>
      <c r="H633">
        <v>1285.1088867000001</v>
      </c>
      <c r="I633">
        <v>1400.7426757999999</v>
      </c>
      <c r="J633">
        <v>1381.2062988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215.78724800000001</v>
      </c>
      <c r="B634" s="1">
        <f>DATE(2010,12,2) + TIME(18,53,38)</f>
        <v>40514.787245370368</v>
      </c>
      <c r="C634">
        <v>80</v>
      </c>
      <c r="D634">
        <v>74.093589782999999</v>
      </c>
      <c r="E634">
        <v>50</v>
      </c>
      <c r="F634">
        <v>49.943546294999997</v>
      </c>
      <c r="G634">
        <v>1298.1503906</v>
      </c>
      <c r="H634">
        <v>1285.0072021000001</v>
      </c>
      <c r="I634">
        <v>1400.6444091999999</v>
      </c>
      <c r="J634">
        <v>1381.1177978999999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216.69801100000001</v>
      </c>
      <c r="B635" s="1">
        <f>DATE(2010,12,3) + TIME(16,45,8)</f>
        <v>40515.698009259257</v>
      </c>
      <c r="C635">
        <v>80</v>
      </c>
      <c r="D635">
        <v>73.977180481000005</v>
      </c>
      <c r="E635">
        <v>50</v>
      </c>
      <c r="F635">
        <v>49.943614959999998</v>
      </c>
      <c r="G635">
        <v>1298.0695800999999</v>
      </c>
      <c r="H635">
        <v>1284.9000243999999</v>
      </c>
      <c r="I635">
        <v>1400.5445557</v>
      </c>
      <c r="J635">
        <v>1381.0274658000001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217.62493499999999</v>
      </c>
      <c r="B636" s="1">
        <f>DATE(2010,12,4) + TIME(14,59,54)</f>
        <v>40516.624930555554</v>
      </c>
      <c r="C636">
        <v>80</v>
      </c>
      <c r="D636">
        <v>73.858963012999993</v>
      </c>
      <c r="E636">
        <v>50</v>
      </c>
      <c r="F636">
        <v>49.943687439000001</v>
      </c>
      <c r="G636">
        <v>1297.9862060999999</v>
      </c>
      <c r="H636">
        <v>1284.7889404</v>
      </c>
      <c r="I636">
        <v>1400.4460449000001</v>
      </c>
      <c r="J636">
        <v>1380.9382324000001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218.56769800000001</v>
      </c>
      <c r="B637" s="1">
        <f>DATE(2010,12,5) + TIME(13,37,29)</f>
        <v>40517.567696759259</v>
      </c>
      <c r="C637">
        <v>80</v>
      </c>
      <c r="D637">
        <v>73.739555358999993</v>
      </c>
      <c r="E637">
        <v>50</v>
      </c>
      <c r="F637">
        <v>49.943759917999998</v>
      </c>
      <c r="G637">
        <v>1297.9002685999999</v>
      </c>
      <c r="H637">
        <v>1284.6738281</v>
      </c>
      <c r="I637">
        <v>1400.3487548999999</v>
      </c>
      <c r="J637">
        <v>1380.8500977000001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219.531442</v>
      </c>
      <c r="B638" s="1">
        <f>DATE(2010,12,6) + TIME(12,45,16)</f>
        <v>40518.531435185185</v>
      </c>
      <c r="C638">
        <v>80</v>
      </c>
      <c r="D638">
        <v>73.618965149000005</v>
      </c>
      <c r="E638">
        <v>50</v>
      </c>
      <c r="F638">
        <v>49.943836212000001</v>
      </c>
      <c r="G638">
        <v>1297.8117675999999</v>
      </c>
      <c r="H638">
        <v>1284.5548096</v>
      </c>
      <c r="I638">
        <v>1400.2528076000001</v>
      </c>
      <c r="J638">
        <v>1380.7629394999999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220.52160799999999</v>
      </c>
      <c r="B639" s="1">
        <f>DATE(2010,12,7) + TIME(12,31,6)</f>
        <v>40519.521597222221</v>
      </c>
      <c r="C639">
        <v>80</v>
      </c>
      <c r="D639">
        <v>73.496887207</v>
      </c>
      <c r="E639">
        <v>50</v>
      </c>
      <c r="F639">
        <v>49.943916321000003</v>
      </c>
      <c r="G639">
        <v>1297.7200928</v>
      </c>
      <c r="H639">
        <v>1284.4311522999999</v>
      </c>
      <c r="I639">
        <v>1400.1575928</v>
      </c>
      <c r="J639">
        <v>1380.6762695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221.53822700000001</v>
      </c>
      <c r="B640" s="1">
        <f>DATE(2010,12,8) + TIME(12,55,2)</f>
        <v>40520.538217592592</v>
      </c>
      <c r="C640">
        <v>80</v>
      </c>
      <c r="D640">
        <v>73.373138428000004</v>
      </c>
      <c r="E640">
        <v>50</v>
      </c>
      <c r="F640">
        <v>49.944000244000001</v>
      </c>
      <c r="G640">
        <v>1297.6248779</v>
      </c>
      <c r="H640">
        <v>1284.3023682</v>
      </c>
      <c r="I640">
        <v>1400.0627440999999</v>
      </c>
      <c r="J640">
        <v>1380.5899658000001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222.58653200000001</v>
      </c>
      <c r="B641" s="1">
        <f>DATE(2010,12,9) + TIME(14,4,36)</f>
        <v>40521.586527777778</v>
      </c>
      <c r="C641">
        <v>80</v>
      </c>
      <c r="D641">
        <v>73.247398376000007</v>
      </c>
      <c r="E641">
        <v>50</v>
      </c>
      <c r="F641">
        <v>49.944087981999999</v>
      </c>
      <c r="G641">
        <v>1297.5258789</v>
      </c>
      <c r="H641">
        <v>1284.1682129000001</v>
      </c>
      <c r="I641">
        <v>1399.9682617000001</v>
      </c>
      <c r="J641">
        <v>1380.5039062000001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223.65131199999999</v>
      </c>
      <c r="B642" s="1">
        <f>DATE(2010,12,10) + TIME(15,37,53)</f>
        <v>40522.651307870372</v>
      </c>
      <c r="C642">
        <v>80</v>
      </c>
      <c r="D642">
        <v>73.120262146000002</v>
      </c>
      <c r="E642">
        <v>50</v>
      </c>
      <c r="F642">
        <v>49.944175719999997</v>
      </c>
      <c r="G642">
        <v>1297.4229736</v>
      </c>
      <c r="H642">
        <v>1284.0283202999999</v>
      </c>
      <c r="I642">
        <v>1399.8740233999999</v>
      </c>
      <c r="J642">
        <v>1380.4178466999999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224.72512699999999</v>
      </c>
      <c r="B643" s="1">
        <f>DATE(2010,12,11) + TIME(17,24,10)</f>
        <v>40523.725115740737</v>
      </c>
      <c r="C643">
        <v>80</v>
      </c>
      <c r="D643">
        <v>72.992630004999995</v>
      </c>
      <c r="E643">
        <v>50</v>
      </c>
      <c r="F643">
        <v>49.944267273000001</v>
      </c>
      <c r="G643">
        <v>1297.3171387</v>
      </c>
      <c r="H643">
        <v>1283.8840332</v>
      </c>
      <c r="I643">
        <v>1399.7810059000001</v>
      </c>
      <c r="J643">
        <v>1380.3328856999999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225.81313700000001</v>
      </c>
      <c r="B644" s="1">
        <f>DATE(2010,12,12) + TIME(19,30,55)</f>
        <v>40524.813136574077</v>
      </c>
      <c r="C644">
        <v>80</v>
      </c>
      <c r="D644">
        <v>72.864738463999998</v>
      </c>
      <c r="E644">
        <v>50</v>
      </c>
      <c r="F644">
        <v>49.944358825999998</v>
      </c>
      <c r="G644">
        <v>1297.2089844</v>
      </c>
      <c r="H644">
        <v>1283.7360839999999</v>
      </c>
      <c r="I644">
        <v>1399.6899414</v>
      </c>
      <c r="J644">
        <v>1380.2495117000001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226.913071</v>
      </c>
      <c r="B645" s="1">
        <f>DATE(2010,12,13) + TIME(21,54,49)</f>
        <v>40525.91306712963</v>
      </c>
      <c r="C645">
        <v>80</v>
      </c>
      <c r="D645">
        <v>72.736724854000002</v>
      </c>
      <c r="E645">
        <v>50</v>
      </c>
      <c r="F645">
        <v>49.944450377999999</v>
      </c>
      <c r="G645">
        <v>1297.0982666</v>
      </c>
      <c r="H645">
        <v>1283.5842285000001</v>
      </c>
      <c r="I645">
        <v>1399.6003418</v>
      </c>
      <c r="J645">
        <v>1380.1674805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228.03094899999999</v>
      </c>
      <c r="B646" s="1">
        <f>DATE(2010,12,15) + TIME(0,44,33)</f>
        <v>40527.0309375</v>
      </c>
      <c r="C646">
        <v>80</v>
      </c>
      <c r="D646">
        <v>72.608390807999996</v>
      </c>
      <c r="E646">
        <v>50</v>
      </c>
      <c r="F646">
        <v>49.944545746000003</v>
      </c>
      <c r="G646">
        <v>1296.9848632999999</v>
      </c>
      <c r="H646">
        <v>1283.4285889</v>
      </c>
      <c r="I646">
        <v>1399.512207</v>
      </c>
      <c r="J646">
        <v>1380.0866699000001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229.17294799999999</v>
      </c>
      <c r="B647" s="1">
        <f>DATE(2010,12,16) + TIME(4,9,2)</f>
        <v>40528.172939814816</v>
      </c>
      <c r="C647">
        <v>80</v>
      </c>
      <c r="D647">
        <v>72.479248046999999</v>
      </c>
      <c r="E647">
        <v>50</v>
      </c>
      <c r="F647">
        <v>49.944644928000002</v>
      </c>
      <c r="G647">
        <v>1296.8685303</v>
      </c>
      <c r="H647">
        <v>1283.2681885</v>
      </c>
      <c r="I647">
        <v>1399.425293</v>
      </c>
      <c r="J647">
        <v>1380.0067139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230.34342100000001</v>
      </c>
      <c r="B648" s="1">
        <f>DATE(2010,12,17) + TIME(8,14,31)</f>
        <v>40529.343414351853</v>
      </c>
      <c r="C648">
        <v>80</v>
      </c>
      <c r="D648">
        <v>72.348800659000005</v>
      </c>
      <c r="E648">
        <v>50</v>
      </c>
      <c r="F648">
        <v>49.944744110000002</v>
      </c>
      <c r="G648">
        <v>1296.7484131000001</v>
      </c>
      <c r="H648">
        <v>1283.1024170000001</v>
      </c>
      <c r="I648">
        <v>1399.3389893000001</v>
      </c>
      <c r="J648">
        <v>1379.9273682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231.541989</v>
      </c>
      <c r="B649" s="1">
        <f>DATE(2010,12,18) + TIME(13,0,27)</f>
        <v>40530.541979166665</v>
      </c>
      <c r="C649">
        <v>80</v>
      </c>
      <c r="D649">
        <v>72.216773986999996</v>
      </c>
      <c r="E649">
        <v>50</v>
      </c>
      <c r="F649">
        <v>49.944850922000001</v>
      </c>
      <c r="G649">
        <v>1296.6241454999999</v>
      </c>
      <c r="H649">
        <v>1282.9305420000001</v>
      </c>
      <c r="I649">
        <v>1399.2530518000001</v>
      </c>
      <c r="J649">
        <v>1379.8482666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232.77579499999999</v>
      </c>
      <c r="B650" s="1">
        <f>DATE(2010,12,19) + TIME(18,37,8)</f>
        <v>40531.775787037041</v>
      </c>
      <c r="C650">
        <v>80</v>
      </c>
      <c r="D650">
        <v>72.082786560000002</v>
      </c>
      <c r="E650">
        <v>50</v>
      </c>
      <c r="F650">
        <v>49.944957733000003</v>
      </c>
      <c r="G650">
        <v>1296.4956055</v>
      </c>
      <c r="H650">
        <v>1282.7523193</v>
      </c>
      <c r="I650">
        <v>1399.1673584</v>
      </c>
      <c r="J650">
        <v>1379.7692870999999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234.04254900000001</v>
      </c>
      <c r="B651" s="1">
        <f>DATE(2010,12,21) + TIME(1,1,16)</f>
        <v>40533.042546296296</v>
      </c>
      <c r="C651">
        <v>80</v>
      </c>
      <c r="D651">
        <v>71.946632385000001</v>
      </c>
      <c r="E651">
        <v>50</v>
      </c>
      <c r="F651">
        <v>49.945068358999997</v>
      </c>
      <c r="G651">
        <v>1296.3620605000001</v>
      </c>
      <c r="H651">
        <v>1282.5670166</v>
      </c>
      <c r="I651">
        <v>1399.0817870999999</v>
      </c>
      <c r="J651">
        <v>1379.6903076000001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235.31450699999999</v>
      </c>
      <c r="B652" s="1">
        <f>DATE(2010,12,22) + TIME(7,32,53)</f>
        <v>40534.314502314817</v>
      </c>
      <c r="C652">
        <v>80</v>
      </c>
      <c r="D652">
        <v>71.809448242000002</v>
      </c>
      <c r="E652">
        <v>50</v>
      </c>
      <c r="F652">
        <v>49.945178986000002</v>
      </c>
      <c r="G652">
        <v>1296.223999</v>
      </c>
      <c r="H652">
        <v>1282.3751221</v>
      </c>
      <c r="I652">
        <v>1398.996582</v>
      </c>
      <c r="J652">
        <v>1379.6115723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236.59808799999999</v>
      </c>
      <c r="B653" s="1">
        <f>DATE(2010,12,23) + TIME(14,21,14)</f>
        <v>40535.598078703704</v>
      </c>
      <c r="C653">
        <v>80</v>
      </c>
      <c r="D653">
        <v>71.672065735000004</v>
      </c>
      <c r="E653">
        <v>50</v>
      </c>
      <c r="F653">
        <v>49.945289612000003</v>
      </c>
      <c r="G653">
        <v>1296.0834961</v>
      </c>
      <c r="H653">
        <v>1282.1793213000001</v>
      </c>
      <c r="I653">
        <v>1398.9132079999999</v>
      </c>
      <c r="J653">
        <v>1379.5344238</v>
      </c>
      <c r="K653">
        <v>0</v>
      </c>
      <c r="L653">
        <v>2400</v>
      </c>
      <c r="M653">
        <v>2400</v>
      </c>
      <c r="N653">
        <v>0</v>
      </c>
    </row>
    <row r="654" spans="1:14" x14ac:dyDescent="0.25">
      <c r="A654">
        <v>237.897685</v>
      </c>
      <c r="B654" s="1">
        <f>DATE(2010,12,24) + TIME(21,32,40)</f>
        <v>40536.897685185184</v>
      </c>
      <c r="C654">
        <v>80</v>
      </c>
      <c r="D654">
        <v>71.534454346000004</v>
      </c>
      <c r="E654">
        <v>50</v>
      </c>
      <c r="F654">
        <v>49.945404052999997</v>
      </c>
      <c r="G654">
        <v>1295.9403076000001</v>
      </c>
      <c r="H654">
        <v>1281.9792480000001</v>
      </c>
      <c r="I654">
        <v>1398.8312988</v>
      </c>
      <c r="J654">
        <v>1379.4584961</v>
      </c>
      <c r="K654">
        <v>0</v>
      </c>
      <c r="L654">
        <v>2400</v>
      </c>
      <c r="M654">
        <v>2400</v>
      </c>
      <c r="N654">
        <v>0</v>
      </c>
    </row>
    <row r="655" spans="1:14" x14ac:dyDescent="0.25">
      <c r="A655">
        <v>239.22028800000001</v>
      </c>
      <c r="B655" s="1">
        <f>DATE(2010,12,26) + TIME(5,17,12)</f>
        <v>40538.220277777778</v>
      </c>
      <c r="C655">
        <v>80</v>
      </c>
      <c r="D655">
        <v>71.396202087000006</v>
      </c>
      <c r="E655">
        <v>50</v>
      </c>
      <c r="F655">
        <v>49.945522308000001</v>
      </c>
      <c r="G655">
        <v>1295.7939452999999</v>
      </c>
      <c r="H655">
        <v>1281.7744141000001</v>
      </c>
      <c r="I655">
        <v>1398.7506103999999</v>
      </c>
      <c r="J655">
        <v>1379.3836670000001</v>
      </c>
      <c r="K655">
        <v>0</v>
      </c>
      <c r="L655">
        <v>2400</v>
      </c>
      <c r="M655">
        <v>2400</v>
      </c>
      <c r="N655">
        <v>0</v>
      </c>
    </row>
    <row r="656" spans="1:14" x14ac:dyDescent="0.25">
      <c r="A656">
        <v>240.57209</v>
      </c>
      <c r="B656" s="1">
        <f>DATE(2010,12,27) + TIME(13,43,48)</f>
        <v>40539.572083333333</v>
      </c>
      <c r="C656">
        <v>80</v>
      </c>
      <c r="D656">
        <v>71.256706238000007</v>
      </c>
      <c r="E656">
        <v>50</v>
      </c>
      <c r="F656">
        <v>49.945640564000001</v>
      </c>
      <c r="G656">
        <v>1295.6435547000001</v>
      </c>
      <c r="H656">
        <v>1281.5638428</v>
      </c>
      <c r="I656">
        <v>1398.6707764</v>
      </c>
      <c r="J656">
        <v>1379.3093262</v>
      </c>
      <c r="K656">
        <v>0</v>
      </c>
      <c r="L656">
        <v>2400</v>
      </c>
      <c r="M656">
        <v>2400</v>
      </c>
      <c r="N656">
        <v>0</v>
      </c>
    </row>
    <row r="657" spans="1:14" x14ac:dyDescent="0.25">
      <c r="A657">
        <v>241.95162199999999</v>
      </c>
      <c r="B657" s="1">
        <f>DATE(2010,12,28) + TIME(22,50,20)</f>
        <v>40540.951620370368</v>
      </c>
      <c r="C657">
        <v>80</v>
      </c>
      <c r="D657">
        <v>71.115638732999997</v>
      </c>
      <c r="E657">
        <v>50</v>
      </c>
      <c r="F657">
        <v>49.945762633999998</v>
      </c>
      <c r="G657">
        <v>1295.4887695</v>
      </c>
      <c r="H657">
        <v>1281.3465576000001</v>
      </c>
      <c r="I657">
        <v>1398.5911865</v>
      </c>
      <c r="J657">
        <v>1379.2354736</v>
      </c>
      <c r="K657">
        <v>0</v>
      </c>
      <c r="L657">
        <v>2400</v>
      </c>
      <c r="M657">
        <v>2400</v>
      </c>
      <c r="N657">
        <v>0</v>
      </c>
    </row>
    <row r="658" spans="1:14" x14ac:dyDescent="0.25">
      <c r="A658">
        <v>243.364789</v>
      </c>
      <c r="B658" s="1">
        <f>DATE(2010,12,30) + TIME(8,45,17)</f>
        <v>40542.36478009259</v>
      </c>
      <c r="C658">
        <v>80</v>
      </c>
      <c r="D658">
        <v>70.972679138000004</v>
      </c>
      <c r="E658">
        <v>50</v>
      </c>
      <c r="F658">
        <v>49.945888519</v>
      </c>
      <c r="G658">
        <v>1295.3292236</v>
      </c>
      <c r="H658">
        <v>1281.1224365</v>
      </c>
      <c r="I658">
        <v>1398.512207</v>
      </c>
      <c r="J658">
        <v>1379.1618652</v>
      </c>
      <c r="K658">
        <v>0</v>
      </c>
      <c r="L658">
        <v>2400</v>
      </c>
      <c r="M658">
        <v>2400</v>
      </c>
      <c r="N658">
        <v>0</v>
      </c>
    </row>
    <row r="659" spans="1:14" x14ac:dyDescent="0.25">
      <c r="A659">
        <v>244.810756</v>
      </c>
      <c r="B659" s="1">
        <f>DATE(2010,12,31) + TIME(19,27,29)</f>
        <v>40543.810752314814</v>
      </c>
      <c r="C659">
        <v>80</v>
      </c>
      <c r="D659">
        <v>70.827552795000003</v>
      </c>
      <c r="E659">
        <v>50</v>
      </c>
      <c r="F659">
        <v>49.946014404000003</v>
      </c>
      <c r="G659">
        <v>1295.1645507999999</v>
      </c>
      <c r="H659">
        <v>1280.890625</v>
      </c>
      <c r="I659">
        <v>1398.4334716999999</v>
      </c>
      <c r="J659">
        <v>1379.0883789</v>
      </c>
      <c r="K659">
        <v>0</v>
      </c>
      <c r="L659">
        <v>2400</v>
      </c>
      <c r="M659">
        <v>2400</v>
      </c>
      <c r="N659">
        <v>0</v>
      </c>
    </row>
    <row r="660" spans="1:14" x14ac:dyDescent="0.25">
      <c r="A660">
        <v>245</v>
      </c>
      <c r="B660" s="1">
        <f>DATE(2011,1,1) + TIME(0,0,0)</f>
        <v>40544</v>
      </c>
      <c r="C660">
        <v>80</v>
      </c>
      <c r="D660">
        <v>70.783637999999996</v>
      </c>
      <c r="E660">
        <v>50</v>
      </c>
      <c r="F660">
        <v>49.945987701</v>
      </c>
      <c r="G660">
        <v>1295.0423584</v>
      </c>
      <c r="H660">
        <v>1280.7292480000001</v>
      </c>
      <c r="I660">
        <v>1398.387207</v>
      </c>
      <c r="J660">
        <v>1379.0465088000001</v>
      </c>
      <c r="K660">
        <v>0</v>
      </c>
      <c r="L660">
        <v>2400</v>
      </c>
      <c r="M660">
        <v>2400</v>
      </c>
      <c r="N660">
        <v>0</v>
      </c>
    </row>
    <row r="661" spans="1:14" x14ac:dyDescent="0.25">
      <c r="A661">
        <v>246.452842</v>
      </c>
      <c r="B661" s="1">
        <f>DATE(2011,1,2) + TIME(10,52,5)</f>
        <v>40545.452835648146</v>
      </c>
      <c r="C661">
        <v>80</v>
      </c>
      <c r="D661">
        <v>70.653205872000001</v>
      </c>
      <c r="E661">
        <v>50</v>
      </c>
      <c r="F661">
        <v>49.946159363</v>
      </c>
      <c r="G661">
        <v>1294.9658202999999</v>
      </c>
      <c r="H661">
        <v>1280.6086425999999</v>
      </c>
      <c r="I661">
        <v>1398.3414307</v>
      </c>
      <c r="J661">
        <v>1379.0024414</v>
      </c>
      <c r="K661">
        <v>0</v>
      </c>
      <c r="L661">
        <v>2400</v>
      </c>
      <c r="M661">
        <v>2400</v>
      </c>
      <c r="N661">
        <v>0</v>
      </c>
    </row>
    <row r="662" spans="1:14" x14ac:dyDescent="0.25">
      <c r="A662">
        <v>247.92458600000001</v>
      </c>
      <c r="B662" s="1">
        <f>DATE(2011,1,3) + TIME(22,11,24)</f>
        <v>40546.924583333333</v>
      </c>
      <c r="C662">
        <v>80</v>
      </c>
      <c r="D662">
        <v>70.511833190999994</v>
      </c>
      <c r="E662">
        <v>50</v>
      </c>
      <c r="F662">
        <v>49.946289061999998</v>
      </c>
      <c r="G662">
        <v>1294.7979736</v>
      </c>
      <c r="H662">
        <v>1280.3728027</v>
      </c>
      <c r="I662">
        <v>1398.2679443</v>
      </c>
      <c r="J662">
        <v>1378.9338379000001</v>
      </c>
      <c r="K662">
        <v>0</v>
      </c>
      <c r="L662">
        <v>2400</v>
      </c>
      <c r="M662">
        <v>2400</v>
      </c>
      <c r="N662">
        <v>0</v>
      </c>
    </row>
    <row r="663" spans="1:14" x14ac:dyDescent="0.25">
      <c r="A663">
        <v>249.42101600000001</v>
      </c>
      <c r="B663" s="1">
        <f>DATE(2011,1,5) + TIME(10,6,15)</f>
        <v>40548.421006944445</v>
      </c>
      <c r="C663">
        <v>80</v>
      </c>
      <c r="D663">
        <v>70.365615844999994</v>
      </c>
      <c r="E663">
        <v>50</v>
      </c>
      <c r="F663">
        <v>49.946422577</v>
      </c>
      <c r="G663">
        <v>1294.6226807</v>
      </c>
      <c r="H663">
        <v>1280.1256103999999</v>
      </c>
      <c r="I663">
        <v>1398.192749</v>
      </c>
      <c r="J663">
        <v>1378.8634033000001</v>
      </c>
      <c r="K663">
        <v>0</v>
      </c>
      <c r="L663">
        <v>2400</v>
      </c>
      <c r="M663">
        <v>2400</v>
      </c>
      <c r="N663">
        <v>0</v>
      </c>
    </row>
    <row r="664" spans="1:14" x14ac:dyDescent="0.25">
      <c r="A664">
        <v>250.93738500000001</v>
      </c>
      <c r="B664" s="1">
        <f>DATE(2011,1,6) + TIME(22,29,50)</f>
        <v>40549.937384259261</v>
      </c>
      <c r="C664">
        <v>80</v>
      </c>
      <c r="D664">
        <v>70.216751099000007</v>
      </c>
      <c r="E664">
        <v>50</v>
      </c>
      <c r="F664">
        <v>49.946552277000002</v>
      </c>
      <c r="G664">
        <v>1294.4423827999999</v>
      </c>
      <c r="H664">
        <v>1279.8706055</v>
      </c>
      <c r="I664">
        <v>1398.1179199000001</v>
      </c>
      <c r="J664">
        <v>1378.7933350000001</v>
      </c>
      <c r="K664">
        <v>0</v>
      </c>
      <c r="L664">
        <v>2400</v>
      </c>
      <c r="M664">
        <v>2400</v>
      </c>
      <c r="N664">
        <v>0</v>
      </c>
    </row>
    <row r="665" spans="1:14" x14ac:dyDescent="0.25">
      <c r="A665">
        <v>252.47926100000001</v>
      </c>
      <c r="B665" s="1">
        <f>DATE(2011,1,8) + TIME(11,30,8)</f>
        <v>40551.479259259257</v>
      </c>
      <c r="C665">
        <v>80</v>
      </c>
      <c r="D665">
        <v>70.065994262999993</v>
      </c>
      <c r="E665">
        <v>50</v>
      </c>
      <c r="F665">
        <v>49.946689606</v>
      </c>
      <c r="G665">
        <v>1294.2578125</v>
      </c>
      <c r="H665">
        <v>1279.6091309000001</v>
      </c>
      <c r="I665">
        <v>1398.0438231999999</v>
      </c>
      <c r="J665">
        <v>1378.7238769999999</v>
      </c>
      <c r="K665">
        <v>0</v>
      </c>
      <c r="L665">
        <v>2400</v>
      </c>
      <c r="M665">
        <v>2400</v>
      </c>
      <c r="N665">
        <v>0</v>
      </c>
    </row>
    <row r="666" spans="1:14" x14ac:dyDescent="0.25">
      <c r="A666">
        <v>254.05548099999999</v>
      </c>
      <c r="B666" s="1">
        <f>DATE(2011,1,10) + TIME(1,19,53)</f>
        <v>40553.055474537039</v>
      </c>
      <c r="C666">
        <v>80</v>
      </c>
      <c r="D666">
        <v>69.912994385000005</v>
      </c>
      <c r="E666">
        <v>50</v>
      </c>
      <c r="F666">
        <v>49.946826934999997</v>
      </c>
      <c r="G666">
        <v>1294.0684814000001</v>
      </c>
      <c r="H666">
        <v>1279.3405762</v>
      </c>
      <c r="I666">
        <v>1397.9704589999999</v>
      </c>
      <c r="J666">
        <v>1378.6549072</v>
      </c>
      <c r="K666">
        <v>0</v>
      </c>
      <c r="L666">
        <v>2400</v>
      </c>
      <c r="M666">
        <v>2400</v>
      </c>
      <c r="N666">
        <v>0</v>
      </c>
    </row>
    <row r="667" spans="1:14" x14ac:dyDescent="0.25">
      <c r="A667">
        <v>255.67525599999999</v>
      </c>
      <c r="B667" s="1">
        <f>DATE(2011,1,11) + TIME(16,12,22)</f>
        <v>40554.675254629627</v>
      </c>
      <c r="C667">
        <v>80</v>
      </c>
      <c r="D667">
        <v>69.757019043</v>
      </c>
      <c r="E667">
        <v>50</v>
      </c>
      <c r="F667">
        <v>49.946968079000001</v>
      </c>
      <c r="G667">
        <v>1293.8734131000001</v>
      </c>
      <c r="H667">
        <v>1279.0633545000001</v>
      </c>
      <c r="I667">
        <v>1397.8972168</v>
      </c>
      <c r="J667">
        <v>1378.5859375</v>
      </c>
      <c r="K667">
        <v>0</v>
      </c>
      <c r="L667">
        <v>2400</v>
      </c>
      <c r="M667">
        <v>2400</v>
      </c>
      <c r="N667">
        <v>0</v>
      </c>
    </row>
    <row r="668" spans="1:14" x14ac:dyDescent="0.25">
      <c r="A668">
        <v>257.32511599999998</v>
      </c>
      <c r="B668" s="1">
        <f>DATE(2011,1,13) + TIME(7,48,9)</f>
        <v>40556.325104166666</v>
      </c>
      <c r="C668">
        <v>80</v>
      </c>
      <c r="D668">
        <v>69.597930907999995</v>
      </c>
      <c r="E668">
        <v>50</v>
      </c>
      <c r="F668">
        <v>49.947113037000001</v>
      </c>
      <c r="G668">
        <v>1293.6716309000001</v>
      </c>
      <c r="H668">
        <v>1278.7764893000001</v>
      </c>
      <c r="I668">
        <v>1397.8238524999999</v>
      </c>
      <c r="J668">
        <v>1378.5169678</v>
      </c>
      <c r="K668">
        <v>0</v>
      </c>
      <c r="L668">
        <v>2400</v>
      </c>
      <c r="M668">
        <v>2400</v>
      </c>
      <c r="N668">
        <v>0</v>
      </c>
    </row>
    <row r="669" spans="1:14" x14ac:dyDescent="0.25">
      <c r="A669">
        <v>258.98891900000001</v>
      </c>
      <c r="B669" s="1">
        <f>DATE(2011,1,14) + TIME(23,44,2)</f>
        <v>40557.988912037035</v>
      </c>
      <c r="C669">
        <v>80</v>
      </c>
      <c r="D669">
        <v>69.436515807999996</v>
      </c>
      <c r="E669">
        <v>50</v>
      </c>
      <c r="F669">
        <v>49.947257995999998</v>
      </c>
      <c r="G669">
        <v>1293.4644774999999</v>
      </c>
      <c r="H669">
        <v>1278.4816894999999</v>
      </c>
      <c r="I669">
        <v>1397.7510986</v>
      </c>
      <c r="J669">
        <v>1378.4483643000001</v>
      </c>
      <c r="K669">
        <v>0</v>
      </c>
      <c r="L669">
        <v>2400</v>
      </c>
      <c r="M669">
        <v>2400</v>
      </c>
      <c r="N669">
        <v>0</v>
      </c>
    </row>
    <row r="670" spans="1:14" x14ac:dyDescent="0.25">
      <c r="A670">
        <v>260.676829</v>
      </c>
      <c r="B670" s="1">
        <f>DATE(2011,1,16) + TIME(16,14,38)</f>
        <v>40559.676828703705</v>
      </c>
      <c r="C670">
        <v>80</v>
      </c>
      <c r="D670">
        <v>69.273239136000001</v>
      </c>
      <c r="E670">
        <v>50</v>
      </c>
      <c r="F670">
        <v>49.947402953999998</v>
      </c>
      <c r="G670">
        <v>1293.2535399999999</v>
      </c>
      <c r="H670">
        <v>1278.1807861</v>
      </c>
      <c r="I670">
        <v>1397.6793213000001</v>
      </c>
      <c r="J670">
        <v>1378.3806152</v>
      </c>
      <c r="K670">
        <v>0</v>
      </c>
      <c r="L670">
        <v>2400</v>
      </c>
      <c r="M670">
        <v>2400</v>
      </c>
      <c r="N670">
        <v>0</v>
      </c>
    </row>
    <row r="671" spans="1:14" x14ac:dyDescent="0.25">
      <c r="A671">
        <v>262.37934999999999</v>
      </c>
      <c r="B671" s="1">
        <f>DATE(2011,1,18) + TIME(9,6,15)</f>
        <v>40561.379340277781</v>
      </c>
      <c r="C671">
        <v>80</v>
      </c>
      <c r="D671">
        <v>69.108078003000003</v>
      </c>
      <c r="E671">
        <v>50</v>
      </c>
      <c r="F671">
        <v>49.947551726999997</v>
      </c>
      <c r="G671">
        <v>1293.0379639</v>
      </c>
      <c r="H671">
        <v>1277.8730469</v>
      </c>
      <c r="I671">
        <v>1397.6082764</v>
      </c>
      <c r="J671">
        <v>1378.3134766000001</v>
      </c>
      <c r="K671">
        <v>0</v>
      </c>
      <c r="L671">
        <v>2400</v>
      </c>
      <c r="M671">
        <v>2400</v>
      </c>
      <c r="N671">
        <v>0</v>
      </c>
    </row>
    <row r="672" spans="1:14" x14ac:dyDescent="0.25">
      <c r="A672">
        <v>264.10401100000001</v>
      </c>
      <c r="B672" s="1">
        <f>DATE(2011,1,20) + TIME(2,29,46)</f>
        <v>40563.104004629633</v>
      </c>
      <c r="C672">
        <v>80</v>
      </c>
      <c r="D672">
        <v>68.941055297999995</v>
      </c>
      <c r="E672">
        <v>50</v>
      </c>
      <c r="F672">
        <v>49.947700500000003</v>
      </c>
      <c r="G672">
        <v>1292.8184814000001</v>
      </c>
      <c r="H672">
        <v>1277.5593262</v>
      </c>
      <c r="I672">
        <v>1397.5383300999999</v>
      </c>
      <c r="J672">
        <v>1378.2473144999999</v>
      </c>
      <c r="K672">
        <v>0</v>
      </c>
      <c r="L672">
        <v>2400</v>
      </c>
      <c r="M672">
        <v>2400</v>
      </c>
      <c r="N672">
        <v>0</v>
      </c>
    </row>
    <row r="673" spans="1:14" x14ac:dyDescent="0.25">
      <c r="A673">
        <v>265.86074300000001</v>
      </c>
      <c r="B673" s="1">
        <f>DATE(2011,1,21) + TIME(20,39,28)</f>
        <v>40564.86074074074</v>
      </c>
      <c r="C673">
        <v>80</v>
      </c>
      <c r="D673">
        <v>68.771507263000004</v>
      </c>
      <c r="E673">
        <v>50</v>
      </c>
      <c r="F673">
        <v>49.947853088000002</v>
      </c>
      <c r="G673">
        <v>1292.5944824000001</v>
      </c>
      <c r="H673">
        <v>1277.2386475000001</v>
      </c>
      <c r="I673">
        <v>1397.4689940999999</v>
      </c>
      <c r="J673">
        <v>1378.1816406</v>
      </c>
      <c r="K673">
        <v>0</v>
      </c>
      <c r="L673">
        <v>2400</v>
      </c>
      <c r="M673">
        <v>2400</v>
      </c>
      <c r="N673">
        <v>0</v>
      </c>
    </row>
    <row r="674" spans="1:14" x14ac:dyDescent="0.25">
      <c r="A674">
        <v>267.65995700000002</v>
      </c>
      <c r="B674" s="1">
        <f>DATE(2011,1,23) + TIME(15,50,20)</f>
        <v>40566.659953703704</v>
      </c>
      <c r="C674">
        <v>80</v>
      </c>
      <c r="D674">
        <v>68.598426818999997</v>
      </c>
      <c r="E674">
        <v>50</v>
      </c>
      <c r="F674">
        <v>49.948005676000001</v>
      </c>
      <c r="G674">
        <v>1292.3643798999999</v>
      </c>
      <c r="H674">
        <v>1276.9090576000001</v>
      </c>
      <c r="I674">
        <v>1397.4000243999999</v>
      </c>
      <c r="J674">
        <v>1378.1162108999999</v>
      </c>
      <c r="K674">
        <v>0</v>
      </c>
      <c r="L674">
        <v>2400</v>
      </c>
      <c r="M674">
        <v>2400</v>
      </c>
      <c r="N674">
        <v>0</v>
      </c>
    </row>
    <row r="675" spans="1:14" x14ac:dyDescent="0.25">
      <c r="A675">
        <v>269.499188</v>
      </c>
      <c r="B675" s="1">
        <f>DATE(2011,1,25) + TIME(11,58,49)</f>
        <v>40568.499178240738</v>
      </c>
      <c r="C675">
        <v>80</v>
      </c>
      <c r="D675">
        <v>68.421058654999996</v>
      </c>
      <c r="E675">
        <v>50</v>
      </c>
      <c r="F675">
        <v>49.948162078999999</v>
      </c>
      <c r="G675">
        <v>1292.1271973</v>
      </c>
      <c r="H675">
        <v>1276.5688477000001</v>
      </c>
      <c r="I675">
        <v>1397.3309326000001</v>
      </c>
      <c r="J675">
        <v>1378.0507812000001</v>
      </c>
      <c r="K675">
        <v>0</v>
      </c>
      <c r="L675">
        <v>2400</v>
      </c>
      <c r="M675">
        <v>2400</v>
      </c>
      <c r="N675">
        <v>0</v>
      </c>
    </row>
    <row r="676" spans="1:14" x14ac:dyDescent="0.25">
      <c r="A676">
        <v>271.37259699999998</v>
      </c>
      <c r="B676" s="1">
        <f>DATE(2011,1,27) + TIME(8,56,32)</f>
        <v>40570.37259259259</v>
      </c>
      <c r="C676">
        <v>80</v>
      </c>
      <c r="D676">
        <v>68.239257812000005</v>
      </c>
      <c r="E676">
        <v>50</v>
      </c>
      <c r="F676">
        <v>49.948322296000001</v>
      </c>
      <c r="G676">
        <v>1291.8829346</v>
      </c>
      <c r="H676">
        <v>1276.2181396000001</v>
      </c>
      <c r="I676">
        <v>1397.2620850000001</v>
      </c>
      <c r="J676">
        <v>1377.9853516000001</v>
      </c>
      <c r="K676">
        <v>0</v>
      </c>
      <c r="L676">
        <v>2400</v>
      </c>
      <c r="M676">
        <v>2400</v>
      </c>
      <c r="N676">
        <v>0</v>
      </c>
    </row>
    <row r="677" spans="1:14" x14ac:dyDescent="0.25">
      <c r="A677">
        <v>273.25760000000002</v>
      </c>
      <c r="B677" s="1">
        <f>DATE(2011,1,29) + TIME(6,10,56)</f>
        <v>40572.257592592592</v>
      </c>
      <c r="C677">
        <v>80</v>
      </c>
      <c r="D677">
        <v>68.053680420000006</v>
      </c>
      <c r="E677">
        <v>50</v>
      </c>
      <c r="F677">
        <v>49.948482513000002</v>
      </c>
      <c r="G677">
        <v>1291.6323242000001</v>
      </c>
      <c r="H677">
        <v>1275.8579102000001</v>
      </c>
      <c r="I677">
        <v>1397.1936035000001</v>
      </c>
      <c r="J677">
        <v>1377.9201660000001</v>
      </c>
      <c r="K677">
        <v>0</v>
      </c>
      <c r="L677">
        <v>2400</v>
      </c>
      <c r="M677">
        <v>2400</v>
      </c>
      <c r="N677">
        <v>0</v>
      </c>
    </row>
    <row r="678" spans="1:14" x14ac:dyDescent="0.25">
      <c r="A678">
        <v>275.15641599999998</v>
      </c>
      <c r="B678" s="1">
        <f>DATE(2011,1,31) + TIME(3,45,14)</f>
        <v>40574.156412037039</v>
      </c>
      <c r="C678">
        <v>80</v>
      </c>
      <c r="D678">
        <v>67.865272521999998</v>
      </c>
      <c r="E678">
        <v>50</v>
      </c>
      <c r="F678">
        <v>49.948642731</v>
      </c>
      <c r="G678">
        <v>1291.3776855000001</v>
      </c>
      <c r="H678">
        <v>1275.4910889</v>
      </c>
      <c r="I678">
        <v>1397.1260986</v>
      </c>
      <c r="J678">
        <v>1377.8558350000001</v>
      </c>
      <c r="K678">
        <v>0</v>
      </c>
      <c r="L678">
        <v>2400</v>
      </c>
      <c r="M678">
        <v>2400</v>
      </c>
      <c r="N678">
        <v>0</v>
      </c>
    </row>
    <row r="679" spans="1:14" x14ac:dyDescent="0.25">
      <c r="A679">
        <v>276</v>
      </c>
      <c r="B679" s="1">
        <f>DATE(2011,2,1) + TIME(0,0,0)</f>
        <v>40575</v>
      </c>
      <c r="C679">
        <v>80</v>
      </c>
      <c r="D679">
        <v>67.723495482999994</v>
      </c>
      <c r="E679">
        <v>50</v>
      </c>
      <c r="F679">
        <v>49.948688507</v>
      </c>
      <c r="G679">
        <v>1291.1414795000001</v>
      </c>
      <c r="H679">
        <v>1275.1613769999999</v>
      </c>
      <c r="I679">
        <v>1397.0686035000001</v>
      </c>
      <c r="J679">
        <v>1377.8013916</v>
      </c>
      <c r="K679">
        <v>0</v>
      </c>
      <c r="L679">
        <v>2400</v>
      </c>
      <c r="M679">
        <v>2400</v>
      </c>
      <c r="N679">
        <v>0</v>
      </c>
    </row>
    <row r="680" spans="1:14" x14ac:dyDescent="0.25">
      <c r="A680">
        <v>277.929102</v>
      </c>
      <c r="B680" s="1">
        <f>DATE(2011,2,2) + TIME(22,17,54)</f>
        <v>40576.929097222222</v>
      </c>
      <c r="C680">
        <v>80</v>
      </c>
      <c r="D680">
        <v>67.572265625</v>
      </c>
      <c r="E680">
        <v>50</v>
      </c>
      <c r="F680">
        <v>49.948879241999997</v>
      </c>
      <c r="G680">
        <v>1290.9906006000001</v>
      </c>
      <c r="H680">
        <v>1274.9248047000001</v>
      </c>
      <c r="I680">
        <v>1397.0273437999999</v>
      </c>
      <c r="J680">
        <v>1377.7615966999999</v>
      </c>
      <c r="K680">
        <v>0</v>
      </c>
      <c r="L680">
        <v>2400</v>
      </c>
      <c r="M680">
        <v>2400</v>
      </c>
      <c r="N680">
        <v>0</v>
      </c>
    </row>
    <row r="681" spans="1:14" x14ac:dyDescent="0.25">
      <c r="A681">
        <v>279.91135800000001</v>
      </c>
      <c r="B681" s="1">
        <f>DATE(2011,2,4) + TIME(21,52,21)</f>
        <v>40578.911354166667</v>
      </c>
      <c r="C681">
        <v>80</v>
      </c>
      <c r="D681">
        <v>67.386833190999994</v>
      </c>
      <c r="E681">
        <v>50</v>
      </c>
      <c r="F681">
        <v>49.949043273999997</v>
      </c>
      <c r="G681">
        <v>1290.7337646000001</v>
      </c>
      <c r="H681">
        <v>1274.5587158000001</v>
      </c>
      <c r="I681">
        <v>1396.9642334</v>
      </c>
      <c r="J681">
        <v>1377.7012939000001</v>
      </c>
      <c r="K681">
        <v>0</v>
      </c>
      <c r="L681">
        <v>2400</v>
      </c>
      <c r="M681">
        <v>2400</v>
      </c>
      <c r="N681">
        <v>0</v>
      </c>
    </row>
    <row r="682" spans="1:14" x14ac:dyDescent="0.25">
      <c r="A682">
        <v>281.92210799999998</v>
      </c>
      <c r="B682" s="1">
        <f>DATE(2011,2,6) + TIME(22,7,50)</f>
        <v>40580.922106481485</v>
      </c>
      <c r="C682">
        <v>80</v>
      </c>
      <c r="D682">
        <v>67.186569214000002</v>
      </c>
      <c r="E682">
        <v>50</v>
      </c>
      <c r="F682">
        <v>49.949207305999998</v>
      </c>
      <c r="G682">
        <v>1290.4611815999999</v>
      </c>
      <c r="H682">
        <v>1274.1662598</v>
      </c>
      <c r="I682">
        <v>1396.8986815999999</v>
      </c>
      <c r="J682">
        <v>1377.6386719</v>
      </c>
      <c r="K682">
        <v>0</v>
      </c>
      <c r="L682">
        <v>2400</v>
      </c>
      <c r="M682">
        <v>2400</v>
      </c>
      <c r="N682">
        <v>0</v>
      </c>
    </row>
    <row r="683" spans="1:14" x14ac:dyDescent="0.25">
      <c r="A683">
        <v>283.97659499999997</v>
      </c>
      <c r="B683" s="1">
        <f>DATE(2011,2,8) + TIME(23,26,17)</f>
        <v>40582.976585648146</v>
      </c>
      <c r="C683">
        <v>80</v>
      </c>
      <c r="D683">
        <v>66.977943420000003</v>
      </c>
      <c r="E683">
        <v>50</v>
      </c>
      <c r="F683">
        <v>49.949375152999998</v>
      </c>
      <c r="G683">
        <v>1290.1805420000001</v>
      </c>
      <c r="H683">
        <v>1273.7600098</v>
      </c>
      <c r="I683">
        <v>1396.8332519999999</v>
      </c>
      <c r="J683">
        <v>1377.5760498</v>
      </c>
      <c r="K683">
        <v>0</v>
      </c>
      <c r="L683">
        <v>2400</v>
      </c>
      <c r="M683">
        <v>2400</v>
      </c>
      <c r="N683">
        <v>0</v>
      </c>
    </row>
    <row r="684" spans="1:14" x14ac:dyDescent="0.25">
      <c r="A684">
        <v>286.06539900000001</v>
      </c>
      <c r="B684" s="1">
        <f>DATE(2011,2,11) + TIME(1,34,10)</f>
        <v>40585.065393518518</v>
      </c>
      <c r="C684">
        <v>80</v>
      </c>
      <c r="D684">
        <v>66.762031554999993</v>
      </c>
      <c r="E684">
        <v>50</v>
      </c>
      <c r="F684">
        <v>49.949546814000001</v>
      </c>
      <c r="G684">
        <v>1289.8913574000001</v>
      </c>
      <c r="H684">
        <v>1273.3404541</v>
      </c>
      <c r="I684">
        <v>1396.7678223</v>
      </c>
      <c r="J684">
        <v>1377.5134277</v>
      </c>
      <c r="K684">
        <v>0</v>
      </c>
      <c r="L684">
        <v>2400</v>
      </c>
      <c r="M684">
        <v>2400</v>
      </c>
      <c r="N684">
        <v>0</v>
      </c>
    </row>
    <row r="685" spans="1:14" x14ac:dyDescent="0.25">
      <c r="A685">
        <v>288.16477200000003</v>
      </c>
      <c r="B685" s="1">
        <f>DATE(2011,2,13) + TIME(3,57,16)</f>
        <v>40587.164768518516</v>
      </c>
      <c r="C685">
        <v>80</v>
      </c>
      <c r="D685">
        <v>66.539901732999994</v>
      </c>
      <c r="E685">
        <v>50</v>
      </c>
      <c r="F685">
        <v>49.949718474999997</v>
      </c>
      <c r="G685">
        <v>1289.5948486</v>
      </c>
      <c r="H685">
        <v>1272.9097899999999</v>
      </c>
      <c r="I685">
        <v>1396.7026367000001</v>
      </c>
      <c r="J685">
        <v>1377.4509277</v>
      </c>
      <c r="K685">
        <v>0</v>
      </c>
      <c r="L685">
        <v>2400</v>
      </c>
      <c r="M685">
        <v>2400</v>
      </c>
      <c r="N685">
        <v>0</v>
      </c>
    </row>
    <row r="686" spans="1:14" x14ac:dyDescent="0.25">
      <c r="A686">
        <v>290.29340500000001</v>
      </c>
      <c r="B686" s="1">
        <f>DATE(2011,2,15) + TIME(7,2,30)</f>
        <v>40589.293402777781</v>
      </c>
      <c r="C686">
        <v>80</v>
      </c>
      <c r="D686">
        <v>66.312332153</v>
      </c>
      <c r="E686">
        <v>50</v>
      </c>
      <c r="F686">
        <v>49.949890136999997</v>
      </c>
      <c r="G686">
        <v>1289.2939452999999</v>
      </c>
      <c r="H686">
        <v>1272.4713135</v>
      </c>
      <c r="I686">
        <v>1396.6383057</v>
      </c>
      <c r="J686">
        <v>1377.3891602000001</v>
      </c>
      <c r="K686">
        <v>0</v>
      </c>
      <c r="L686">
        <v>2400</v>
      </c>
      <c r="M686">
        <v>2400</v>
      </c>
      <c r="N686">
        <v>0</v>
      </c>
    </row>
    <row r="687" spans="1:14" x14ac:dyDescent="0.25">
      <c r="A687">
        <v>292.46738099999999</v>
      </c>
      <c r="B687" s="1">
        <f>DATE(2011,2,17) + TIME(11,13,1)</f>
        <v>40591.467372685183</v>
      </c>
      <c r="C687">
        <v>80</v>
      </c>
      <c r="D687">
        <v>66.077819824000002</v>
      </c>
      <c r="E687">
        <v>50</v>
      </c>
      <c r="F687">
        <v>49.950065613</v>
      </c>
      <c r="G687">
        <v>1288.9863281</v>
      </c>
      <c r="H687">
        <v>1272.0224608999999</v>
      </c>
      <c r="I687">
        <v>1396.5743408000001</v>
      </c>
      <c r="J687">
        <v>1377.3276367000001</v>
      </c>
      <c r="K687">
        <v>0</v>
      </c>
      <c r="L687">
        <v>2400</v>
      </c>
      <c r="M687">
        <v>2400</v>
      </c>
      <c r="N687">
        <v>0</v>
      </c>
    </row>
    <row r="688" spans="1:14" x14ac:dyDescent="0.25">
      <c r="A688">
        <v>294.66085099999998</v>
      </c>
      <c r="B688" s="1">
        <f>DATE(2011,2,19) + TIME(15,51,37)</f>
        <v>40593.660844907405</v>
      </c>
      <c r="C688">
        <v>80</v>
      </c>
      <c r="D688">
        <v>65.835388183999996</v>
      </c>
      <c r="E688">
        <v>50</v>
      </c>
      <c r="F688">
        <v>49.950241089000002</v>
      </c>
      <c r="G688">
        <v>1288.6702881000001</v>
      </c>
      <c r="H688">
        <v>1271.5609131000001</v>
      </c>
      <c r="I688">
        <v>1396.510376</v>
      </c>
      <c r="J688">
        <v>1377.2661132999999</v>
      </c>
      <c r="K688">
        <v>0</v>
      </c>
      <c r="L688">
        <v>2400</v>
      </c>
      <c r="M688">
        <v>2400</v>
      </c>
      <c r="N688">
        <v>0</v>
      </c>
    </row>
    <row r="689" spans="1:14" x14ac:dyDescent="0.25">
      <c r="A689">
        <v>296.88494300000002</v>
      </c>
      <c r="B689" s="1">
        <f>DATE(2011,2,21) + TIME(21,14,19)</f>
        <v>40595.884942129633</v>
      </c>
      <c r="C689">
        <v>80</v>
      </c>
      <c r="D689">
        <v>65.585586547999995</v>
      </c>
      <c r="E689">
        <v>50</v>
      </c>
      <c r="F689">
        <v>49.950416564999998</v>
      </c>
      <c r="G689">
        <v>1288.3485106999999</v>
      </c>
      <c r="H689">
        <v>1271.0897216999999</v>
      </c>
      <c r="I689">
        <v>1396.4468993999999</v>
      </c>
      <c r="J689">
        <v>1377.2050781</v>
      </c>
      <c r="K689">
        <v>0</v>
      </c>
      <c r="L689">
        <v>2400</v>
      </c>
      <c r="M689">
        <v>2400</v>
      </c>
      <c r="N689">
        <v>0</v>
      </c>
    </row>
    <row r="690" spans="1:14" x14ac:dyDescent="0.25">
      <c r="A690">
        <v>299.159109</v>
      </c>
      <c r="B690" s="1">
        <f>DATE(2011,2,24) + TIME(3,49,7)</f>
        <v>40598.159108796295</v>
      </c>
      <c r="C690">
        <v>80</v>
      </c>
      <c r="D690">
        <v>65.327224731000001</v>
      </c>
      <c r="E690">
        <v>50</v>
      </c>
      <c r="F690">
        <v>49.950595856</v>
      </c>
      <c r="G690">
        <v>1288.0196533000001</v>
      </c>
      <c r="H690">
        <v>1270.6071777</v>
      </c>
      <c r="I690">
        <v>1396.3836670000001</v>
      </c>
      <c r="J690">
        <v>1377.1441649999999</v>
      </c>
      <c r="K690">
        <v>0</v>
      </c>
      <c r="L690">
        <v>2400</v>
      </c>
      <c r="M690">
        <v>2400</v>
      </c>
      <c r="N690">
        <v>0</v>
      </c>
    </row>
    <row r="691" spans="1:14" x14ac:dyDescent="0.25">
      <c r="A691">
        <v>301.47649899999999</v>
      </c>
      <c r="B691" s="1">
        <f>DATE(2011,2,26) + TIME(11,26,9)</f>
        <v>40600.476493055554</v>
      </c>
      <c r="C691">
        <v>80</v>
      </c>
      <c r="D691">
        <v>65.058609008999994</v>
      </c>
      <c r="E691">
        <v>50</v>
      </c>
      <c r="F691">
        <v>49.950778960999997</v>
      </c>
      <c r="G691">
        <v>1287.6812743999999</v>
      </c>
      <c r="H691">
        <v>1270.1098632999999</v>
      </c>
      <c r="I691">
        <v>1396.3203125</v>
      </c>
      <c r="J691">
        <v>1377.0830077999999</v>
      </c>
      <c r="K691">
        <v>0</v>
      </c>
      <c r="L691">
        <v>2400</v>
      </c>
      <c r="M691">
        <v>2400</v>
      </c>
      <c r="N691">
        <v>0</v>
      </c>
    </row>
    <row r="692" spans="1:14" x14ac:dyDescent="0.25">
      <c r="A692">
        <v>303.81412</v>
      </c>
      <c r="B692" s="1">
        <f>DATE(2011,2,28) + TIME(19,32,19)</f>
        <v>40602.814108796294</v>
      </c>
      <c r="C692">
        <v>80</v>
      </c>
      <c r="D692">
        <v>64.779747009000005</v>
      </c>
      <c r="E692">
        <v>50</v>
      </c>
      <c r="F692">
        <v>49.950958252</v>
      </c>
      <c r="G692">
        <v>1287.3342285000001</v>
      </c>
      <c r="H692">
        <v>1269.5988769999999</v>
      </c>
      <c r="I692">
        <v>1396.2569579999999</v>
      </c>
      <c r="J692">
        <v>1377.0218506000001</v>
      </c>
      <c r="K692">
        <v>0</v>
      </c>
      <c r="L692">
        <v>2400</v>
      </c>
      <c r="M692">
        <v>2400</v>
      </c>
      <c r="N692">
        <v>0</v>
      </c>
    </row>
    <row r="693" spans="1:14" x14ac:dyDescent="0.25">
      <c r="A693">
        <v>304</v>
      </c>
      <c r="B693" s="1">
        <f>DATE(2011,3,1) + TIME(0,0,0)</f>
        <v>40603</v>
      </c>
      <c r="C693">
        <v>80</v>
      </c>
      <c r="D693">
        <v>64.699333190999994</v>
      </c>
      <c r="E693">
        <v>50</v>
      </c>
      <c r="F693">
        <v>49.950946807999998</v>
      </c>
      <c r="G693">
        <v>1287.0723877</v>
      </c>
      <c r="H693">
        <v>1269.2589111</v>
      </c>
      <c r="I693">
        <v>1396.2314452999999</v>
      </c>
      <c r="J693">
        <v>1376.9979248</v>
      </c>
      <c r="K693">
        <v>0</v>
      </c>
      <c r="L693">
        <v>2400</v>
      </c>
      <c r="M693">
        <v>2400</v>
      </c>
      <c r="N693">
        <v>0</v>
      </c>
    </row>
    <row r="694" spans="1:14" x14ac:dyDescent="0.25">
      <c r="A694">
        <v>306.36457300000001</v>
      </c>
      <c r="B694" s="1">
        <f>DATE(2011,3,3) + TIME(8,44,59)</f>
        <v>40605.364571759259</v>
      </c>
      <c r="C694">
        <v>80</v>
      </c>
      <c r="D694">
        <v>64.454811096</v>
      </c>
      <c r="E694">
        <v>50</v>
      </c>
      <c r="F694">
        <v>49.951156615999999</v>
      </c>
      <c r="G694">
        <v>1286.9425048999999</v>
      </c>
      <c r="H694">
        <v>1269.0137939000001</v>
      </c>
      <c r="I694">
        <v>1396.1866454999999</v>
      </c>
      <c r="J694">
        <v>1376.9538574000001</v>
      </c>
      <c r="K694">
        <v>0</v>
      </c>
      <c r="L694">
        <v>2400</v>
      </c>
      <c r="M694">
        <v>2400</v>
      </c>
      <c r="N694">
        <v>0</v>
      </c>
    </row>
    <row r="695" spans="1:14" x14ac:dyDescent="0.25">
      <c r="A695">
        <v>308.77415400000001</v>
      </c>
      <c r="B695" s="1">
        <f>DATE(2011,3,5) + TIME(18,34,46)</f>
        <v>40607.774143518516</v>
      </c>
      <c r="C695">
        <v>80</v>
      </c>
      <c r="D695">
        <v>64.166221618999998</v>
      </c>
      <c r="E695">
        <v>50</v>
      </c>
      <c r="F695">
        <v>49.951343536000003</v>
      </c>
      <c r="G695">
        <v>1286.5909423999999</v>
      </c>
      <c r="H695">
        <v>1268.4979248</v>
      </c>
      <c r="I695">
        <v>1396.1262207</v>
      </c>
      <c r="J695">
        <v>1376.8953856999999</v>
      </c>
      <c r="K695">
        <v>0</v>
      </c>
      <c r="L695">
        <v>2400</v>
      </c>
      <c r="M695">
        <v>2400</v>
      </c>
      <c r="N695">
        <v>0</v>
      </c>
    </row>
    <row r="696" spans="1:14" x14ac:dyDescent="0.25">
      <c r="A696">
        <v>311.20284700000002</v>
      </c>
      <c r="B696" s="1">
        <f>DATE(2011,3,8) + TIME(4,52,5)</f>
        <v>40610.202835648146</v>
      </c>
      <c r="C696">
        <v>80</v>
      </c>
      <c r="D696">
        <v>63.857421875</v>
      </c>
      <c r="E696">
        <v>50</v>
      </c>
      <c r="F696">
        <v>49.951526641999997</v>
      </c>
      <c r="G696">
        <v>1286.2238769999999</v>
      </c>
      <c r="H696">
        <v>1267.9549560999999</v>
      </c>
      <c r="I696">
        <v>1396.0638428</v>
      </c>
      <c r="J696">
        <v>1376.8349608999999</v>
      </c>
      <c r="K696">
        <v>0</v>
      </c>
      <c r="L696">
        <v>2400</v>
      </c>
      <c r="M696">
        <v>2400</v>
      </c>
      <c r="N696">
        <v>0</v>
      </c>
    </row>
    <row r="697" spans="1:14" x14ac:dyDescent="0.25">
      <c r="A697">
        <v>313.67369500000001</v>
      </c>
      <c r="B697" s="1">
        <f>DATE(2011,3,10) + TIME(16,10,7)</f>
        <v>40612.673692129632</v>
      </c>
      <c r="C697">
        <v>80</v>
      </c>
      <c r="D697">
        <v>63.53547287</v>
      </c>
      <c r="E697">
        <v>50</v>
      </c>
      <c r="F697">
        <v>49.951713562000002</v>
      </c>
      <c r="G697">
        <v>1285.8500977000001</v>
      </c>
      <c r="H697">
        <v>1267.3989257999999</v>
      </c>
      <c r="I697">
        <v>1396.0017089999999</v>
      </c>
      <c r="J697">
        <v>1376.7746582</v>
      </c>
      <c r="K697">
        <v>0</v>
      </c>
      <c r="L697">
        <v>2400</v>
      </c>
      <c r="M697">
        <v>2400</v>
      </c>
      <c r="N697">
        <v>0</v>
      </c>
    </row>
    <row r="698" spans="1:14" x14ac:dyDescent="0.25">
      <c r="A698">
        <v>316.20604300000002</v>
      </c>
      <c r="B698" s="1">
        <f>DATE(2011,3,13) + TIME(4,56,42)</f>
        <v>40615.206041666665</v>
      </c>
      <c r="C698">
        <v>80</v>
      </c>
      <c r="D698">
        <v>63.199623107999997</v>
      </c>
      <c r="E698">
        <v>50</v>
      </c>
      <c r="F698">
        <v>49.951900481999999</v>
      </c>
      <c r="G698">
        <v>1285.4672852000001</v>
      </c>
      <c r="H698">
        <v>1266.8280029</v>
      </c>
      <c r="I698">
        <v>1395.9393310999999</v>
      </c>
      <c r="J698">
        <v>1376.7142334</v>
      </c>
      <c r="K698">
        <v>0</v>
      </c>
      <c r="L698">
        <v>2400</v>
      </c>
      <c r="M698">
        <v>2400</v>
      </c>
      <c r="N698">
        <v>0</v>
      </c>
    </row>
    <row r="699" spans="1:14" x14ac:dyDescent="0.25">
      <c r="A699">
        <v>318.77624700000001</v>
      </c>
      <c r="B699" s="1">
        <f>DATE(2011,3,15) + TIME(18,37,47)</f>
        <v>40617.776238425926</v>
      </c>
      <c r="C699">
        <v>80</v>
      </c>
      <c r="D699">
        <v>62.848003386999999</v>
      </c>
      <c r="E699">
        <v>50</v>
      </c>
      <c r="F699">
        <v>49.952095032000003</v>
      </c>
      <c r="G699">
        <v>1285.0736084</v>
      </c>
      <c r="H699">
        <v>1266.239624</v>
      </c>
      <c r="I699">
        <v>1395.8765868999999</v>
      </c>
      <c r="J699">
        <v>1376.6531981999999</v>
      </c>
      <c r="K699">
        <v>0</v>
      </c>
      <c r="L699">
        <v>2400</v>
      </c>
      <c r="M699">
        <v>2400</v>
      </c>
      <c r="N699">
        <v>0</v>
      </c>
    </row>
    <row r="700" spans="1:14" x14ac:dyDescent="0.25">
      <c r="A700">
        <v>321.35318599999999</v>
      </c>
      <c r="B700" s="1">
        <f>DATE(2011,3,18) + TIME(8,28,35)</f>
        <v>40620.353182870371</v>
      </c>
      <c r="C700">
        <v>80</v>
      </c>
      <c r="D700">
        <v>62.482570647999999</v>
      </c>
      <c r="E700">
        <v>50</v>
      </c>
      <c r="F700">
        <v>49.952281952</v>
      </c>
      <c r="G700">
        <v>1284.6719971</v>
      </c>
      <c r="H700">
        <v>1265.6376952999999</v>
      </c>
      <c r="I700">
        <v>1395.8137207</v>
      </c>
      <c r="J700">
        <v>1376.5921631000001</v>
      </c>
      <c r="K700">
        <v>0</v>
      </c>
      <c r="L700">
        <v>2400</v>
      </c>
      <c r="M700">
        <v>2400</v>
      </c>
      <c r="N700">
        <v>0</v>
      </c>
    </row>
    <row r="701" spans="1:14" x14ac:dyDescent="0.25">
      <c r="A701">
        <v>323.952426</v>
      </c>
      <c r="B701" s="1">
        <f>DATE(2011,3,20) + TIME(22,51,29)</f>
        <v>40622.952418981484</v>
      </c>
      <c r="C701">
        <v>80</v>
      </c>
      <c r="D701">
        <v>62.105690002000003</v>
      </c>
      <c r="E701">
        <v>50</v>
      </c>
      <c r="F701">
        <v>49.952472686999997</v>
      </c>
      <c r="G701">
        <v>1284.2670897999999</v>
      </c>
      <c r="H701">
        <v>1265.0283202999999</v>
      </c>
      <c r="I701">
        <v>1395.7515868999999</v>
      </c>
      <c r="J701">
        <v>1376.5316161999999</v>
      </c>
      <c r="K701">
        <v>0</v>
      </c>
      <c r="L701">
        <v>2400</v>
      </c>
      <c r="M701">
        <v>2400</v>
      </c>
      <c r="N701">
        <v>0</v>
      </c>
    </row>
    <row r="702" spans="1:14" x14ac:dyDescent="0.25">
      <c r="A702">
        <v>326.59000800000001</v>
      </c>
      <c r="B702" s="1">
        <f>DATE(2011,3,23) + TIME(14,9,36)</f>
        <v>40625.589999999997</v>
      </c>
      <c r="C702">
        <v>80</v>
      </c>
      <c r="D702">
        <v>61.716045379999997</v>
      </c>
      <c r="E702">
        <v>50</v>
      </c>
      <c r="F702">
        <v>49.952663422000001</v>
      </c>
      <c r="G702">
        <v>1283.8571777</v>
      </c>
      <c r="H702">
        <v>1264.4095459</v>
      </c>
      <c r="I702">
        <v>1395.6894531</v>
      </c>
      <c r="J702">
        <v>1376.4711914</v>
      </c>
      <c r="K702">
        <v>0</v>
      </c>
      <c r="L702">
        <v>2400</v>
      </c>
      <c r="M702">
        <v>2400</v>
      </c>
      <c r="N702">
        <v>0</v>
      </c>
    </row>
    <row r="703" spans="1:14" x14ac:dyDescent="0.25">
      <c r="A703">
        <v>329.27985699999999</v>
      </c>
      <c r="B703" s="1">
        <f>DATE(2011,3,26) + TIME(6,42,59)</f>
        <v>40628.279849537037</v>
      </c>
      <c r="C703">
        <v>80</v>
      </c>
      <c r="D703">
        <v>61.311210631999998</v>
      </c>
      <c r="E703">
        <v>50</v>
      </c>
      <c r="F703">
        <v>49.952857971</v>
      </c>
      <c r="G703">
        <v>1283.4400635</v>
      </c>
      <c r="H703">
        <v>1263.7781981999999</v>
      </c>
      <c r="I703">
        <v>1395.6273193</v>
      </c>
      <c r="J703">
        <v>1376.4105225000001</v>
      </c>
      <c r="K703">
        <v>0</v>
      </c>
      <c r="L703">
        <v>2400</v>
      </c>
      <c r="M703">
        <v>2400</v>
      </c>
      <c r="N703">
        <v>0</v>
      </c>
    </row>
    <row r="704" spans="1:14" x14ac:dyDescent="0.25">
      <c r="A704">
        <v>332.028795</v>
      </c>
      <c r="B704" s="1">
        <f>DATE(2011,3,29) + TIME(0,41,27)</f>
        <v>40631.028784722221</v>
      </c>
      <c r="C704">
        <v>80</v>
      </c>
      <c r="D704">
        <v>60.888626099</v>
      </c>
      <c r="E704">
        <v>50</v>
      </c>
      <c r="F704">
        <v>49.953052520999996</v>
      </c>
      <c r="G704">
        <v>1283.0140381000001</v>
      </c>
      <c r="H704">
        <v>1263.1314697</v>
      </c>
      <c r="I704">
        <v>1395.5646973</v>
      </c>
      <c r="J704">
        <v>1376.3494873</v>
      </c>
      <c r="K704">
        <v>0</v>
      </c>
      <c r="L704">
        <v>2400</v>
      </c>
      <c r="M704">
        <v>2400</v>
      </c>
      <c r="N704">
        <v>0</v>
      </c>
    </row>
    <row r="705" spans="1:14" x14ac:dyDescent="0.25">
      <c r="A705">
        <v>334.82364699999999</v>
      </c>
      <c r="B705" s="1">
        <f>DATE(2011,3,31) + TIME(19,46,3)</f>
        <v>40633.823645833334</v>
      </c>
      <c r="C705">
        <v>80</v>
      </c>
      <c r="D705">
        <v>60.447189330999997</v>
      </c>
      <c r="E705">
        <v>50</v>
      </c>
      <c r="F705">
        <v>49.953250885000003</v>
      </c>
      <c r="G705">
        <v>1282.5784911999999</v>
      </c>
      <c r="H705">
        <v>1262.4681396000001</v>
      </c>
      <c r="I705">
        <v>1395.5014647999999</v>
      </c>
      <c r="J705">
        <v>1376.2877197</v>
      </c>
      <c r="K705">
        <v>0</v>
      </c>
      <c r="L705">
        <v>2400</v>
      </c>
      <c r="M705">
        <v>2400</v>
      </c>
      <c r="N705">
        <v>0</v>
      </c>
    </row>
    <row r="706" spans="1:14" x14ac:dyDescent="0.25">
      <c r="A706">
        <v>335</v>
      </c>
      <c r="B706" s="1">
        <f>DATE(2011,4,1) + TIME(0,0,0)</f>
        <v>40634</v>
      </c>
      <c r="C706">
        <v>80</v>
      </c>
      <c r="D706">
        <v>60.324478149000001</v>
      </c>
      <c r="E706">
        <v>50</v>
      </c>
      <c r="F706">
        <v>49.953243256</v>
      </c>
      <c r="G706">
        <v>1282.2376709</v>
      </c>
      <c r="H706">
        <v>1262.0380858999999</v>
      </c>
      <c r="I706">
        <v>1395.4815673999999</v>
      </c>
      <c r="J706">
        <v>1376.2687988</v>
      </c>
      <c r="K706">
        <v>0</v>
      </c>
      <c r="L706">
        <v>2400</v>
      </c>
      <c r="M706">
        <v>2400</v>
      </c>
      <c r="N706">
        <v>0</v>
      </c>
    </row>
    <row r="707" spans="1:14" x14ac:dyDescent="0.25">
      <c r="A707">
        <v>337.83127000000002</v>
      </c>
      <c r="B707" s="1">
        <f>DATE(2011,4,3) + TIME(19,57,1)</f>
        <v>40636.831261574072</v>
      </c>
      <c r="C707">
        <v>80</v>
      </c>
      <c r="D707">
        <v>59.940456390000001</v>
      </c>
      <c r="E707">
        <v>50</v>
      </c>
      <c r="F707">
        <v>49.953460692999997</v>
      </c>
      <c r="G707">
        <v>1282.0969238</v>
      </c>
      <c r="H707">
        <v>1261.7230225000001</v>
      </c>
      <c r="I707">
        <v>1395.4317627</v>
      </c>
      <c r="J707">
        <v>1376.2196045000001</v>
      </c>
      <c r="K707">
        <v>0</v>
      </c>
      <c r="L707">
        <v>2400</v>
      </c>
      <c r="M707">
        <v>2400</v>
      </c>
      <c r="N707">
        <v>0</v>
      </c>
    </row>
    <row r="708" spans="1:14" x14ac:dyDescent="0.25">
      <c r="A708">
        <v>340.66768100000002</v>
      </c>
      <c r="B708" s="1">
        <f>DATE(2011,4,6) + TIME(16,1,27)</f>
        <v>40639.667673611111</v>
      </c>
      <c r="C708">
        <v>80</v>
      </c>
      <c r="D708">
        <v>59.479171753000003</v>
      </c>
      <c r="E708">
        <v>50</v>
      </c>
      <c r="F708">
        <v>49.953659058</v>
      </c>
      <c r="G708">
        <v>1281.6572266000001</v>
      </c>
      <c r="H708">
        <v>1261.0554199000001</v>
      </c>
      <c r="I708">
        <v>1395.3699951000001</v>
      </c>
      <c r="J708">
        <v>1376.1591797000001</v>
      </c>
      <c r="K708">
        <v>0</v>
      </c>
      <c r="L708">
        <v>2400</v>
      </c>
      <c r="M708">
        <v>2400</v>
      </c>
      <c r="N708">
        <v>0</v>
      </c>
    </row>
    <row r="709" spans="1:14" x14ac:dyDescent="0.25">
      <c r="A709">
        <v>343.52515699999998</v>
      </c>
      <c r="B709" s="1">
        <f>DATE(2011,4,9) + TIME(12,36,13)</f>
        <v>40642.525150462963</v>
      </c>
      <c r="C709">
        <v>80</v>
      </c>
      <c r="D709">
        <v>58.992733002000001</v>
      </c>
      <c r="E709">
        <v>50</v>
      </c>
      <c r="F709">
        <v>49.953853606999999</v>
      </c>
      <c r="G709">
        <v>1281.2094727000001</v>
      </c>
      <c r="H709">
        <v>1260.3671875</v>
      </c>
      <c r="I709">
        <v>1395.3068848</v>
      </c>
      <c r="J709">
        <v>1376.0974120999999</v>
      </c>
      <c r="K709">
        <v>0</v>
      </c>
      <c r="L709">
        <v>2400</v>
      </c>
      <c r="M709">
        <v>2400</v>
      </c>
      <c r="N709">
        <v>0</v>
      </c>
    </row>
    <row r="710" spans="1:14" x14ac:dyDescent="0.25">
      <c r="A710">
        <v>346.42213299999997</v>
      </c>
      <c r="B710" s="1">
        <f>DATE(2011,4,12) + TIME(10,7,52)</f>
        <v>40645.422129629631</v>
      </c>
      <c r="C710">
        <v>80</v>
      </c>
      <c r="D710">
        <v>58.491123199</v>
      </c>
      <c r="E710">
        <v>50</v>
      </c>
      <c r="F710">
        <v>49.954051970999998</v>
      </c>
      <c r="G710">
        <v>1280.7587891000001</v>
      </c>
      <c r="H710">
        <v>1259.6702881000001</v>
      </c>
      <c r="I710">
        <v>1395.2437743999999</v>
      </c>
      <c r="J710">
        <v>1376.0355225000001</v>
      </c>
      <c r="K710">
        <v>0</v>
      </c>
      <c r="L710">
        <v>2400</v>
      </c>
      <c r="M710">
        <v>2400</v>
      </c>
      <c r="N710">
        <v>0</v>
      </c>
    </row>
    <row r="711" spans="1:14" x14ac:dyDescent="0.25">
      <c r="A711">
        <v>349.37528500000002</v>
      </c>
      <c r="B711" s="1">
        <f>DATE(2011,4,15) + TIME(9,0,24)</f>
        <v>40648.375277777777</v>
      </c>
      <c r="C711">
        <v>80</v>
      </c>
      <c r="D711">
        <v>57.972957610999998</v>
      </c>
      <c r="E711">
        <v>50</v>
      </c>
      <c r="F711">
        <v>49.954250336000001</v>
      </c>
      <c r="G711">
        <v>1280.3037108999999</v>
      </c>
      <c r="H711">
        <v>1258.9636230000001</v>
      </c>
      <c r="I711">
        <v>1395.1801757999999</v>
      </c>
      <c r="J711">
        <v>1375.9731445</v>
      </c>
      <c r="K711">
        <v>0</v>
      </c>
      <c r="L711">
        <v>2400</v>
      </c>
      <c r="M711">
        <v>2400</v>
      </c>
      <c r="N711">
        <v>0</v>
      </c>
    </row>
    <row r="712" spans="1:14" x14ac:dyDescent="0.25">
      <c r="A712">
        <v>352.40200800000002</v>
      </c>
      <c r="B712" s="1">
        <f>DATE(2011,4,18) + TIME(9,38,53)</f>
        <v>40651.402002314811</v>
      </c>
      <c r="C712">
        <v>80</v>
      </c>
      <c r="D712">
        <v>57.436393738</v>
      </c>
      <c r="E712">
        <v>50</v>
      </c>
      <c r="F712">
        <v>49.954452515</v>
      </c>
      <c r="G712">
        <v>1279.8425293</v>
      </c>
      <c r="H712">
        <v>1258.2446289</v>
      </c>
      <c r="I712">
        <v>1395.1157227000001</v>
      </c>
      <c r="J712">
        <v>1375.9100341999999</v>
      </c>
      <c r="K712">
        <v>0</v>
      </c>
      <c r="L712">
        <v>2400</v>
      </c>
      <c r="M712">
        <v>2400</v>
      </c>
      <c r="N712">
        <v>0</v>
      </c>
    </row>
    <row r="713" spans="1:14" x14ac:dyDescent="0.25">
      <c r="A713">
        <v>355.48829999999998</v>
      </c>
      <c r="B713" s="1">
        <f>DATE(2011,4,21) + TIME(11,43,9)</f>
        <v>40654.488298611112</v>
      </c>
      <c r="C713">
        <v>80</v>
      </c>
      <c r="D713">
        <v>56.879199982000003</v>
      </c>
      <c r="E713">
        <v>50</v>
      </c>
      <c r="F713">
        <v>49.954658508000001</v>
      </c>
      <c r="G713">
        <v>1279.3734131000001</v>
      </c>
      <c r="H713">
        <v>1257.5108643000001</v>
      </c>
      <c r="I713">
        <v>1395.0504149999999</v>
      </c>
      <c r="J713">
        <v>1375.8458252</v>
      </c>
      <c r="K713">
        <v>0</v>
      </c>
      <c r="L713">
        <v>2400</v>
      </c>
      <c r="M713">
        <v>2400</v>
      </c>
      <c r="N713">
        <v>0</v>
      </c>
    </row>
    <row r="714" spans="1:14" x14ac:dyDescent="0.25">
      <c r="A714">
        <v>358.57966099999999</v>
      </c>
      <c r="B714" s="1">
        <f>DATE(2011,4,24) + TIME(13,54,42)</f>
        <v>40657.579652777778</v>
      </c>
      <c r="C714">
        <v>80</v>
      </c>
      <c r="D714">
        <v>56.305191039999997</v>
      </c>
      <c r="E714">
        <v>50</v>
      </c>
      <c r="F714">
        <v>49.954860687</v>
      </c>
      <c r="G714">
        <v>1278.8994141000001</v>
      </c>
      <c r="H714">
        <v>1256.7667236</v>
      </c>
      <c r="I714">
        <v>1394.984375</v>
      </c>
      <c r="J714">
        <v>1375.7810059000001</v>
      </c>
      <c r="K714">
        <v>0</v>
      </c>
      <c r="L714">
        <v>2400</v>
      </c>
      <c r="M714">
        <v>2400</v>
      </c>
      <c r="N714">
        <v>0</v>
      </c>
    </row>
    <row r="715" spans="1:14" x14ac:dyDescent="0.25">
      <c r="A715">
        <v>361.676243</v>
      </c>
      <c r="B715" s="1">
        <f>DATE(2011,4,27) + TIME(16,13,47)</f>
        <v>40660.676238425927</v>
      </c>
      <c r="C715">
        <v>80</v>
      </c>
      <c r="D715">
        <v>55.722503662000001</v>
      </c>
      <c r="E715">
        <v>50</v>
      </c>
      <c r="F715">
        <v>49.955059052000003</v>
      </c>
      <c r="G715">
        <v>1278.4288329999999</v>
      </c>
      <c r="H715">
        <v>1256.0238036999999</v>
      </c>
      <c r="I715">
        <v>1394.9185791</v>
      </c>
      <c r="J715">
        <v>1375.7163086</v>
      </c>
      <c r="K715">
        <v>0</v>
      </c>
      <c r="L715">
        <v>2400</v>
      </c>
      <c r="M715">
        <v>2400</v>
      </c>
      <c r="N715">
        <v>0</v>
      </c>
    </row>
    <row r="716" spans="1:14" x14ac:dyDescent="0.25">
      <c r="A716">
        <v>364.797664</v>
      </c>
      <c r="B716" s="1">
        <f>DATE(2011,4,30) + TIME(19,8,38)</f>
        <v>40663.797662037039</v>
      </c>
      <c r="C716">
        <v>80</v>
      </c>
      <c r="D716">
        <v>55.133159636999999</v>
      </c>
      <c r="E716">
        <v>50</v>
      </c>
      <c r="F716">
        <v>49.955261229999998</v>
      </c>
      <c r="G716">
        <v>1277.9630127</v>
      </c>
      <c r="H716">
        <v>1255.2844238</v>
      </c>
      <c r="I716">
        <v>1394.8529053</v>
      </c>
      <c r="J716">
        <v>1375.6516113</v>
      </c>
      <c r="K716">
        <v>0</v>
      </c>
      <c r="L716">
        <v>2400</v>
      </c>
      <c r="M716">
        <v>2400</v>
      </c>
      <c r="N716">
        <v>0</v>
      </c>
    </row>
    <row r="717" spans="1:14" x14ac:dyDescent="0.25">
      <c r="A717">
        <v>365</v>
      </c>
      <c r="B717" s="1">
        <f>DATE(2011,5,1) + TIME(0,0,0)</f>
        <v>40664</v>
      </c>
      <c r="C717">
        <v>80</v>
      </c>
      <c r="D717">
        <v>54.955642699999999</v>
      </c>
      <c r="E717">
        <v>50</v>
      </c>
      <c r="F717">
        <v>49.955253601000003</v>
      </c>
      <c r="G717">
        <v>1277.5819091999999</v>
      </c>
      <c r="H717">
        <v>1254.8107910000001</v>
      </c>
      <c r="I717">
        <v>1394.8343506000001</v>
      </c>
      <c r="J717">
        <v>1375.6337891000001</v>
      </c>
      <c r="K717">
        <v>0</v>
      </c>
      <c r="L717">
        <v>2400</v>
      </c>
      <c r="M717">
        <v>2400</v>
      </c>
      <c r="N717">
        <v>0</v>
      </c>
    </row>
    <row r="718" spans="1:14" x14ac:dyDescent="0.25">
      <c r="A718">
        <v>365.000001</v>
      </c>
      <c r="B718" s="1">
        <f>DATE(2011,5,1) + TIME(0,0,0)</f>
        <v>40664</v>
      </c>
      <c r="C718">
        <v>80</v>
      </c>
      <c r="D718">
        <v>54.95570755</v>
      </c>
      <c r="E718">
        <v>50</v>
      </c>
      <c r="F718">
        <v>49.955238342000001</v>
      </c>
      <c r="G718">
        <v>1300.4776611</v>
      </c>
      <c r="H718">
        <v>1277.5946045000001</v>
      </c>
      <c r="I718">
        <v>1375.6239014</v>
      </c>
      <c r="J718">
        <v>1356.4814452999999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365.00000399999999</v>
      </c>
      <c r="B719" s="1">
        <f>DATE(2011,5,1) + TIME(0,0,0)</f>
        <v>40664</v>
      </c>
      <c r="C719">
        <v>80</v>
      </c>
      <c r="D719">
        <v>54.955898285000004</v>
      </c>
      <c r="E719">
        <v>50</v>
      </c>
      <c r="F719">
        <v>49.955192566000001</v>
      </c>
      <c r="G719">
        <v>1300.5086670000001</v>
      </c>
      <c r="H719">
        <v>1277.6326904</v>
      </c>
      <c r="I719">
        <v>1375.5944824000001</v>
      </c>
      <c r="J719">
        <v>1356.4520264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365.00001300000002</v>
      </c>
      <c r="B720" s="1">
        <f>DATE(2011,5,1) + TIME(0,0,1)</f>
        <v>40664.000011574077</v>
      </c>
      <c r="C720">
        <v>80</v>
      </c>
      <c r="D720">
        <v>54.956470490000001</v>
      </c>
      <c r="E720">
        <v>50</v>
      </c>
      <c r="F720">
        <v>49.955055237000003</v>
      </c>
      <c r="G720">
        <v>1300.6014404</v>
      </c>
      <c r="H720">
        <v>1277.7464600000001</v>
      </c>
      <c r="I720">
        <v>1375.5065918</v>
      </c>
      <c r="J720">
        <v>1356.3640137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365.00004000000001</v>
      </c>
      <c r="B721" s="1">
        <f>DATE(2011,5,1) + TIME(0,0,3)</f>
        <v>40664.000034722223</v>
      </c>
      <c r="C721">
        <v>80</v>
      </c>
      <c r="D721">
        <v>54.958175658999998</v>
      </c>
      <c r="E721">
        <v>50</v>
      </c>
      <c r="F721">
        <v>49.954639434999997</v>
      </c>
      <c r="G721">
        <v>1300.8764647999999</v>
      </c>
      <c r="H721">
        <v>1278.0827637</v>
      </c>
      <c r="I721">
        <v>1375.2462158000001</v>
      </c>
      <c r="J721">
        <v>1356.1033935999999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365.00012099999998</v>
      </c>
      <c r="B722" s="1">
        <f>DATE(2011,5,1) + TIME(0,0,10)</f>
        <v>40664.000115740739</v>
      </c>
      <c r="C722">
        <v>80</v>
      </c>
      <c r="D722">
        <v>54.963191985999998</v>
      </c>
      <c r="E722">
        <v>50</v>
      </c>
      <c r="F722">
        <v>49.953445434999999</v>
      </c>
      <c r="G722">
        <v>1301.6732178</v>
      </c>
      <c r="H722">
        <v>1279.0499268000001</v>
      </c>
      <c r="I722">
        <v>1374.4932861</v>
      </c>
      <c r="J722">
        <v>1355.3496094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365.00036399999999</v>
      </c>
      <c r="B723" s="1">
        <f>DATE(2011,5,1) + TIME(0,0,31)</f>
        <v>40664.000358796293</v>
      </c>
      <c r="C723">
        <v>80</v>
      </c>
      <c r="D723">
        <v>54.977508544999999</v>
      </c>
      <c r="E723">
        <v>50</v>
      </c>
      <c r="F723">
        <v>49.950214385999999</v>
      </c>
      <c r="G723">
        <v>1303.8420410000001</v>
      </c>
      <c r="H723">
        <v>1281.6296387</v>
      </c>
      <c r="I723">
        <v>1372.4559326000001</v>
      </c>
      <c r="J723">
        <v>1353.3105469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365.00109300000003</v>
      </c>
      <c r="B724" s="1">
        <f>DATE(2011,5,1) + TIME(0,1,34)</f>
        <v>40664.001087962963</v>
      </c>
      <c r="C724">
        <v>80</v>
      </c>
      <c r="D724">
        <v>55.016132355000003</v>
      </c>
      <c r="E724">
        <v>50</v>
      </c>
      <c r="F724">
        <v>49.942726135000001</v>
      </c>
      <c r="G724">
        <v>1308.9417725000001</v>
      </c>
      <c r="H724">
        <v>1287.4101562000001</v>
      </c>
      <c r="I724">
        <v>1367.7449951000001</v>
      </c>
      <c r="J724">
        <v>1348.5961914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365.00328000000002</v>
      </c>
      <c r="B725" s="1">
        <f>DATE(2011,5,1) + TIME(0,4,43)</f>
        <v>40664.003275462965</v>
      </c>
      <c r="C725">
        <v>80</v>
      </c>
      <c r="D725">
        <v>55.116386413999997</v>
      </c>
      <c r="E725">
        <v>50</v>
      </c>
      <c r="F725">
        <v>49.929515838999997</v>
      </c>
      <c r="G725">
        <v>1318.1616211</v>
      </c>
      <c r="H725">
        <v>1297.1058350000001</v>
      </c>
      <c r="I725">
        <v>1359.5104980000001</v>
      </c>
      <c r="J725">
        <v>1340.3586425999999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365.00984099999999</v>
      </c>
      <c r="B726" s="1">
        <f>DATE(2011,5,1) + TIME(0,14,10)</f>
        <v>40664.009837962964</v>
      </c>
      <c r="C726">
        <v>80</v>
      </c>
      <c r="D726">
        <v>55.384353638</v>
      </c>
      <c r="E726">
        <v>50</v>
      </c>
      <c r="F726">
        <v>49.912086487000003</v>
      </c>
      <c r="G726">
        <v>1330.2709961</v>
      </c>
      <c r="H726">
        <v>1309.130249</v>
      </c>
      <c r="I726">
        <v>1349.0557861</v>
      </c>
      <c r="J726">
        <v>1329.9036865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365.029223</v>
      </c>
      <c r="B727" s="1">
        <f>DATE(2011,5,1) + TIME(0,42,4)</f>
        <v>40664.02921296296</v>
      </c>
      <c r="C727">
        <v>80</v>
      </c>
      <c r="D727">
        <v>56.123409271</v>
      </c>
      <c r="E727">
        <v>50</v>
      </c>
      <c r="F727">
        <v>49.892013550000001</v>
      </c>
      <c r="G727">
        <v>1342.8679199000001</v>
      </c>
      <c r="H727">
        <v>1321.5627440999999</v>
      </c>
      <c r="I727">
        <v>1338.2001952999999</v>
      </c>
      <c r="J727">
        <v>1319.0480957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365.049689</v>
      </c>
      <c r="B728" s="1">
        <f>DATE(2011,5,1) + TIME(1,11,33)</f>
        <v>40664.049687500003</v>
      </c>
      <c r="C728">
        <v>80</v>
      </c>
      <c r="D728">
        <v>56.874744415000002</v>
      </c>
      <c r="E728">
        <v>50</v>
      </c>
      <c r="F728">
        <v>49.879371642999999</v>
      </c>
      <c r="G728">
        <v>1349.6314697</v>
      </c>
      <c r="H728">
        <v>1328.3365478999999</v>
      </c>
      <c r="I728">
        <v>1332.2750243999999</v>
      </c>
      <c r="J728">
        <v>1313.1220702999999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365.07088399999998</v>
      </c>
      <c r="B729" s="1">
        <f>DATE(2011,5,1) + TIME(1,42,4)</f>
        <v>40664.070879629631</v>
      </c>
      <c r="C729">
        <v>80</v>
      </c>
      <c r="D729">
        <v>57.627510071000003</v>
      </c>
      <c r="E729">
        <v>50</v>
      </c>
      <c r="F729">
        <v>49.869667053000001</v>
      </c>
      <c r="G729">
        <v>1354.0374756000001</v>
      </c>
      <c r="H729">
        <v>1332.8432617000001</v>
      </c>
      <c r="I729">
        <v>1328.3298339999999</v>
      </c>
      <c r="J729">
        <v>1309.1757812000001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365.09267399999999</v>
      </c>
      <c r="B730" s="1">
        <f>DATE(2011,5,1) + TIME(2,13,27)</f>
        <v>40664.092673611114</v>
      </c>
      <c r="C730">
        <v>80</v>
      </c>
      <c r="D730">
        <v>58.376388550000001</v>
      </c>
      <c r="E730">
        <v>50</v>
      </c>
      <c r="F730">
        <v>49.861423492</v>
      </c>
      <c r="G730">
        <v>1357.2539062000001</v>
      </c>
      <c r="H730">
        <v>1336.2053223</v>
      </c>
      <c r="I730">
        <v>1325.3900146000001</v>
      </c>
      <c r="J730">
        <v>1306.234375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365.11501199999998</v>
      </c>
      <c r="B731" s="1">
        <f>DATE(2011,5,1) + TIME(2,45,37)</f>
        <v>40664.115011574075</v>
      </c>
      <c r="C731">
        <v>80</v>
      </c>
      <c r="D731">
        <v>59.118648528999998</v>
      </c>
      <c r="E731">
        <v>50</v>
      </c>
      <c r="F731">
        <v>49.854015349999997</v>
      </c>
      <c r="G731">
        <v>1359.7720947</v>
      </c>
      <c r="H731">
        <v>1338.8937988</v>
      </c>
      <c r="I731">
        <v>1323.0430908000001</v>
      </c>
      <c r="J731">
        <v>1303.8856201000001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365.13788399999999</v>
      </c>
      <c r="B732" s="1">
        <f>DATE(2011,5,1) + TIME(3,18,33)</f>
        <v>40664.137881944444</v>
      </c>
      <c r="C732">
        <v>80</v>
      </c>
      <c r="D732">
        <v>59.852615356000001</v>
      </c>
      <c r="E732">
        <v>50</v>
      </c>
      <c r="F732">
        <v>49.847126007</v>
      </c>
      <c r="G732">
        <v>1361.8374022999999</v>
      </c>
      <c r="H732">
        <v>1341.1429443</v>
      </c>
      <c r="I732">
        <v>1321.081543</v>
      </c>
      <c r="J732">
        <v>1301.9223632999999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365.16128800000001</v>
      </c>
      <c r="B733" s="1">
        <f>DATE(2011,5,1) + TIME(3,52,15)</f>
        <v>40664.16128472222</v>
      </c>
      <c r="C733">
        <v>80</v>
      </c>
      <c r="D733">
        <v>60.576789855999998</v>
      </c>
      <c r="E733">
        <v>50</v>
      </c>
      <c r="F733">
        <v>49.840579986999998</v>
      </c>
      <c r="G733">
        <v>1363.5878906</v>
      </c>
      <c r="H733">
        <v>1343.0842285000001</v>
      </c>
      <c r="I733">
        <v>1319.3881836</v>
      </c>
      <c r="J733">
        <v>1300.2270507999999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365.185228</v>
      </c>
      <c r="B734" s="1">
        <f>DATE(2011,5,1) + TIME(4,26,43)</f>
        <v>40664.185219907406</v>
      </c>
      <c r="C734">
        <v>80</v>
      </c>
      <c r="D734">
        <v>61.290519713999998</v>
      </c>
      <c r="E734">
        <v>50</v>
      </c>
      <c r="F734">
        <v>49.834266663000001</v>
      </c>
      <c r="G734">
        <v>1365.1079102000001</v>
      </c>
      <c r="H734">
        <v>1344.7978516000001</v>
      </c>
      <c r="I734">
        <v>1317.8911132999999</v>
      </c>
      <c r="J734">
        <v>1298.7281493999999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365.20967300000001</v>
      </c>
      <c r="B735" s="1">
        <f>DATE(2011,5,1) + TIME(5,1,55)</f>
        <v>40664.209664351853</v>
      </c>
      <c r="C735">
        <v>80</v>
      </c>
      <c r="D735">
        <v>61.992137909</v>
      </c>
      <c r="E735">
        <v>50</v>
      </c>
      <c r="F735">
        <v>49.828121185000001</v>
      </c>
      <c r="G735">
        <v>1366.4506836</v>
      </c>
      <c r="H735">
        <v>1346.3341064000001</v>
      </c>
      <c r="I735">
        <v>1316.5451660000001</v>
      </c>
      <c r="J735">
        <v>1297.3803711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365.23463400000003</v>
      </c>
      <c r="B736" s="1">
        <f>DATE(2011,5,1) + TIME(5,37,52)</f>
        <v>40664.234629629631</v>
      </c>
      <c r="C736">
        <v>80</v>
      </c>
      <c r="D736">
        <v>62.681243895999998</v>
      </c>
      <c r="E736">
        <v>50</v>
      </c>
      <c r="F736">
        <v>49.822093963999997</v>
      </c>
      <c r="G736">
        <v>1367.6547852000001</v>
      </c>
      <c r="H736">
        <v>1347.7294922000001</v>
      </c>
      <c r="I736">
        <v>1315.3175048999999</v>
      </c>
      <c r="J736">
        <v>1296.151001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365.26012800000001</v>
      </c>
      <c r="B737" s="1">
        <f>DATE(2011,5,1) + TIME(6,14,35)</f>
        <v>40664.260127314818</v>
      </c>
      <c r="C737">
        <v>80</v>
      </c>
      <c r="D737">
        <v>63.357555388999998</v>
      </c>
      <c r="E737">
        <v>50</v>
      </c>
      <c r="F737">
        <v>49.816150665000002</v>
      </c>
      <c r="G737">
        <v>1368.7476807</v>
      </c>
      <c r="H737">
        <v>1349.010376</v>
      </c>
      <c r="I737">
        <v>1314.1846923999999</v>
      </c>
      <c r="J737">
        <v>1295.0166016000001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365.28617400000002</v>
      </c>
      <c r="B738" s="1">
        <f>DATE(2011,5,1) + TIME(6,52,5)</f>
        <v>40664.286168981482</v>
      </c>
      <c r="C738">
        <v>80</v>
      </c>
      <c r="D738">
        <v>64.020889281999999</v>
      </c>
      <c r="E738">
        <v>50</v>
      </c>
      <c r="F738">
        <v>49.810256957999997</v>
      </c>
      <c r="G738">
        <v>1369.7492675999999</v>
      </c>
      <c r="H738">
        <v>1350.1961670000001</v>
      </c>
      <c r="I738">
        <v>1313.1300048999999</v>
      </c>
      <c r="J738">
        <v>1293.9604492000001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365.31279499999999</v>
      </c>
      <c r="B739" s="1">
        <f>DATE(2011,5,1) + TIME(7,30,25)</f>
        <v>40664.312789351854</v>
      </c>
      <c r="C739">
        <v>80</v>
      </c>
      <c r="D739">
        <v>64.671134949000006</v>
      </c>
      <c r="E739">
        <v>50</v>
      </c>
      <c r="F739">
        <v>49.804393767999997</v>
      </c>
      <c r="G739">
        <v>1370.6750488</v>
      </c>
      <c r="H739">
        <v>1351.3015137</v>
      </c>
      <c r="I739">
        <v>1312.1403809000001</v>
      </c>
      <c r="J739">
        <v>1292.9696045000001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365.340014</v>
      </c>
      <c r="B740" s="1">
        <f>DATE(2011,5,1) + TIME(8,9,37)</f>
        <v>40664.340011574073</v>
      </c>
      <c r="C740">
        <v>80</v>
      </c>
      <c r="D740">
        <v>65.308288574000002</v>
      </c>
      <c r="E740">
        <v>50</v>
      </c>
      <c r="F740">
        <v>49.798542023000003</v>
      </c>
      <c r="G740">
        <v>1371.5366211</v>
      </c>
      <c r="H740">
        <v>1352.3377685999999</v>
      </c>
      <c r="I740">
        <v>1311.2062988</v>
      </c>
      <c r="J740">
        <v>1292.0341797000001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365.36783100000002</v>
      </c>
      <c r="B741" s="1">
        <f>DATE(2011,5,1) + TIME(8,49,40)</f>
        <v>40664.367824074077</v>
      </c>
      <c r="C741">
        <v>80</v>
      </c>
      <c r="D741">
        <v>65.931701660000002</v>
      </c>
      <c r="E741">
        <v>50</v>
      </c>
      <c r="F741">
        <v>49.792694091999998</v>
      </c>
      <c r="G741">
        <v>1372.3425293</v>
      </c>
      <c r="H741">
        <v>1353.3133545000001</v>
      </c>
      <c r="I741">
        <v>1310.3206786999999</v>
      </c>
      <c r="J741">
        <v>1291.1474608999999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365.39623999999998</v>
      </c>
      <c r="B742" s="1">
        <f>DATE(2011,5,1) + TIME(9,30,35)</f>
        <v>40664.396238425928</v>
      </c>
      <c r="C742">
        <v>80</v>
      </c>
      <c r="D742">
        <v>66.540611267000003</v>
      </c>
      <c r="E742">
        <v>50</v>
      </c>
      <c r="F742">
        <v>49.786842346</v>
      </c>
      <c r="G742">
        <v>1373.0994873</v>
      </c>
      <c r="H742">
        <v>1354.2346190999999</v>
      </c>
      <c r="I742">
        <v>1309.4785156</v>
      </c>
      <c r="J742">
        <v>1290.3040771000001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365.42526700000002</v>
      </c>
      <c r="B743" s="1">
        <f>DATE(2011,5,1) + TIME(10,12,23)</f>
        <v>40664.425266203703</v>
      </c>
      <c r="C743">
        <v>80</v>
      </c>
      <c r="D743">
        <v>67.135070800999998</v>
      </c>
      <c r="E743">
        <v>50</v>
      </c>
      <c r="F743">
        <v>49.780975341999998</v>
      </c>
      <c r="G743">
        <v>1373.8137207</v>
      </c>
      <c r="H743">
        <v>1355.1076660000001</v>
      </c>
      <c r="I743">
        <v>1308.6745605000001</v>
      </c>
      <c r="J743">
        <v>1289.4991454999999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365.45494000000002</v>
      </c>
      <c r="B744" s="1">
        <f>DATE(2011,5,1) + TIME(10,55,6)</f>
        <v>40664.454930555556</v>
      </c>
      <c r="C744">
        <v>80</v>
      </c>
      <c r="D744">
        <v>67.715118407999995</v>
      </c>
      <c r="E744">
        <v>50</v>
      </c>
      <c r="F744">
        <v>49.775085449000002</v>
      </c>
      <c r="G744">
        <v>1374.4901123</v>
      </c>
      <c r="H744">
        <v>1355.9378661999999</v>
      </c>
      <c r="I744">
        <v>1307.9046631000001</v>
      </c>
      <c r="J744">
        <v>1288.7282714999999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365.48528700000003</v>
      </c>
      <c r="B745" s="1">
        <f>DATE(2011,5,1) + TIME(11,38,48)</f>
        <v>40664.485277777778</v>
      </c>
      <c r="C745">
        <v>80</v>
      </c>
      <c r="D745">
        <v>68.280769348000007</v>
      </c>
      <c r="E745">
        <v>50</v>
      </c>
      <c r="F745">
        <v>49.769165039000001</v>
      </c>
      <c r="G745">
        <v>1375.1329346</v>
      </c>
      <c r="H745">
        <v>1356.7293701000001</v>
      </c>
      <c r="I745">
        <v>1307.1654053</v>
      </c>
      <c r="J745">
        <v>1287.9881591999999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365.51634799999999</v>
      </c>
      <c r="B746" s="1">
        <f>DATE(2011,5,1) + TIME(12,23,32)</f>
        <v>40664.516342592593</v>
      </c>
      <c r="C746">
        <v>80</v>
      </c>
      <c r="D746">
        <v>68.832199097</v>
      </c>
      <c r="E746">
        <v>50</v>
      </c>
      <c r="F746">
        <v>49.763198852999999</v>
      </c>
      <c r="G746">
        <v>1375.7458495999999</v>
      </c>
      <c r="H746">
        <v>1357.4860839999999</v>
      </c>
      <c r="I746">
        <v>1306.4537353999999</v>
      </c>
      <c r="J746">
        <v>1287.2755127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365.54816</v>
      </c>
      <c r="B747" s="1">
        <f>DATE(2011,5,1) + TIME(13,9,21)</f>
        <v>40664.548159722224</v>
      </c>
      <c r="C747">
        <v>80</v>
      </c>
      <c r="D747">
        <v>69.369506835999999</v>
      </c>
      <c r="E747">
        <v>50</v>
      </c>
      <c r="F747">
        <v>49.757183075</v>
      </c>
      <c r="G747">
        <v>1376.3319091999999</v>
      </c>
      <c r="H747">
        <v>1358.2111815999999</v>
      </c>
      <c r="I747">
        <v>1305.7670897999999</v>
      </c>
      <c r="J747">
        <v>1286.5881348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365.58076499999999</v>
      </c>
      <c r="B748" s="1">
        <f>DATE(2011,5,1) + TIME(13,56,18)</f>
        <v>40664.580763888887</v>
      </c>
      <c r="C748">
        <v>80</v>
      </c>
      <c r="D748">
        <v>69.892768860000004</v>
      </c>
      <c r="E748">
        <v>50</v>
      </c>
      <c r="F748">
        <v>49.751110077</v>
      </c>
      <c r="G748">
        <v>1376.8939209</v>
      </c>
      <c r="H748">
        <v>1358.9073486</v>
      </c>
      <c r="I748">
        <v>1305.1032714999999</v>
      </c>
      <c r="J748">
        <v>1285.9234618999999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365.61415499999998</v>
      </c>
      <c r="B749" s="1">
        <f>DATE(2011,5,1) + TIME(14,44,23)</f>
        <v>40664.614155092589</v>
      </c>
      <c r="C749">
        <v>80</v>
      </c>
      <c r="D749">
        <v>70.401069641000007</v>
      </c>
      <c r="E749">
        <v>50</v>
      </c>
      <c r="F749">
        <v>49.744976043999998</v>
      </c>
      <c r="G749">
        <v>1377.4332274999999</v>
      </c>
      <c r="H749">
        <v>1359.5762939000001</v>
      </c>
      <c r="I749">
        <v>1304.4613036999999</v>
      </c>
      <c r="J749">
        <v>1285.2806396000001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365.64837499999999</v>
      </c>
      <c r="B750" s="1">
        <f>DATE(2011,5,1) + TIME(15,33,39)</f>
        <v>40664.648368055554</v>
      </c>
      <c r="C750">
        <v>80</v>
      </c>
      <c r="D750">
        <v>70.894744872999993</v>
      </c>
      <c r="E750">
        <v>50</v>
      </c>
      <c r="F750">
        <v>49.738773346000002</v>
      </c>
      <c r="G750">
        <v>1377.9519043</v>
      </c>
      <c r="H750">
        <v>1360.2202147999999</v>
      </c>
      <c r="I750">
        <v>1303.8393555</v>
      </c>
      <c r="J750">
        <v>1284.6579589999999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365.683469</v>
      </c>
      <c r="B751" s="1">
        <f>DATE(2011,5,1) + TIME(16,24,11)</f>
        <v>40664.68346064815</v>
      </c>
      <c r="C751">
        <v>80</v>
      </c>
      <c r="D751">
        <v>71.373992920000006</v>
      </c>
      <c r="E751">
        <v>50</v>
      </c>
      <c r="F751">
        <v>49.732498169000003</v>
      </c>
      <c r="G751">
        <v>1378.4517822</v>
      </c>
      <c r="H751">
        <v>1360.8409423999999</v>
      </c>
      <c r="I751">
        <v>1303.2359618999999</v>
      </c>
      <c r="J751">
        <v>1284.0537108999999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365.71948900000001</v>
      </c>
      <c r="B752" s="1">
        <f>DATE(2011,5,1) + TIME(17,16,3)</f>
        <v>40664.71947916667</v>
      </c>
      <c r="C752">
        <v>80</v>
      </c>
      <c r="D752">
        <v>71.838928222999996</v>
      </c>
      <c r="E752">
        <v>50</v>
      </c>
      <c r="F752">
        <v>49.726139068999998</v>
      </c>
      <c r="G752">
        <v>1378.9344481999999</v>
      </c>
      <c r="H752">
        <v>1361.4403076000001</v>
      </c>
      <c r="I752">
        <v>1302.6496582</v>
      </c>
      <c r="J752">
        <v>1283.4666748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365.75648699999999</v>
      </c>
      <c r="B753" s="1">
        <f>DATE(2011,5,1) + TIME(18,9,20)</f>
        <v>40664.756481481483</v>
      </c>
      <c r="C753">
        <v>80</v>
      </c>
      <c r="D753">
        <v>72.289672851999995</v>
      </c>
      <c r="E753">
        <v>50</v>
      </c>
      <c r="F753">
        <v>49.719688415999997</v>
      </c>
      <c r="G753">
        <v>1379.4013672000001</v>
      </c>
      <c r="H753">
        <v>1362.0198975000001</v>
      </c>
      <c r="I753">
        <v>1302.0792236</v>
      </c>
      <c r="J753">
        <v>1282.8955077999999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365.79452199999997</v>
      </c>
      <c r="B754" s="1">
        <f>DATE(2011,5,1) + TIME(19,4,6)</f>
        <v>40664.79451388889</v>
      </c>
      <c r="C754">
        <v>80</v>
      </c>
      <c r="D754">
        <v>72.726356506000002</v>
      </c>
      <c r="E754">
        <v>50</v>
      </c>
      <c r="F754">
        <v>49.713138579999999</v>
      </c>
      <c r="G754">
        <v>1379.8536377</v>
      </c>
      <c r="H754">
        <v>1362.5810547000001</v>
      </c>
      <c r="I754">
        <v>1301.5235596</v>
      </c>
      <c r="J754">
        <v>1282.3392334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365.83366000000001</v>
      </c>
      <c r="B755" s="1">
        <f>DATE(2011,5,1) + TIME(20,0,28)</f>
        <v>40664.833657407406</v>
      </c>
      <c r="C755">
        <v>80</v>
      </c>
      <c r="D755">
        <v>73.149085998999993</v>
      </c>
      <c r="E755">
        <v>50</v>
      </c>
      <c r="F755">
        <v>49.706478119000003</v>
      </c>
      <c r="G755">
        <v>1380.2924805</v>
      </c>
      <c r="H755">
        <v>1363.1251221</v>
      </c>
      <c r="I755">
        <v>1300.9816894999999</v>
      </c>
      <c r="J755">
        <v>1281.7966309000001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365.87396899999999</v>
      </c>
      <c r="B756" s="1">
        <f>DATE(2011,5,1) + TIME(20,58,30)</f>
        <v>40664.87395833333</v>
      </c>
      <c r="C756">
        <v>80</v>
      </c>
      <c r="D756">
        <v>73.557975768999995</v>
      </c>
      <c r="E756">
        <v>50</v>
      </c>
      <c r="F756">
        <v>49.699699402</v>
      </c>
      <c r="G756">
        <v>1380.71875</v>
      </c>
      <c r="H756">
        <v>1363.6533202999999</v>
      </c>
      <c r="I756">
        <v>1300.4526367000001</v>
      </c>
      <c r="J756">
        <v>1281.2668457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365.91554000000002</v>
      </c>
      <c r="B757" s="1">
        <f>DATE(2011,5,1) + TIME(21,58,22)</f>
        <v>40664.915532407409</v>
      </c>
      <c r="C757">
        <v>80</v>
      </c>
      <c r="D757">
        <v>73.953254700000002</v>
      </c>
      <c r="E757">
        <v>50</v>
      </c>
      <c r="F757">
        <v>49.692787170000003</v>
      </c>
      <c r="G757">
        <v>1381.1336670000001</v>
      </c>
      <c r="H757">
        <v>1364.166626</v>
      </c>
      <c r="I757">
        <v>1299.9354248</v>
      </c>
      <c r="J757">
        <v>1280.7489014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365.95845400000002</v>
      </c>
      <c r="B758" s="1">
        <f>DATE(2011,5,1) + TIME(23,0,10)</f>
        <v>40664.958449074074</v>
      </c>
      <c r="C758">
        <v>80</v>
      </c>
      <c r="D758">
        <v>74.334991454999994</v>
      </c>
      <c r="E758">
        <v>50</v>
      </c>
      <c r="F758">
        <v>49.685733794999997</v>
      </c>
      <c r="G758">
        <v>1381.5379639</v>
      </c>
      <c r="H758">
        <v>1364.6661377</v>
      </c>
      <c r="I758">
        <v>1299.4291992000001</v>
      </c>
      <c r="J758">
        <v>1280.2420654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366.00279599999999</v>
      </c>
      <c r="B759" s="1">
        <f>DATE(2011,5,2) + TIME(0,4,1)</f>
        <v>40665.002789351849</v>
      </c>
      <c r="C759">
        <v>80</v>
      </c>
      <c r="D759">
        <v>74.703208923000005</v>
      </c>
      <c r="E759">
        <v>50</v>
      </c>
      <c r="F759">
        <v>49.678524017000001</v>
      </c>
      <c r="G759">
        <v>1381.932251</v>
      </c>
      <c r="H759">
        <v>1365.1525879000001</v>
      </c>
      <c r="I759">
        <v>1298.9335937999999</v>
      </c>
      <c r="J759">
        <v>1279.7457274999999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366.04867000000002</v>
      </c>
      <c r="B760" s="1">
        <f>DATE(2011,5,2) + TIME(1,10,5)</f>
        <v>40665.048668981479</v>
      </c>
      <c r="C760">
        <v>80</v>
      </c>
      <c r="D760">
        <v>75.05796814</v>
      </c>
      <c r="E760">
        <v>50</v>
      </c>
      <c r="F760">
        <v>49.671146393000001</v>
      </c>
      <c r="G760">
        <v>1382.3172606999999</v>
      </c>
      <c r="H760">
        <v>1365.6269531</v>
      </c>
      <c r="I760">
        <v>1298.4476318</v>
      </c>
      <c r="J760">
        <v>1279.2591553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366.09618799999998</v>
      </c>
      <c r="B761" s="1">
        <f>DATE(2011,5,2) + TIME(2,18,30)</f>
        <v>40665.096180555556</v>
      </c>
      <c r="C761">
        <v>80</v>
      </c>
      <c r="D761">
        <v>75.399215698000006</v>
      </c>
      <c r="E761">
        <v>50</v>
      </c>
      <c r="F761">
        <v>49.663589477999999</v>
      </c>
      <c r="G761">
        <v>1382.6936035000001</v>
      </c>
      <c r="H761">
        <v>1366.0897216999999</v>
      </c>
      <c r="I761">
        <v>1297.9709473</v>
      </c>
      <c r="J761">
        <v>1278.7817382999999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366.14547700000003</v>
      </c>
      <c r="B762" s="1">
        <f>DATE(2011,5,2) + TIME(3,29,29)</f>
        <v>40665.145474537036</v>
      </c>
      <c r="C762">
        <v>80</v>
      </c>
      <c r="D762">
        <v>75.727241516000007</v>
      </c>
      <c r="E762">
        <v>50</v>
      </c>
      <c r="F762">
        <v>49.655834198000001</v>
      </c>
      <c r="G762">
        <v>1383.0618896000001</v>
      </c>
      <c r="H762">
        <v>1366.5418701000001</v>
      </c>
      <c r="I762">
        <v>1297.5026855000001</v>
      </c>
      <c r="J762">
        <v>1278.3128661999999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366.19668100000001</v>
      </c>
      <c r="B763" s="1">
        <f>DATE(2011,5,2) + TIME(4,43,13)</f>
        <v>40665.19667824074</v>
      </c>
      <c r="C763">
        <v>80</v>
      </c>
      <c r="D763">
        <v>76.042144774999997</v>
      </c>
      <c r="E763">
        <v>50</v>
      </c>
      <c r="F763">
        <v>49.647865295000003</v>
      </c>
      <c r="G763">
        <v>1383.4227295000001</v>
      </c>
      <c r="H763">
        <v>1366.9838867000001</v>
      </c>
      <c r="I763">
        <v>1297.0424805</v>
      </c>
      <c r="J763">
        <v>1277.8519286999999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366.249956</v>
      </c>
      <c r="B764" s="1">
        <f>DATE(2011,5,2) + TIME(5,59,56)</f>
        <v>40665.2499537037</v>
      </c>
      <c r="C764">
        <v>80</v>
      </c>
      <c r="D764">
        <v>76.344017029</v>
      </c>
      <c r="E764">
        <v>50</v>
      </c>
      <c r="F764">
        <v>49.639659881999997</v>
      </c>
      <c r="G764">
        <v>1383.7764893000001</v>
      </c>
      <c r="H764">
        <v>1367.4165039</v>
      </c>
      <c r="I764">
        <v>1296.5897216999999</v>
      </c>
      <c r="J764">
        <v>1277.3984375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366.30548299999998</v>
      </c>
      <c r="B765" s="1">
        <f>DATE(2011,5,2) + TIME(7,19,53)</f>
        <v>40665.305474537039</v>
      </c>
      <c r="C765">
        <v>80</v>
      </c>
      <c r="D765">
        <v>76.632957458000007</v>
      </c>
      <c r="E765">
        <v>50</v>
      </c>
      <c r="F765">
        <v>49.631202698000003</v>
      </c>
      <c r="G765">
        <v>1384.1237793</v>
      </c>
      <c r="H765">
        <v>1367.840332</v>
      </c>
      <c r="I765">
        <v>1296.1437988</v>
      </c>
      <c r="J765">
        <v>1276.9519043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366.36346300000002</v>
      </c>
      <c r="B766" s="1">
        <f>DATE(2011,5,2) + TIME(8,43,23)</f>
        <v>40665.36346064815</v>
      </c>
      <c r="C766">
        <v>80</v>
      </c>
      <c r="D766">
        <v>76.909057617000002</v>
      </c>
      <c r="E766">
        <v>50</v>
      </c>
      <c r="F766">
        <v>49.622459411999998</v>
      </c>
      <c r="G766">
        <v>1384.4649658000001</v>
      </c>
      <c r="H766">
        <v>1368.2558594</v>
      </c>
      <c r="I766">
        <v>1295.7042236</v>
      </c>
      <c r="J766">
        <v>1276.5115966999999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366.42413900000003</v>
      </c>
      <c r="B767" s="1">
        <f>DATE(2011,5,2) + TIME(10,10,45)</f>
        <v>40665.424131944441</v>
      </c>
      <c r="C767">
        <v>80</v>
      </c>
      <c r="D767">
        <v>77.172462463000002</v>
      </c>
      <c r="E767">
        <v>50</v>
      </c>
      <c r="F767">
        <v>49.613410950000002</v>
      </c>
      <c r="G767">
        <v>1384.8006591999999</v>
      </c>
      <c r="H767">
        <v>1368.6639404</v>
      </c>
      <c r="I767">
        <v>1295.2706298999999</v>
      </c>
      <c r="J767">
        <v>1276.0772704999999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366.48780399999998</v>
      </c>
      <c r="B768" s="1">
        <f>DATE(2011,5,2) + TIME(11,42,26)</f>
        <v>40665.487800925926</v>
      </c>
      <c r="C768">
        <v>80</v>
      </c>
      <c r="D768">
        <v>77.423347473000007</v>
      </c>
      <c r="E768">
        <v>50</v>
      </c>
      <c r="F768">
        <v>49.604015349999997</v>
      </c>
      <c r="G768">
        <v>1385.1312256000001</v>
      </c>
      <c r="H768">
        <v>1369.0649414</v>
      </c>
      <c r="I768">
        <v>1294.8421631000001</v>
      </c>
      <c r="J768">
        <v>1275.6480713000001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366.55473000000001</v>
      </c>
      <c r="B769" s="1">
        <f>DATE(2011,5,2) + TIME(13,18,48)</f>
        <v>40665.554722222223</v>
      </c>
      <c r="C769">
        <v>80</v>
      </c>
      <c r="D769">
        <v>77.661659240999995</v>
      </c>
      <c r="E769">
        <v>50</v>
      </c>
      <c r="F769">
        <v>49.594245911000002</v>
      </c>
      <c r="G769">
        <v>1385.4571533000001</v>
      </c>
      <c r="H769">
        <v>1369.4594727000001</v>
      </c>
      <c r="I769">
        <v>1294.4187012</v>
      </c>
      <c r="J769">
        <v>1275.2238769999999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366.62527299999999</v>
      </c>
      <c r="B770" s="1">
        <f>DATE(2011,5,2) + TIME(15,0,23)</f>
        <v>40665.6252662037</v>
      </c>
      <c r="C770">
        <v>80</v>
      </c>
      <c r="D770">
        <v>77.887489318999997</v>
      </c>
      <c r="E770">
        <v>50</v>
      </c>
      <c r="F770">
        <v>49.584060669000003</v>
      </c>
      <c r="G770">
        <v>1385.7785644999999</v>
      </c>
      <c r="H770">
        <v>1369.8477783000001</v>
      </c>
      <c r="I770">
        <v>1293.9998779</v>
      </c>
      <c r="J770">
        <v>1274.8041992000001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366.69984699999998</v>
      </c>
      <c r="B771" s="1">
        <f>DATE(2011,5,2) + TIME(16,47,46)</f>
        <v>40665.699837962966</v>
      </c>
      <c r="C771">
        <v>80</v>
      </c>
      <c r="D771">
        <v>78.10093689</v>
      </c>
      <c r="E771">
        <v>50</v>
      </c>
      <c r="F771">
        <v>49.573410033999998</v>
      </c>
      <c r="G771">
        <v>1386.0958252</v>
      </c>
      <c r="H771">
        <v>1370.2305908000001</v>
      </c>
      <c r="I771">
        <v>1293.5852050999999</v>
      </c>
      <c r="J771">
        <v>1274.3887939000001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366.77893999999998</v>
      </c>
      <c r="B772" s="1">
        <f>DATE(2011,5,2) + TIME(18,41,40)</f>
        <v>40665.778935185182</v>
      </c>
      <c r="C772">
        <v>80</v>
      </c>
      <c r="D772">
        <v>78.302070618000002</v>
      </c>
      <c r="E772">
        <v>50</v>
      </c>
      <c r="F772">
        <v>49.562244415000002</v>
      </c>
      <c r="G772">
        <v>1386.4094238</v>
      </c>
      <c r="H772">
        <v>1370.6082764</v>
      </c>
      <c r="I772">
        <v>1293.1743164</v>
      </c>
      <c r="J772">
        <v>1273.9769286999999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366.863114</v>
      </c>
      <c r="B773" s="1">
        <f>DATE(2011,5,2) + TIME(20,42,53)</f>
        <v>40665.863113425927</v>
      </c>
      <c r="C773">
        <v>80</v>
      </c>
      <c r="D773">
        <v>78.490959167</v>
      </c>
      <c r="E773">
        <v>50</v>
      </c>
      <c r="F773">
        <v>49.550495148000003</v>
      </c>
      <c r="G773">
        <v>1386.7197266000001</v>
      </c>
      <c r="H773">
        <v>1370.9813231999999</v>
      </c>
      <c r="I773">
        <v>1292.7667236</v>
      </c>
      <c r="J773">
        <v>1273.5686035000001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366.95308299999999</v>
      </c>
      <c r="B774" s="1">
        <f>DATE(2011,5,2) + TIME(22,52,26)</f>
        <v>40665.9530787037</v>
      </c>
      <c r="C774">
        <v>80</v>
      </c>
      <c r="D774">
        <v>78.667716979999994</v>
      </c>
      <c r="E774">
        <v>50</v>
      </c>
      <c r="F774">
        <v>49.538085938000002</v>
      </c>
      <c r="G774">
        <v>1387.0268555</v>
      </c>
      <c r="H774">
        <v>1371.3500977000001</v>
      </c>
      <c r="I774">
        <v>1292.3623047000001</v>
      </c>
      <c r="J774">
        <v>1273.1632079999999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367.04548899999998</v>
      </c>
      <c r="B775" s="1">
        <f>DATE(2011,5,3) + TIME(1,5,30)</f>
        <v>40666.045486111114</v>
      </c>
      <c r="C775">
        <v>80</v>
      </c>
      <c r="D775">
        <v>78.826179503999995</v>
      </c>
      <c r="E775">
        <v>50</v>
      </c>
      <c r="F775">
        <v>49.525436401</v>
      </c>
      <c r="G775">
        <v>1387.3182373</v>
      </c>
      <c r="H775">
        <v>1371.6995850000001</v>
      </c>
      <c r="I775">
        <v>1291.9765625</v>
      </c>
      <c r="J775">
        <v>1272.7766113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367.138464</v>
      </c>
      <c r="B776" s="1">
        <f>DATE(2011,5,3) + TIME(3,19,23)</f>
        <v>40666.138460648152</v>
      </c>
      <c r="C776">
        <v>80</v>
      </c>
      <c r="D776">
        <v>78.965270996000001</v>
      </c>
      <c r="E776">
        <v>50</v>
      </c>
      <c r="F776">
        <v>49.512767791999998</v>
      </c>
      <c r="G776">
        <v>1387.5886230000001</v>
      </c>
      <c r="H776">
        <v>1372.0241699000001</v>
      </c>
      <c r="I776">
        <v>1291.6159668</v>
      </c>
      <c r="J776">
        <v>1272.4151611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367.23227100000003</v>
      </c>
      <c r="B777" s="1">
        <f>DATE(2011,5,3) + TIME(5,34,28)</f>
        <v>40666.232268518521</v>
      </c>
      <c r="C777">
        <v>80</v>
      </c>
      <c r="D777">
        <v>79.087593079000001</v>
      </c>
      <c r="E777">
        <v>50</v>
      </c>
      <c r="F777">
        <v>49.500057220000002</v>
      </c>
      <c r="G777">
        <v>1387.8409423999999</v>
      </c>
      <c r="H777">
        <v>1372.3272704999999</v>
      </c>
      <c r="I777">
        <v>1291.2779541</v>
      </c>
      <c r="J777">
        <v>1272.0762939000001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367.32709299999999</v>
      </c>
      <c r="B778" s="1">
        <f>DATE(2011,5,3) + TIME(7,51,0)</f>
        <v>40666.32708333333</v>
      </c>
      <c r="C778">
        <v>80</v>
      </c>
      <c r="D778">
        <v>79.195266724000007</v>
      </c>
      <c r="E778">
        <v>50</v>
      </c>
      <c r="F778">
        <v>49.487277984999999</v>
      </c>
      <c r="G778">
        <v>1388.0770264</v>
      </c>
      <c r="H778">
        <v>1372.6113281</v>
      </c>
      <c r="I778">
        <v>1290.9603271000001</v>
      </c>
      <c r="J778">
        <v>1271.7578125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367.42294700000002</v>
      </c>
      <c r="B779" s="1">
        <f>DATE(2011,5,3) + TIME(10,9,2)</f>
        <v>40666.422939814816</v>
      </c>
      <c r="C779">
        <v>80</v>
      </c>
      <c r="D779">
        <v>79.289932250999996</v>
      </c>
      <c r="E779">
        <v>50</v>
      </c>
      <c r="F779">
        <v>49.474426270000002</v>
      </c>
      <c r="G779">
        <v>1388.2979736</v>
      </c>
      <c r="H779">
        <v>1372.8774414</v>
      </c>
      <c r="I779">
        <v>1290.6618652</v>
      </c>
      <c r="J779">
        <v>1271.4584961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367.51968299999999</v>
      </c>
      <c r="B780" s="1">
        <f>DATE(2011,5,3) + TIME(12,28,20)</f>
        <v>40666.519675925927</v>
      </c>
      <c r="C780">
        <v>80</v>
      </c>
      <c r="D780">
        <v>79.372955321999996</v>
      </c>
      <c r="E780">
        <v>50</v>
      </c>
      <c r="F780">
        <v>49.461521148999999</v>
      </c>
      <c r="G780">
        <v>1388.5042725000001</v>
      </c>
      <c r="H780">
        <v>1373.1263428</v>
      </c>
      <c r="I780">
        <v>1290.3819579999999</v>
      </c>
      <c r="J780">
        <v>1271.1776123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367.61747300000002</v>
      </c>
      <c r="B781" s="1">
        <f>DATE(2011,5,3) + TIME(14,49,9)</f>
        <v>40666.617465277777</v>
      </c>
      <c r="C781">
        <v>80</v>
      </c>
      <c r="D781">
        <v>79.445816039999997</v>
      </c>
      <c r="E781">
        <v>50</v>
      </c>
      <c r="F781">
        <v>49.448543549</v>
      </c>
      <c r="G781">
        <v>1388.6972656</v>
      </c>
      <c r="H781">
        <v>1373.3598632999999</v>
      </c>
      <c r="I781">
        <v>1290.1188964999999</v>
      </c>
      <c r="J781">
        <v>1270.9138184000001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367.71648299999998</v>
      </c>
      <c r="B782" s="1">
        <f>DATE(2011,5,3) + TIME(17,11,44)</f>
        <v>40666.716481481482</v>
      </c>
      <c r="C782">
        <v>80</v>
      </c>
      <c r="D782">
        <v>79.509773253999995</v>
      </c>
      <c r="E782">
        <v>50</v>
      </c>
      <c r="F782">
        <v>49.435466765999998</v>
      </c>
      <c r="G782">
        <v>1388.8779297000001</v>
      </c>
      <c r="H782">
        <v>1373.5792236</v>
      </c>
      <c r="I782">
        <v>1289.8714600000001</v>
      </c>
      <c r="J782">
        <v>1270.6655272999999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367.81687899999997</v>
      </c>
      <c r="B783" s="1">
        <f>DATE(2011,5,3) + TIME(19,36,18)</f>
        <v>40666.816874999997</v>
      </c>
      <c r="C783">
        <v>80</v>
      </c>
      <c r="D783">
        <v>79.565910338999998</v>
      </c>
      <c r="E783">
        <v>50</v>
      </c>
      <c r="F783">
        <v>49.422283172999997</v>
      </c>
      <c r="G783">
        <v>1389.0473632999999</v>
      </c>
      <c r="H783">
        <v>1373.7855225000001</v>
      </c>
      <c r="I783">
        <v>1289.6385498</v>
      </c>
      <c r="J783">
        <v>1270.4317627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367.91883000000001</v>
      </c>
      <c r="B784" s="1">
        <f>DATE(2011,5,3) + TIME(22,3,6)</f>
        <v>40666.918819444443</v>
      </c>
      <c r="C784">
        <v>80</v>
      </c>
      <c r="D784">
        <v>79.615180968999994</v>
      </c>
      <c r="E784">
        <v>50</v>
      </c>
      <c r="F784">
        <v>49.408962250000002</v>
      </c>
      <c r="G784">
        <v>1389.2061768000001</v>
      </c>
      <c r="H784">
        <v>1373.9797363</v>
      </c>
      <c r="I784">
        <v>1289.4191894999999</v>
      </c>
      <c r="J784">
        <v>1270.2114257999999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368.022513</v>
      </c>
      <c r="B785" s="1">
        <f>DATE(2011,5,4) + TIME(0,32,25)</f>
        <v>40667.022511574076</v>
      </c>
      <c r="C785">
        <v>80</v>
      </c>
      <c r="D785">
        <v>79.658401488999999</v>
      </c>
      <c r="E785">
        <v>50</v>
      </c>
      <c r="F785">
        <v>49.395488739000001</v>
      </c>
      <c r="G785">
        <v>1389.3551024999999</v>
      </c>
      <c r="H785">
        <v>1374.1627197</v>
      </c>
      <c r="I785">
        <v>1289.2122803</v>
      </c>
      <c r="J785">
        <v>1270.0036620999999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368.12811299999998</v>
      </c>
      <c r="B786" s="1">
        <f>DATE(2011,5,4) + TIME(3,4,28)</f>
        <v>40667.128101851849</v>
      </c>
      <c r="C786">
        <v>80</v>
      </c>
      <c r="D786">
        <v>79.696289062000005</v>
      </c>
      <c r="E786">
        <v>50</v>
      </c>
      <c r="F786">
        <v>49.381839751999998</v>
      </c>
      <c r="G786">
        <v>1389.4946289</v>
      </c>
      <c r="H786">
        <v>1374.3352050999999</v>
      </c>
      <c r="I786">
        <v>1289.0172118999999</v>
      </c>
      <c r="J786">
        <v>1269.8077393000001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368.23582499999998</v>
      </c>
      <c r="B787" s="1">
        <f>DATE(2011,5,4) + TIME(5,39,35)</f>
        <v>40667.235821759263</v>
      </c>
      <c r="C787">
        <v>80</v>
      </c>
      <c r="D787">
        <v>79.729476929</v>
      </c>
      <c r="E787">
        <v>50</v>
      </c>
      <c r="F787">
        <v>49.367996216000002</v>
      </c>
      <c r="G787">
        <v>1389.6254882999999</v>
      </c>
      <c r="H787">
        <v>1374.4978027</v>
      </c>
      <c r="I787">
        <v>1288.8332519999999</v>
      </c>
      <c r="J787">
        <v>1269.6229248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368.34587599999998</v>
      </c>
      <c r="B788" s="1">
        <f>DATE(2011,5,4) + TIME(8,18,3)</f>
        <v>40667.345868055556</v>
      </c>
      <c r="C788">
        <v>80</v>
      </c>
      <c r="D788">
        <v>79.758514403999996</v>
      </c>
      <c r="E788">
        <v>50</v>
      </c>
      <c r="F788">
        <v>49.353931426999999</v>
      </c>
      <c r="G788">
        <v>1389.7480469</v>
      </c>
      <c r="H788">
        <v>1374.6512451000001</v>
      </c>
      <c r="I788">
        <v>1288.6597899999999</v>
      </c>
      <c r="J788">
        <v>1269.4484863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368.45850000000002</v>
      </c>
      <c r="B789" s="1">
        <f>DATE(2011,5,4) + TIME(11,0,14)</f>
        <v>40667.458495370367</v>
      </c>
      <c r="C789">
        <v>80</v>
      </c>
      <c r="D789">
        <v>79.783897400000001</v>
      </c>
      <c r="E789">
        <v>50</v>
      </c>
      <c r="F789">
        <v>49.339618682999998</v>
      </c>
      <c r="G789">
        <v>1389.8625488</v>
      </c>
      <c r="H789">
        <v>1374.7958983999999</v>
      </c>
      <c r="I789">
        <v>1288.4962158000001</v>
      </c>
      <c r="J789">
        <v>1269.2839355000001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368.573668</v>
      </c>
      <c r="B790" s="1">
        <f>DATE(2011,5,4) + TIME(13,46,4)</f>
        <v>40667.573657407411</v>
      </c>
      <c r="C790">
        <v>80</v>
      </c>
      <c r="D790">
        <v>79.805999756000006</v>
      </c>
      <c r="E790">
        <v>50</v>
      </c>
      <c r="F790">
        <v>49.325061798</v>
      </c>
      <c r="G790">
        <v>1389.9692382999999</v>
      </c>
      <c r="H790">
        <v>1374.9320068</v>
      </c>
      <c r="I790">
        <v>1288.3422852000001</v>
      </c>
      <c r="J790">
        <v>1269.1291504000001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368.69123400000001</v>
      </c>
      <c r="B791" s="1">
        <f>DATE(2011,5,4) + TIME(16,35,22)</f>
        <v>40667.69122685185</v>
      </c>
      <c r="C791">
        <v>80</v>
      </c>
      <c r="D791">
        <v>79.825164795000006</v>
      </c>
      <c r="E791">
        <v>50</v>
      </c>
      <c r="F791">
        <v>49.310276031000001</v>
      </c>
      <c r="G791">
        <v>1390.0678711</v>
      </c>
      <c r="H791">
        <v>1375.0593262</v>
      </c>
      <c r="I791">
        <v>1288.1981201000001</v>
      </c>
      <c r="J791">
        <v>1268.9840088000001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368.81147900000002</v>
      </c>
      <c r="B792" s="1">
        <f>DATE(2011,5,4) + TIME(19,28,31)</f>
        <v>40667.811469907407</v>
      </c>
      <c r="C792">
        <v>80</v>
      </c>
      <c r="D792">
        <v>79.841766356999997</v>
      </c>
      <c r="E792">
        <v>50</v>
      </c>
      <c r="F792">
        <v>49.295230865000001</v>
      </c>
      <c r="G792">
        <v>1390.1591797000001</v>
      </c>
      <c r="H792">
        <v>1375.1787108999999</v>
      </c>
      <c r="I792">
        <v>1288.0628661999999</v>
      </c>
      <c r="J792">
        <v>1268.8477783000001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368.93459200000001</v>
      </c>
      <c r="B793" s="1">
        <f>DATE(2011,5,4) + TIME(22,25,48)</f>
        <v>40667.934583333335</v>
      </c>
      <c r="C793">
        <v>80</v>
      </c>
      <c r="D793">
        <v>79.856117248999993</v>
      </c>
      <c r="E793">
        <v>50</v>
      </c>
      <c r="F793">
        <v>49.279911040999998</v>
      </c>
      <c r="G793">
        <v>1390.2432861</v>
      </c>
      <c r="H793">
        <v>1375.2902832</v>
      </c>
      <c r="I793">
        <v>1287.9364014</v>
      </c>
      <c r="J793">
        <v>1268.7203368999999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369.06081999999998</v>
      </c>
      <c r="B794" s="1">
        <f>DATE(2011,5,5) + TIME(1,27,34)</f>
        <v>40668.060810185183</v>
      </c>
      <c r="C794">
        <v>80</v>
      </c>
      <c r="D794">
        <v>79.868507385000001</v>
      </c>
      <c r="E794">
        <v>50</v>
      </c>
      <c r="F794">
        <v>49.264286040999998</v>
      </c>
      <c r="G794">
        <v>1390.3205565999999</v>
      </c>
      <c r="H794">
        <v>1375.3945312000001</v>
      </c>
      <c r="I794">
        <v>1287.8181152</v>
      </c>
      <c r="J794">
        <v>1268.6010742000001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369.19043900000003</v>
      </c>
      <c r="B795" s="1">
        <f>DATE(2011,5,5) + TIME(4,34,13)</f>
        <v>40668.190428240741</v>
      </c>
      <c r="C795">
        <v>80</v>
      </c>
      <c r="D795">
        <v>79.879173279</v>
      </c>
      <c r="E795">
        <v>50</v>
      </c>
      <c r="F795">
        <v>49.248332976999997</v>
      </c>
      <c r="G795">
        <v>1390.3911132999999</v>
      </c>
      <c r="H795">
        <v>1375.4916992000001</v>
      </c>
      <c r="I795">
        <v>1287.7076416</v>
      </c>
      <c r="J795">
        <v>1268.4895019999999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369.32375200000001</v>
      </c>
      <c r="B796" s="1">
        <f>DATE(2011,5,5) + TIME(7,46,12)</f>
        <v>40668.323750000003</v>
      </c>
      <c r="C796">
        <v>80</v>
      </c>
      <c r="D796">
        <v>79.888336182000003</v>
      </c>
      <c r="E796">
        <v>50</v>
      </c>
      <c r="F796">
        <v>49.232009888</v>
      </c>
      <c r="G796">
        <v>1390.4552002</v>
      </c>
      <c r="H796">
        <v>1375.5821533000001</v>
      </c>
      <c r="I796">
        <v>1287.6046143000001</v>
      </c>
      <c r="J796">
        <v>1268.3854980000001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369.46109200000001</v>
      </c>
      <c r="B797" s="1">
        <f>DATE(2011,5,5) + TIME(11,3,58)</f>
        <v>40668.461087962962</v>
      </c>
      <c r="C797">
        <v>80</v>
      </c>
      <c r="D797">
        <v>79.896194457999997</v>
      </c>
      <c r="E797">
        <v>50</v>
      </c>
      <c r="F797">
        <v>49.215290070000002</v>
      </c>
      <c r="G797">
        <v>1390.5130615</v>
      </c>
      <c r="H797">
        <v>1375.6660156</v>
      </c>
      <c r="I797">
        <v>1287.5087891000001</v>
      </c>
      <c r="J797">
        <v>1268.2886963000001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369.60282799999999</v>
      </c>
      <c r="B798" s="1">
        <f>DATE(2011,5,5) + TIME(14,28,4)</f>
        <v>40668.602824074071</v>
      </c>
      <c r="C798">
        <v>80</v>
      </c>
      <c r="D798">
        <v>79.902908324999999</v>
      </c>
      <c r="E798">
        <v>50</v>
      </c>
      <c r="F798">
        <v>49.198135376000003</v>
      </c>
      <c r="G798">
        <v>1390.5648193</v>
      </c>
      <c r="H798">
        <v>1375.7435303</v>
      </c>
      <c r="I798">
        <v>1287.4197998</v>
      </c>
      <c r="J798">
        <v>1268.1986084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369.74937399999999</v>
      </c>
      <c r="B799" s="1">
        <f>DATE(2011,5,5) + TIME(17,59,5)</f>
        <v>40668.749363425923</v>
      </c>
      <c r="C799">
        <v>80</v>
      </c>
      <c r="D799">
        <v>79.908630371000001</v>
      </c>
      <c r="E799">
        <v>50</v>
      </c>
      <c r="F799">
        <v>49.180503844999997</v>
      </c>
      <c r="G799">
        <v>1390.6104736</v>
      </c>
      <c r="H799">
        <v>1375.8148193</v>
      </c>
      <c r="I799">
        <v>1287.3374022999999</v>
      </c>
      <c r="J799">
        <v>1268.1149902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369.90019699999999</v>
      </c>
      <c r="B800" s="1">
        <f>DATE(2011,5,5) + TIME(21,36,16)</f>
        <v>40668.900185185186</v>
      </c>
      <c r="C800">
        <v>80</v>
      </c>
      <c r="D800">
        <v>79.913459778000004</v>
      </c>
      <c r="E800">
        <v>50</v>
      </c>
      <c r="F800">
        <v>49.162448883000003</v>
      </c>
      <c r="G800">
        <v>1390.6496582</v>
      </c>
      <c r="H800">
        <v>1375.8795166</v>
      </c>
      <c r="I800">
        <v>1287.2617187999999</v>
      </c>
      <c r="J800">
        <v>1268.0382079999999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370.05573700000002</v>
      </c>
      <c r="B801" s="1">
        <f>DATE(2011,5,6) + TIME(1,20,15)</f>
        <v>40669.05572916667</v>
      </c>
      <c r="C801">
        <v>80</v>
      </c>
      <c r="D801">
        <v>79.917533875000004</v>
      </c>
      <c r="E801">
        <v>50</v>
      </c>
      <c r="F801">
        <v>49.143920897999998</v>
      </c>
      <c r="G801">
        <v>1390.6827393000001</v>
      </c>
      <c r="H801">
        <v>1375.9381103999999</v>
      </c>
      <c r="I801">
        <v>1287.1923827999999</v>
      </c>
      <c r="J801">
        <v>1267.9676514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370.216453</v>
      </c>
      <c r="B802" s="1">
        <f>DATE(2011,5,6) + TIME(5,11,41)</f>
        <v>40669.216446759259</v>
      </c>
      <c r="C802">
        <v>80</v>
      </c>
      <c r="D802">
        <v>79.920959472999996</v>
      </c>
      <c r="E802">
        <v>50</v>
      </c>
      <c r="F802">
        <v>49.124885558999999</v>
      </c>
      <c r="G802">
        <v>1390.7100829999999</v>
      </c>
      <c r="H802">
        <v>1375.9906006000001</v>
      </c>
      <c r="I802">
        <v>1287.1290283000001</v>
      </c>
      <c r="J802">
        <v>1267.9030762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370.382858</v>
      </c>
      <c r="B803" s="1">
        <f>DATE(2011,5,6) + TIME(9,11,18)</f>
        <v>40669.382847222223</v>
      </c>
      <c r="C803">
        <v>80</v>
      </c>
      <c r="D803">
        <v>79.923820496000005</v>
      </c>
      <c r="E803">
        <v>50</v>
      </c>
      <c r="F803">
        <v>49.105285645000002</v>
      </c>
      <c r="G803">
        <v>1390.7315673999999</v>
      </c>
      <c r="H803">
        <v>1376.0373535000001</v>
      </c>
      <c r="I803">
        <v>1287.0714111</v>
      </c>
      <c r="J803">
        <v>1267.8442382999999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370.55555700000002</v>
      </c>
      <c r="B804" s="1">
        <f>DATE(2011,5,6) + TIME(13,20,0)</f>
        <v>40669.555555555555</v>
      </c>
      <c r="C804">
        <v>80</v>
      </c>
      <c r="D804">
        <v>79.926216124999996</v>
      </c>
      <c r="E804">
        <v>50</v>
      </c>
      <c r="F804">
        <v>49.085067748999997</v>
      </c>
      <c r="G804">
        <v>1390.7474365</v>
      </c>
      <c r="H804">
        <v>1376.0784911999999</v>
      </c>
      <c r="I804">
        <v>1287.0191649999999</v>
      </c>
      <c r="J804">
        <v>1267.7906493999999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370.735299</v>
      </c>
      <c r="B805" s="1">
        <f>DATE(2011,5,6) + TIME(17,38,49)</f>
        <v>40669.735289351855</v>
      </c>
      <c r="C805">
        <v>80</v>
      </c>
      <c r="D805">
        <v>79.928207396999994</v>
      </c>
      <c r="E805">
        <v>50</v>
      </c>
      <c r="F805">
        <v>49.064155579000001</v>
      </c>
      <c r="G805">
        <v>1390.7576904</v>
      </c>
      <c r="H805">
        <v>1376.1141356999999</v>
      </c>
      <c r="I805">
        <v>1286.972168</v>
      </c>
      <c r="J805">
        <v>1267.7423096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370.92274200000003</v>
      </c>
      <c r="B806" s="1">
        <f>DATE(2011,5,6) + TIME(22,8,44)</f>
        <v>40669.922731481478</v>
      </c>
      <c r="C806">
        <v>80</v>
      </c>
      <c r="D806">
        <v>79.929855347</v>
      </c>
      <c r="E806">
        <v>50</v>
      </c>
      <c r="F806">
        <v>49.042484283</v>
      </c>
      <c r="G806">
        <v>1390.7623291</v>
      </c>
      <c r="H806">
        <v>1376.1442870999999</v>
      </c>
      <c r="I806">
        <v>1286.9299315999999</v>
      </c>
      <c r="J806">
        <v>1267.6988524999999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371.11531500000001</v>
      </c>
      <c r="B807" s="1">
        <f>DATE(2011,5,7) + TIME(2,46,3)</f>
        <v>40670.115312499998</v>
      </c>
      <c r="C807">
        <v>80</v>
      </c>
      <c r="D807">
        <v>79.931190490999995</v>
      </c>
      <c r="E807">
        <v>50</v>
      </c>
      <c r="F807">
        <v>49.020298003999997</v>
      </c>
      <c r="G807">
        <v>1390.7602539</v>
      </c>
      <c r="H807">
        <v>1376.1678466999999</v>
      </c>
      <c r="I807">
        <v>1286.8929443</v>
      </c>
      <c r="J807">
        <v>1267.6604004000001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371.30931399999997</v>
      </c>
      <c r="B808" s="1">
        <f>DATE(2011,5,7) + TIME(7,25,24)</f>
        <v>40670.309305555558</v>
      </c>
      <c r="C808">
        <v>80</v>
      </c>
      <c r="D808">
        <v>79.932250976999995</v>
      </c>
      <c r="E808">
        <v>50</v>
      </c>
      <c r="F808">
        <v>48.997936248999999</v>
      </c>
      <c r="G808">
        <v>1390.7514647999999</v>
      </c>
      <c r="H808">
        <v>1376.1845702999999</v>
      </c>
      <c r="I808">
        <v>1286.8612060999999</v>
      </c>
      <c r="J808">
        <v>1267.6273193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371.505135</v>
      </c>
      <c r="B809" s="1">
        <f>DATE(2011,5,7) + TIME(12,7,23)</f>
        <v>40670.505127314813</v>
      </c>
      <c r="C809">
        <v>80</v>
      </c>
      <c r="D809">
        <v>79.933097838999998</v>
      </c>
      <c r="E809">
        <v>50</v>
      </c>
      <c r="F809">
        <v>48.975387572999999</v>
      </c>
      <c r="G809">
        <v>1390.7379149999999</v>
      </c>
      <c r="H809">
        <v>1376.1960449000001</v>
      </c>
      <c r="I809">
        <v>1286.8341064000001</v>
      </c>
      <c r="J809">
        <v>1267.5987548999999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371.70186000000001</v>
      </c>
      <c r="B810" s="1">
        <f>DATE(2011,5,7) + TIME(16,50,40)</f>
        <v>40670.701851851853</v>
      </c>
      <c r="C810">
        <v>80</v>
      </c>
      <c r="D810">
        <v>79.933761597</v>
      </c>
      <c r="E810">
        <v>50</v>
      </c>
      <c r="F810">
        <v>48.952751159999998</v>
      </c>
      <c r="G810">
        <v>1390.7198486</v>
      </c>
      <c r="H810">
        <v>1376.2022704999999</v>
      </c>
      <c r="I810">
        <v>1286.8112793</v>
      </c>
      <c r="J810">
        <v>1267.5744629000001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371.89986399999998</v>
      </c>
      <c r="B811" s="1">
        <f>DATE(2011,5,7) + TIME(21,35,48)</f>
        <v>40670.899861111109</v>
      </c>
      <c r="C811">
        <v>80</v>
      </c>
      <c r="D811">
        <v>79.934295653999996</v>
      </c>
      <c r="E811">
        <v>50</v>
      </c>
      <c r="F811">
        <v>48.930000305</v>
      </c>
      <c r="G811">
        <v>1390.6982422000001</v>
      </c>
      <c r="H811">
        <v>1376.2043457</v>
      </c>
      <c r="I811">
        <v>1286.7919922000001</v>
      </c>
      <c r="J811">
        <v>1267.5537108999999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372.09950900000001</v>
      </c>
      <c r="B812" s="1">
        <f>DATE(2011,5,8) + TIME(2,23,17)</f>
        <v>40671.099502314813</v>
      </c>
      <c r="C812">
        <v>80</v>
      </c>
      <c r="D812">
        <v>79.934715271000002</v>
      </c>
      <c r="E812">
        <v>50</v>
      </c>
      <c r="F812">
        <v>48.907123566000003</v>
      </c>
      <c r="G812">
        <v>1390.6730957</v>
      </c>
      <c r="H812">
        <v>1376.2025146000001</v>
      </c>
      <c r="I812">
        <v>1286.7758789</v>
      </c>
      <c r="J812">
        <v>1267.5361327999999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372.30115499999999</v>
      </c>
      <c r="B813" s="1">
        <f>DATE(2011,5,8) + TIME(7,13,39)</f>
        <v>40671.301145833335</v>
      </c>
      <c r="C813">
        <v>80</v>
      </c>
      <c r="D813">
        <v>79.935050963999998</v>
      </c>
      <c r="E813">
        <v>50</v>
      </c>
      <c r="F813">
        <v>48.884086609000001</v>
      </c>
      <c r="G813">
        <v>1390.6450195</v>
      </c>
      <c r="H813">
        <v>1376.1971435999999</v>
      </c>
      <c r="I813">
        <v>1286.7624512</v>
      </c>
      <c r="J813">
        <v>1267.5212402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372.50516499999998</v>
      </c>
      <c r="B814" s="1">
        <f>DATE(2011,5,8) + TIME(12,7,26)</f>
        <v>40671.505162037036</v>
      </c>
      <c r="C814">
        <v>80</v>
      </c>
      <c r="D814">
        <v>79.935317992999998</v>
      </c>
      <c r="E814">
        <v>50</v>
      </c>
      <c r="F814">
        <v>48.860866547000001</v>
      </c>
      <c r="G814">
        <v>1390.6141356999999</v>
      </c>
      <c r="H814">
        <v>1376.1884766000001</v>
      </c>
      <c r="I814">
        <v>1286.7514647999999</v>
      </c>
      <c r="J814">
        <v>1267.5087891000001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372.71191199999998</v>
      </c>
      <c r="B815" s="1">
        <f>DATE(2011,5,8) + TIME(17,5,9)</f>
        <v>40671.711909722224</v>
      </c>
      <c r="C815">
        <v>80</v>
      </c>
      <c r="D815">
        <v>79.935523986999996</v>
      </c>
      <c r="E815">
        <v>50</v>
      </c>
      <c r="F815">
        <v>48.837429047000001</v>
      </c>
      <c r="G815">
        <v>1390.5806885</v>
      </c>
      <c r="H815">
        <v>1376.1768798999999</v>
      </c>
      <c r="I815">
        <v>1286.7425536999999</v>
      </c>
      <c r="J815">
        <v>1267.4982910000001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372.92181799999997</v>
      </c>
      <c r="B816" s="1">
        <f>DATE(2011,5,8) + TIME(22,7,25)</f>
        <v>40671.921817129631</v>
      </c>
      <c r="C816">
        <v>80</v>
      </c>
      <c r="D816">
        <v>79.935684203999998</v>
      </c>
      <c r="E816">
        <v>50</v>
      </c>
      <c r="F816">
        <v>48.813743590999998</v>
      </c>
      <c r="G816">
        <v>1390.5446777</v>
      </c>
      <c r="H816">
        <v>1376.1625977000001</v>
      </c>
      <c r="I816">
        <v>1286.7353516000001</v>
      </c>
      <c r="J816">
        <v>1267.489624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373.13531599999999</v>
      </c>
      <c r="B817" s="1">
        <f>DATE(2011,5,9) + TIME(3,14,51)</f>
        <v>40672.135312500002</v>
      </c>
      <c r="C817">
        <v>80</v>
      </c>
      <c r="D817">
        <v>79.935806274000001</v>
      </c>
      <c r="E817">
        <v>50</v>
      </c>
      <c r="F817">
        <v>48.789764404000003</v>
      </c>
      <c r="G817">
        <v>1390.5063477000001</v>
      </c>
      <c r="H817">
        <v>1376.1456298999999</v>
      </c>
      <c r="I817">
        <v>1286.7297363</v>
      </c>
      <c r="J817">
        <v>1267.4824219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373.35277200000002</v>
      </c>
      <c r="B818" s="1">
        <f>DATE(2011,5,9) + TIME(8,27,59)</f>
        <v>40672.352766203701</v>
      </c>
      <c r="C818">
        <v>80</v>
      </c>
      <c r="D818">
        <v>79.935905457000004</v>
      </c>
      <c r="E818">
        <v>50</v>
      </c>
      <c r="F818">
        <v>48.765464782999999</v>
      </c>
      <c r="G818">
        <v>1390.4658202999999</v>
      </c>
      <c r="H818">
        <v>1376.1262207</v>
      </c>
      <c r="I818">
        <v>1286.7253418</v>
      </c>
      <c r="J818">
        <v>1267.4764404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373.57464099999999</v>
      </c>
      <c r="B819" s="1">
        <f>DATE(2011,5,9) + TIME(13,47,29)</f>
        <v>40672.574641203704</v>
      </c>
      <c r="C819">
        <v>80</v>
      </c>
      <c r="D819">
        <v>79.935974121000001</v>
      </c>
      <c r="E819">
        <v>50</v>
      </c>
      <c r="F819">
        <v>48.740798949999999</v>
      </c>
      <c r="G819">
        <v>1390.4230957</v>
      </c>
      <c r="H819">
        <v>1376.1043701000001</v>
      </c>
      <c r="I819">
        <v>1286.7220459</v>
      </c>
      <c r="J819">
        <v>1267.4715576000001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373.80141300000003</v>
      </c>
      <c r="B820" s="1">
        <f>DATE(2011,5,9) + TIME(19,14,2)</f>
        <v>40672.801412037035</v>
      </c>
      <c r="C820">
        <v>80</v>
      </c>
      <c r="D820">
        <v>79.936019896999994</v>
      </c>
      <c r="E820">
        <v>50</v>
      </c>
      <c r="F820">
        <v>48.715724944999998</v>
      </c>
      <c r="G820">
        <v>1390.3782959</v>
      </c>
      <c r="H820">
        <v>1376.0803223</v>
      </c>
      <c r="I820">
        <v>1286.7197266000001</v>
      </c>
      <c r="J820">
        <v>1267.4674072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374.033615</v>
      </c>
      <c r="B821" s="1">
        <f>DATE(2011,5,10) + TIME(0,48,24)</f>
        <v>40673.03361111111</v>
      </c>
      <c r="C821">
        <v>80</v>
      </c>
      <c r="D821">
        <v>79.936058044000006</v>
      </c>
      <c r="E821">
        <v>50</v>
      </c>
      <c r="F821">
        <v>48.690193176000001</v>
      </c>
      <c r="G821">
        <v>1390.3314209</v>
      </c>
      <c r="H821">
        <v>1376.0541992000001</v>
      </c>
      <c r="I821">
        <v>1286.7180175999999</v>
      </c>
      <c r="J821">
        <v>1267.4641113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374.27027199999998</v>
      </c>
      <c r="B822" s="1">
        <f>DATE(2011,5,10) + TIME(6,29,11)</f>
        <v>40673.270266203705</v>
      </c>
      <c r="C822">
        <v>80</v>
      </c>
      <c r="D822">
        <v>79.936073303000001</v>
      </c>
      <c r="E822">
        <v>50</v>
      </c>
      <c r="F822">
        <v>48.664283752000003</v>
      </c>
      <c r="G822">
        <v>1390.2823486</v>
      </c>
      <c r="H822">
        <v>1376.0257568</v>
      </c>
      <c r="I822">
        <v>1286.7170410000001</v>
      </c>
      <c r="J822">
        <v>1267.4614257999999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374.510873</v>
      </c>
      <c r="B823" s="1">
        <f>DATE(2011,5,10) + TIME(12,15,39)</f>
        <v>40673.510868055557</v>
      </c>
      <c r="C823">
        <v>80</v>
      </c>
      <c r="D823">
        <v>79.936073303000001</v>
      </c>
      <c r="E823">
        <v>50</v>
      </c>
      <c r="F823">
        <v>48.63804245</v>
      </c>
      <c r="G823">
        <v>1390.2315673999999</v>
      </c>
      <c r="H823">
        <v>1375.9954834</v>
      </c>
      <c r="I823">
        <v>1286.7164307</v>
      </c>
      <c r="J823">
        <v>1267.4589844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374.75586399999997</v>
      </c>
      <c r="B824" s="1">
        <f>DATE(2011,5,10) + TIME(18,8,26)</f>
        <v>40673.755856481483</v>
      </c>
      <c r="C824">
        <v>80</v>
      </c>
      <c r="D824">
        <v>79.936065674000005</v>
      </c>
      <c r="E824">
        <v>50</v>
      </c>
      <c r="F824">
        <v>48.611434936999999</v>
      </c>
      <c r="G824">
        <v>1390.1791992000001</v>
      </c>
      <c r="H824">
        <v>1375.9633789</v>
      </c>
      <c r="I824">
        <v>1286.7160644999999</v>
      </c>
      <c r="J824">
        <v>1267.4569091999999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375.00570900000002</v>
      </c>
      <c r="B825" s="1">
        <f>DATE(2011,5,11) + TIME(0,8,13)</f>
        <v>40674.005706018521</v>
      </c>
      <c r="C825">
        <v>80</v>
      </c>
      <c r="D825">
        <v>79.936050414999997</v>
      </c>
      <c r="E825">
        <v>50</v>
      </c>
      <c r="F825">
        <v>48.584423065000003</v>
      </c>
      <c r="G825">
        <v>1390.1254882999999</v>
      </c>
      <c r="H825">
        <v>1375.9298096</v>
      </c>
      <c r="I825">
        <v>1286.7160644999999</v>
      </c>
      <c r="J825">
        <v>1267.4550781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375.26091400000001</v>
      </c>
      <c r="B826" s="1">
        <f>DATE(2011,5,11) + TIME(6,15,43)</f>
        <v>40674.260914351849</v>
      </c>
      <c r="C826">
        <v>80</v>
      </c>
      <c r="D826">
        <v>79.936027526999993</v>
      </c>
      <c r="E826">
        <v>50</v>
      </c>
      <c r="F826">
        <v>48.556972504000001</v>
      </c>
      <c r="G826">
        <v>1390.0703125</v>
      </c>
      <c r="H826">
        <v>1375.8945312000001</v>
      </c>
      <c r="I826">
        <v>1286.7160644999999</v>
      </c>
      <c r="J826">
        <v>1267.4532471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375.52204</v>
      </c>
      <c r="B827" s="1">
        <f>DATE(2011,5,11) + TIME(12,31,44)</f>
        <v>40674.522037037037</v>
      </c>
      <c r="C827">
        <v>80</v>
      </c>
      <c r="D827">
        <v>79.936004639000004</v>
      </c>
      <c r="E827">
        <v>50</v>
      </c>
      <c r="F827">
        <v>48.529033661</v>
      </c>
      <c r="G827">
        <v>1390.0137939000001</v>
      </c>
      <c r="H827">
        <v>1375.8579102000001</v>
      </c>
      <c r="I827">
        <v>1286.7161865</v>
      </c>
      <c r="J827">
        <v>1267.4514160000001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375.78970299999997</v>
      </c>
      <c r="B828" s="1">
        <f>DATE(2011,5,11) + TIME(18,57,10)</f>
        <v>40674.789699074077</v>
      </c>
      <c r="C828">
        <v>80</v>
      </c>
      <c r="D828">
        <v>79.935966492000006</v>
      </c>
      <c r="E828">
        <v>50</v>
      </c>
      <c r="F828">
        <v>48.500556946000003</v>
      </c>
      <c r="G828">
        <v>1389.9558105000001</v>
      </c>
      <c r="H828">
        <v>1375.8195800999999</v>
      </c>
      <c r="I828">
        <v>1286.7161865</v>
      </c>
      <c r="J828">
        <v>1267.4493408000001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376.06458800000001</v>
      </c>
      <c r="B829" s="1">
        <f>DATE(2011,5,12) + TIME(1,33,0)</f>
        <v>40675.064583333333</v>
      </c>
      <c r="C829">
        <v>80</v>
      </c>
      <c r="D829">
        <v>79.935928344999994</v>
      </c>
      <c r="E829">
        <v>50</v>
      </c>
      <c r="F829">
        <v>48.471485137999998</v>
      </c>
      <c r="G829">
        <v>1389.8962402</v>
      </c>
      <c r="H829">
        <v>1375.7797852000001</v>
      </c>
      <c r="I829">
        <v>1286.7159423999999</v>
      </c>
      <c r="J829">
        <v>1267.4472656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376.34746100000001</v>
      </c>
      <c r="B830" s="1">
        <f>DATE(2011,5,12) + TIME(8,20,20)</f>
        <v>40675.347453703704</v>
      </c>
      <c r="C830">
        <v>80</v>
      </c>
      <c r="D830">
        <v>79.935882567999997</v>
      </c>
      <c r="E830">
        <v>50</v>
      </c>
      <c r="F830">
        <v>48.441749573000003</v>
      </c>
      <c r="G830">
        <v>1389.8352050999999</v>
      </c>
      <c r="H830">
        <v>1375.7385254000001</v>
      </c>
      <c r="I830">
        <v>1286.7155762</v>
      </c>
      <c r="J830">
        <v>1267.4448242000001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376.63918699999999</v>
      </c>
      <c r="B831" s="1">
        <f>DATE(2011,5,12) + TIME(15,20,25)</f>
        <v>40675.639178240737</v>
      </c>
      <c r="C831">
        <v>80</v>
      </c>
      <c r="D831">
        <v>79.935836792000003</v>
      </c>
      <c r="E831">
        <v>50</v>
      </c>
      <c r="F831">
        <v>48.411281586000001</v>
      </c>
      <c r="G831">
        <v>1389.7725829999999</v>
      </c>
      <c r="H831">
        <v>1375.6955565999999</v>
      </c>
      <c r="I831">
        <v>1286.7149658000001</v>
      </c>
      <c r="J831">
        <v>1267.4420166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376.94092699999999</v>
      </c>
      <c r="B832" s="1">
        <f>DATE(2011,5,12) + TIME(22,34,56)</f>
        <v>40675.940925925926</v>
      </c>
      <c r="C832">
        <v>80</v>
      </c>
      <c r="D832">
        <v>79.935791015999996</v>
      </c>
      <c r="E832">
        <v>50</v>
      </c>
      <c r="F832">
        <v>48.379985808999997</v>
      </c>
      <c r="G832">
        <v>1389.7082519999999</v>
      </c>
      <c r="H832">
        <v>1375.651001</v>
      </c>
      <c r="I832">
        <v>1286.7138672000001</v>
      </c>
      <c r="J832">
        <v>1267.4387207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377.25215900000001</v>
      </c>
      <c r="B833" s="1">
        <f>DATE(2011,5,13) + TIME(6,3,6)</f>
        <v>40676.252152777779</v>
      </c>
      <c r="C833">
        <v>80</v>
      </c>
      <c r="D833">
        <v>79.935737610000004</v>
      </c>
      <c r="E833">
        <v>50</v>
      </c>
      <c r="F833">
        <v>48.347888947000001</v>
      </c>
      <c r="G833">
        <v>1389.6419678</v>
      </c>
      <c r="H833">
        <v>1375.6047363</v>
      </c>
      <c r="I833">
        <v>1286.7124022999999</v>
      </c>
      <c r="J833">
        <v>1267.4350586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377.56704200000001</v>
      </c>
      <c r="B834" s="1">
        <f>DATE(2011,5,13) + TIME(13,36,32)</f>
        <v>40676.567037037035</v>
      </c>
      <c r="C834">
        <v>80</v>
      </c>
      <c r="D834">
        <v>79.935676575000002</v>
      </c>
      <c r="E834">
        <v>50</v>
      </c>
      <c r="F834">
        <v>48.315422058000003</v>
      </c>
      <c r="G834">
        <v>1389.5742187999999</v>
      </c>
      <c r="H834">
        <v>1375.5568848</v>
      </c>
      <c r="I834">
        <v>1286.7103271000001</v>
      </c>
      <c r="J834">
        <v>1267.4306641000001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377.88370500000002</v>
      </c>
      <c r="B835" s="1">
        <f>DATE(2011,5,13) + TIME(21,12,32)</f>
        <v>40676.883703703701</v>
      </c>
      <c r="C835">
        <v>80</v>
      </c>
      <c r="D835">
        <v>79.935623168999996</v>
      </c>
      <c r="E835">
        <v>50</v>
      </c>
      <c r="F835">
        <v>48.282768249999997</v>
      </c>
      <c r="G835">
        <v>1389.5061035000001</v>
      </c>
      <c r="H835">
        <v>1375.5084228999999</v>
      </c>
      <c r="I835">
        <v>1286.7077637</v>
      </c>
      <c r="J835">
        <v>1267.4256591999999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378.20241399999998</v>
      </c>
      <c r="B836" s="1">
        <f>DATE(2011,5,14) + TIME(4,51,28)</f>
        <v>40677.202407407407</v>
      </c>
      <c r="C836">
        <v>80</v>
      </c>
      <c r="D836">
        <v>79.935562133999994</v>
      </c>
      <c r="E836">
        <v>50</v>
      </c>
      <c r="F836">
        <v>48.249954224</v>
      </c>
      <c r="G836">
        <v>1389.4381103999999</v>
      </c>
      <c r="H836">
        <v>1375.4595947</v>
      </c>
      <c r="I836">
        <v>1286.7045897999999</v>
      </c>
      <c r="J836">
        <v>1267.4202881000001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378.52378299999998</v>
      </c>
      <c r="B837" s="1">
        <f>DATE(2011,5,14) + TIME(12,34,14)</f>
        <v>40677.523773148147</v>
      </c>
      <c r="C837">
        <v>80</v>
      </c>
      <c r="D837">
        <v>79.935501099000007</v>
      </c>
      <c r="E837">
        <v>50</v>
      </c>
      <c r="F837">
        <v>48.216968536000003</v>
      </c>
      <c r="G837">
        <v>1389.3703613</v>
      </c>
      <c r="H837">
        <v>1375.4105225000001</v>
      </c>
      <c r="I837">
        <v>1286.7010498</v>
      </c>
      <c r="J837">
        <v>1267.4143065999999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378.84842200000003</v>
      </c>
      <c r="B838" s="1">
        <f>DATE(2011,5,14) + TIME(20,21,43)</f>
        <v>40677.848414351851</v>
      </c>
      <c r="C838">
        <v>80</v>
      </c>
      <c r="D838">
        <v>79.935447693</v>
      </c>
      <c r="E838">
        <v>50</v>
      </c>
      <c r="F838">
        <v>48.183784484999997</v>
      </c>
      <c r="G838">
        <v>1389.3026123</v>
      </c>
      <c r="H838">
        <v>1375.3612060999999</v>
      </c>
      <c r="I838">
        <v>1286.6970214999999</v>
      </c>
      <c r="J838">
        <v>1267.4078368999999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379.17695800000001</v>
      </c>
      <c r="B839" s="1">
        <f>DATE(2011,5,15) + TIME(4,14,49)</f>
        <v>40678.17695601852</v>
      </c>
      <c r="C839">
        <v>80</v>
      </c>
      <c r="D839">
        <v>79.935386657999999</v>
      </c>
      <c r="E839">
        <v>50</v>
      </c>
      <c r="F839">
        <v>48.150363921999997</v>
      </c>
      <c r="G839">
        <v>1389.2349853999999</v>
      </c>
      <c r="H839">
        <v>1375.3116454999999</v>
      </c>
      <c r="I839">
        <v>1286.6925048999999</v>
      </c>
      <c r="J839">
        <v>1267.4008789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379.51018299999998</v>
      </c>
      <c r="B840" s="1">
        <f>DATE(2011,5,15) + TIME(12,14,39)</f>
        <v>40678.51017361111</v>
      </c>
      <c r="C840">
        <v>80</v>
      </c>
      <c r="D840">
        <v>79.935325622999997</v>
      </c>
      <c r="E840">
        <v>50</v>
      </c>
      <c r="F840">
        <v>48.116661071999999</v>
      </c>
      <c r="G840">
        <v>1389.1672363</v>
      </c>
      <c r="H840">
        <v>1375.2617187999999</v>
      </c>
      <c r="I840">
        <v>1286.6875</v>
      </c>
      <c r="J840">
        <v>1267.3933105000001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379.84864399999998</v>
      </c>
      <c r="B841" s="1">
        <f>DATE(2011,5,15) + TIME(20,22,2)</f>
        <v>40678.848634259259</v>
      </c>
      <c r="C841">
        <v>80</v>
      </c>
      <c r="D841">
        <v>79.935272217000005</v>
      </c>
      <c r="E841">
        <v>50</v>
      </c>
      <c r="F841">
        <v>48.082630156999997</v>
      </c>
      <c r="G841">
        <v>1389.0993652</v>
      </c>
      <c r="H841">
        <v>1375.2114257999999</v>
      </c>
      <c r="I841">
        <v>1286.6820068</v>
      </c>
      <c r="J841">
        <v>1267.3852539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380.19304599999998</v>
      </c>
      <c r="B842" s="1">
        <f>DATE(2011,5,16) + TIME(4,37,59)</f>
        <v>40679.193043981482</v>
      </c>
      <c r="C842">
        <v>80</v>
      </c>
      <c r="D842">
        <v>79.935211182000003</v>
      </c>
      <c r="E842">
        <v>50</v>
      </c>
      <c r="F842">
        <v>48.048221587999997</v>
      </c>
      <c r="G842">
        <v>1389.03125</v>
      </c>
      <c r="H842">
        <v>1375.1606445</v>
      </c>
      <c r="I842">
        <v>1286.6760254000001</v>
      </c>
      <c r="J842">
        <v>1267.3767089999999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380.544151</v>
      </c>
      <c r="B843" s="1">
        <f>DATE(2011,5,16) + TIME(13,3,34)</f>
        <v>40679.54414351852</v>
      </c>
      <c r="C843">
        <v>80</v>
      </c>
      <c r="D843">
        <v>79.935157775999997</v>
      </c>
      <c r="E843">
        <v>50</v>
      </c>
      <c r="F843">
        <v>48.013370514000002</v>
      </c>
      <c r="G843">
        <v>1388.9627685999999</v>
      </c>
      <c r="H843">
        <v>1375.109375</v>
      </c>
      <c r="I843">
        <v>1286.6695557</v>
      </c>
      <c r="J843">
        <v>1267.3675536999999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380.90277300000002</v>
      </c>
      <c r="B844" s="1">
        <f>DATE(2011,5,16) + TIME(21,39,59)</f>
        <v>40679.902766203704</v>
      </c>
      <c r="C844">
        <v>80</v>
      </c>
      <c r="D844">
        <v>79.935096740999995</v>
      </c>
      <c r="E844">
        <v>50</v>
      </c>
      <c r="F844">
        <v>47.978019713999998</v>
      </c>
      <c r="G844">
        <v>1388.8937988</v>
      </c>
      <c r="H844">
        <v>1375.0574951000001</v>
      </c>
      <c r="I844">
        <v>1286.6624756000001</v>
      </c>
      <c r="J844">
        <v>1267.3577881000001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381.26980200000003</v>
      </c>
      <c r="B845" s="1">
        <f>DATE(2011,5,17) + TIME(6,28,30)</f>
        <v>40680.269791666666</v>
      </c>
      <c r="C845">
        <v>80</v>
      </c>
      <c r="D845">
        <v>79.935043335000003</v>
      </c>
      <c r="E845">
        <v>50</v>
      </c>
      <c r="F845">
        <v>47.942096710000001</v>
      </c>
      <c r="G845">
        <v>1388.8243408000001</v>
      </c>
      <c r="H845">
        <v>1375.0048827999999</v>
      </c>
      <c r="I845">
        <v>1286.6549072</v>
      </c>
      <c r="J845">
        <v>1267.3474120999999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381.646207</v>
      </c>
      <c r="B846" s="1">
        <f>DATE(2011,5,17) + TIME(15,30,32)</f>
        <v>40680.646203703705</v>
      </c>
      <c r="C846">
        <v>80</v>
      </c>
      <c r="D846">
        <v>79.934989928999997</v>
      </c>
      <c r="E846">
        <v>50</v>
      </c>
      <c r="F846">
        <v>47.905525208</v>
      </c>
      <c r="G846">
        <v>1388.7541504000001</v>
      </c>
      <c r="H846">
        <v>1374.9516602000001</v>
      </c>
      <c r="I846">
        <v>1286.6467285000001</v>
      </c>
      <c r="J846">
        <v>1267.3363036999999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382.02726200000001</v>
      </c>
      <c r="B847" s="1">
        <f>DATE(2011,5,18) + TIME(0,39,15)</f>
        <v>40681.027256944442</v>
      </c>
      <c r="C847">
        <v>80</v>
      </c>
      <c r="D847">
        <v>79.934936523000005</v>
      </c>
      <c r="E847">
        <v>50</v>
      </c>
      <c r="F847">
        <v>47.868602752999998</v>
      </c>
      <c r="G847">
        <v>1388.6833495999999</v>
      </c>
      <c r="H847">
        <v>1374.8977050999999</v>
      </c>
      <c r="I847">
        <v>1286.6379394999999</v>
      </c>
      <c r="J847">
        <v>1267.324707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382.41318799999999</v>
      </c>
      <c r="B848" s="1">
        <f>DATE(2011,5,18) + TIME(9,54,59)</f>
        <v>40681.413182870368</v>
      </c>
      <c r="C848">
        <v>80</v>
      </c>
      <c r="D848">
        <v>79.934883118000002</v>
      </c>
      <c r="E848">
        <v>50</v>
      </c>
      <c r="F848">
        <v>47.831348419000001</v>
      </c>
      <c r="G848">
        <v>1388.6126709</v>
      </c>
      <c r="H848">
        <v>1374.8435059000001</v>
      </c>
      <c r="I848">
        <v>1286.6286620999999</v>
      </c>
      <c r="J848">
        <v>1267.3123779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382.80462799999998</v>
      </c>
      <c r="B849" s="1">
        <f>DATE(2011,5,18) + TIME(19,18,39)</f>
        <v>40681.804618055554</v>
      </c>
      <c r="C849">
        <v>80</v>
      </c>
      <c r="D849">
        <v>79.934829711999996</v>
      </c>
      <c r="E849">
        <v>50</v>
      </c>
      <c r="F849">
        <v>47.793750762999998</v>
      </c>
      <c r="G849">
        <v>1388.5419922000001</v>
      </c>
      <c r="H849">
        <v>1374.7890625</v>
      </c>
      <c r="I849">
        <v>1286.6190185999999</v>
      </c>
      <c r="J849">
        <v>1267.2996826000001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383.20230900000001</v>
      </c>
      <c r="B850" s="1">
        <f>DATE(2011,5,19) + TIME(4,51,19)</f>
        <v>40682.202303240738</v>
      </c>
      <c r="C850">
        <v>80</v>
      </c>
      <c r="D850">
        <v>79.934776306000003</v>
      </c>
      <c r="E850">
        <v>50</v>
      </c>
      <c r="F850">
        <v>47.755771637000002</v>
      </c>
      <c r="G850">
        <v>1388.4713135</v>
      </c>
      <c r="H850">
        <v>1374.7346190999999</v>
      </c>
      <c r="I850">
        <v>1286.6087646000001</v>
      </c>
      <c r="J850">
        <v>1267.2863769999999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383.60702099999997</v>
      </c>
      <c r="B851" s="1">
        <f>DATE(2011,5,19) + TIME(14,34,6)</f>
        <v>40682.60701388889</v>
      </c>
      <c r="C851">
        <v>80</v>
      </c>
      <c r="D851">
        <v>79.934722899999997</v>
      </c>
      <c r="E851">
        <v>50</v>
      </c>
      <c r="F851">
        <v>47.717365264999998</v>
      </c>
      <c r="G851">
        <v>1388.4005127</v>
      </c>
      <c r="H851">
        <v>1374.6796875</v>
      </c>
      <c r="I851">
        <v>1286.5981445</v>
      </c>
      <c r="J851">
        <v>1267.2724608999999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384.019633</v>
      </c>
      <c r="B852" s="1">
        <f>DATE(2011,5,20) + TIME(0,28,16)</f>
        <v>40683.019629629627</v>
      </c>
      <c r="C852">
        <v>80</v>
      </c>
      <c r="D852">
        <v>79.934677124000004</v>
      </c>
      <c r="E852">
        <v>50</v>
      </c>
      <c r="F852">
        <v>47.678474426000001</v>
      </c>
      <c r="G852">
        <v>1388.3295897999999</v>
      </c>
      <c r="H852">
        <v>1374.6245117000001</v>
      </c>
      <c r="I852">
        <v>1286.5869141000001</v>
      </c>
      <c r="J852">
        <v>1267.2580565999999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384.44109099999997</v>
      </c>
      <c r="B853" s="1">
        <f>DATE(2011,5,20) + TIME(10,35,10)</f>
        <v>40683.441087962965</v>
      </c>
      <c r="C853">
        <v>80</v>
      </c>
      <c r="D853">
        <v>79.934623717999997</v>
      </c>
      <c r="E853">
        <v>50</v>
      </c>
      <c r="F853">
        <v>47.639038085999999</v>
      </c>
      <c r="G853">
        <v>1388.2583007999999</v>
      </c>
      <c r="H853">
        <v>1374.5688477000001</v>
      </c>
      <c r="I853">
        <v>1286.5751952999999</v>
      </c>
      <c r="J853">
        <v>1267.2430420000001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384.87244299999998</v>
      </c>
      <c r="B854" s="1">
        <f>DATE(2011,5,20) + TIME(20,56,19)</f>
        <v>40683.872442129628</v>
      </c>
      <c r="C854">
        <v>80</v>
      </c>
      <c r="D854">
        <v>79.934577942000004</v>
      </c>
      <c r="E854">
        <v>50</v>
      </c>
      <c r="F854">
        <v>47.59897995</v>
      </c>
      <c r="G854">
        <v>1388.1866454999999</v>
      </c>
      <c r="H854">
        <v>1374.5126952999999</v>
      </c>
      <c r="I854">
        <v>1286.5629882999999</v>
      </c>
      <c r="J854">
        <v>1267.2274170000001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385.314865</v>
      </c>
      <c r="B855" s="1">
        <f>DATE(2011,5,21) + TIME(7,33,24)</f>
        <v>40684.31486111111</v>
      </c>
      <c r="C855">
        <v>80</v>
      </c>
      <c r="D855">
        <v>79.934532165999997</v>
      </c>
      <c r="E855">
        <v>50</v>
      </c>
      <c r="F855">
        <v>47.558219909999998</v>
      </c>
      <c r="G855">
        <v>1388.1143798999999</v>
      </c>
      <c r="H855">
        <v>1374.4559326000001</v>
      </c>
      <c r="I855">
        <v>1286.550293</v>
      </c>
      <c r="J855">
        <v>1267.2110596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385.76692700000001</v>
      </c>
      <c r="B856" s="1">
        <f>DATE(2011,5,21) + TIME(18,24,22)</f>
        <v>40684.766921296294</v>
      </c>
      <c r="C856">
        <v>80</v>
      </c>
      <c r="D856">
        <v>79.934486389</v>
      </c>
      <c r="E856">
        <v>50</v>
      </c>
      <c r="F856">
        <v>47.516822814999998</v>
      </c>
      <c r="G856">
        <v>1388.0415039</v>
      </c>
      <c r="H856">
        <v>1374.3984375</v>
      </c>
      <c r="I856">
        <v>1286.5368652</v>
      </c>
      <c r="J856">
        <v>1267.1939697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386.224852</v>
      </c>
      <c r="B857" s="1">
        <f>DATE(2011,5,22) + TIME(5,23,47)</f>
        <v>40685.224849537037</v>
      </c>
      <c r="C857">
        <v>80</v>
      </c>
      <c r="D857">
        <v>79.934448242000002</v>
      </c>
      <c r="E857">
        <v>50</v>
      </c>
      <c r="F857">
        <v>47.475017547999997</v>
      </c>
      <c r="G857">
        <v>1387.9682617000001</v>
      </c>
      <c r="H857">
        <v>1374.3405762</v>
      </c>
      <c r="I857">
        <v>1286.5229492000001</v>
      </c>
      <c r="J857">
        <v>1267.1763916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386.68562900000001</v>
      </c>
      <c r="B858" s="1">
        <f>DATE(2011,5,22) + TIME(16,27,18)</f>
        <v>40685.685624999998</v>
      </c>
      <c r="C858">
        <v>80</v>
      </c>
      <c r="D858">
        <v>79.934402465999995</v>
      </c>
      <c r="E858">
        <v>50</v>
      </c>
      <c r="F858">
        <v>47.433032990000001</v>
      </c>
      <c r="G858">
        <v>1387.8953856999999</v>
      </c>
      <c r="H858">
        <v>1374.2827147999999</v>
      </c>
      <c r="I858">
        <v>1286.5085449000001</v>
      </c>
      <c r="J858">
        <v>1267.1582031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387.150172</v>
      </c>
      <c r="B859" s="1">
        <f>DATE(2011,5,23) + TIME(3,36,14)</f>
        <v>40686.15016203704</v>
      </c>
      <c r="C859">
        <v>80</v>
      </c>
      <c r="D859">
        <v>79.934356688999998</v>
      </c>
      <c r="E859">
        <v>50</v>
      </c>
      <c r="F859">
        <v>47.390888214</v>
      </c>
      <c r="G859">
        <v>1387.8231201000001</v>
      </c>
      <c r="H859">
        <v>1374.2252197</v>
      </c>
      <c r="I859">
        <v>1286.4938964999999</v>
      </c>
      <c r="J859">
        <v>1267.1395264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387.61939100000001</v>
      </c>
      <c r="B860" s="1">
        <f>DATE(2011,5,23) + TIME(14,51,55)</f>
        <v>40686.619386574072</v>
      </c>
      <c r="C860">
        <v>80</v>
      </c>
      <c r="D860">
        <v>79.934318542</v>
      </c>
      <c r="E860">
        <v>50</v>
      </c>
      <c r="F860">
        <v>47.348556518999999</v>
      </c>
      <c r="G860">
        <v>1387.7512207</v>
      </c>
      <c r="H860">
        <v>1374.1678466999999</v>
      </c>
      <c r="I860">
        <v>1286.4787598</v>
      </c>
      <c r="J860">
        <v>1267.1204834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388.09427099999999</v>
      </c>
      <c r="B861" s="1">
        <f>DATE(2011,5,24) + TIME(2,15,45)</f>
        <v>40687.094270833331</v>
      </c>
      <c r="C861">
        <v>80</v>
      </c>
      <c r="D861">
        <v>79.934280396000005</v>
      </c>
      <c r="E861">
        <v>50</v>
      </c>
      <c r="F861">
        <v>47.305999755999999</v>
      </c>
      <c r="G861">
        <v>1387.6799315999999</v>
      </c>
      <c r="H861">
        <v>1374.1105957</v>
      </c>
      <c r="I861">
        <v>1286.4633789</v>
      </c>
      <c r="J861">
        <v>1267.1010742000001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388.57593800000001</v>
      </c>
      <c r="B862" s="1">
        <f>DATE(2011,5,24) + TIME(13,49,21)</f>
        <v>40687.575937499998</v>
      </c>
      <c r="C862">
        <v>80</v>
      </c>
      <c r="D862">
        <v>79.934249878000003</v>
      </c>
      <c r="E862">
        <v>50</v>
      </c>
      <c r="F862">
        <v>47.263156891000001</v>
      </c>
      <c r="G862">
        <v>1387.6087646000001</v>
      </c>
      <c r="H862">
        <v>1374.0534668</v>
      </c>
      <c r="I862">
        <v>1286.4475098</v>
      </c>
      <c r="J862">
        <v>1267.0810547000001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389.06524999999999</v>
      </c>
      <c r="B863" s="1">
        <f>DATE(2011,5,25) + TIME(1,33,57)</f>
        <v>40688.065243055556</v>
      </c>
      <c r="C863">
        <v>80</v>
      </c>
      <c r="D863">
        <v>79.934211731000005</v>
      </c>
      <c r="E863">
        <v>50</v>
      </c>
      <c r="F863">
        <v>47.219966888000002</v>
      </c>
      <c r="G863">
        <v>1387.5377197</v>
      </c>
      <c r="H863">
        <v>1373.9962158000001</v>
      </c>
      <c r="I863">
        <v>1286.4312743999999</v>
      </c>
      <c r="J863">
        <v>1267.0605469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389.56330800000001</v>
      </c>
      <c r="B864" s="1">
        <f>DATE(2011,5,25) + TIME(13,31,9)</f>
        <v>40688.563298611109</v>
      </c>
      <c r="C864">
        <v>80</v>
      </c>
      <c r="D864">
        <v>79.934181213000002</v>
      </c>
      <c r="E864">
        <v>50</v>
      </c>
      <c r="F864">
        <v>47.176361084</v>
      </c>
      <c r="G864">
        <v>1387.4666748</v>
      </c>
      <c r="H864">
        <v>1373.9388428</v>
      </c>
      <c r="I864">
        <v>1286.4145507999999</v>
      </c>
      <c r="J864">
        <v>1267.0394286999999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390.071302</v>
      </c>
      <c r="B865" s="1">
        <f>DATE(2011,5,26) + TIME(1,42,40)</f>
        <v>40689.071296296293</v>
      </c>
      <c r="C865">
        <v>80</v>
      </c>
      <c r="D865">
        <v>79.934150696000003</v>
      </c>
      <c r="E865">
        <v>50</v>
      </c>
      <c r="F865">
        <v>47.132255553999997</v>
      </c>
      <c r="G865">
        <v>1387.3955077999999</v>
      </c>
      <c r="H865">
        <v>1373.8811035000001</v>
      </c>
      <c r="I865">
        <v>1286.3973389</v>
      </c>
      <c r="J865">
        <v>1267.0177002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390.590507</v>
      </c>
      <c r="B866" s="1">
        <f>DATE(2011,5,26) + TIME(14,10,19)</f>
        <v>40689.590497685182</v>
      </c>
      <c r="C866">
        <v>80</v>
      </c>
      <c r="D866">
        <v>79.934120178000001</v>
      </c>
      <c r="E866">
        <v>50</v>
      </c>
      <c r="F866">
        <v>47.087566375999998</v>
      </c>
      <c r="G866">
        <v>1387.3239745999999</v>
      </c>
      <c r="H866">
        <v>1373.8229980000001</v>
      </c>
      <c r="I866">
        <v>1286.3796387</v>
      </c>
      <c r="J866">
        <v>1266.9952393000001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391.12232499999999</v>
      </c>
      <c r="B867" s="1">
        <f>DATE(2011,5,27) + TIME(2,56,8)</f>
        <v>40690.122314814813</v>
      </c>
      <c r="C867">
        <v>80</v>
      </c>
      <c r="D867">
        <v>79.934089661000002</v>
      </c>
      <c r="E867">
        <v>50</v>
      </c>
      <c r="F867">
        <v>47.042190552000001</v>
      </c>
      <c r="G867">
        <v>1387.2521973</v>
      </c>
      <c r="H867">
        <v>1373.7644043</v>
      </c>
      <c r="I867">
        <v>1286.3612060999999</v>
      </c>
      <c r="J867">
        <v>1266.9720459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391.66828900000002</v>
      </c>
      <c r="B868" s="1">
        <f>DATE(2011,5,27) + TIME(16,2,20)</f>
        <v>40690.668287037035</v>
      </c>
      <c r="C868">
        <v>80</v>
      </c>
      <c r="D868">
        <v>79.934066771999994</v>
      </c>
      <c r="E868">
        <v>50</v>
      </c>
      <c r="F868">
        <v>46.996032714999998</v>
      </c>
      <c r="G868">
        <v>1387.1796875</v>
      </c>
      <c r="H868">
        <v>1373.7052002</v>
      </c>
      <c r="I868">
        <v>1286.3422852000001</v>
      </c>
      <c r="J868">
        <v>1266.9479980000001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392.22940699999998</v>
      </c>
      <c r="B869" s="1">
        <f>DATE(2011,5,28) + TIME(5,30,20)</f>
        <v>40691.229398148149</v>
      </c>
      <c r="C869">
        <v>80</v>
      </c>
      <c r="D869">
        <v>79.934036254999995</v>
      </c>
      <c r="E869">
        <v>50</v>
      </c>
      <c r="F869">
        <v>46.949008941999999</v>
      </c>
      <c r="G869">
        <v>1387.1064452999999</v>
      </c>
      <c r="H869">
        <v>1373.6452637</v>
      </c>
      <c r="I869">
        <v>1286.3225098</v>
      </c>
      <c r="J869">
        <v>1266.9230957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392.79311000000001</v>
      </c>
      <c r="B870" s="1">
        <f>DATE(2011,5,28) + TIME(19,2,4)</f>
        <v>40691.79310185185</v>
      </c>
      <c r="C870">
        <v>80</v>
      </c>
      <c r="D870">
        <v>79.934013367000006</v>
      </c>
      <c r="E870">
        <v>50</v>
      </c>
      <c r="F870">
        <v>46.901721954000003</v>
      </c>
      <c r="G870">
        <v>1387.0329589999999</v>
      </c>
      <c r="H870">
        <v>1373.5848389</v>
      </c>
      <c r="I870">
        <v>1286.3020019999999</v>
      </c>
      <c r="J870">
        <v>1266.8972168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393.36040600000001</v>
      </c>
      <c r="B871" s="1">
        <f>DATE(2011,5,29) + TIME(8,38,59)</f>
        <v>40692.360405092593</v>
      </c>
      <c r="C871">
        <v>80</v>
      </c>
      <c r="D871">
        <v>79.933990479000002</v>
      </c>
      <c r="E871">
        <v>50</v>
      </c>
      <c r="F871">
        <v>46.854278563999998</v>
      </c>
      <c r="G871">
        <v>1386.9599608999999</v>
      </c>
      <c r="H871">
        <v>1373.5249022999999</v>
      </c>
      <c r="I871">
        <v>1286.2811279</v>
      </c>
      <c r="J871">
        <v>1266.8709716999999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393.93238300000002</v>
      </c>
      <c r="B872" s="1">
        <f>DATE(2011,5,29) + TIME(22,22,37)</f>
        <v>40692.932372685187</v>
      </c>
      <c r="C872">
        <v>80</v>
      </c>
      <c r="D872">
        <v>79.933967589999995</v>
      </c>
      <c r="E872">
        <v>50</v>
      </c>
      <c r="F872">
        <v>46.806701660000002</v>
      </c>
      <c r="G872">
        <v>1386.8876952999999</v>
      </c>
      <c r="H872">
        <v>1373.4650879000001</v>
      </c>
      <c r="I872">
        <v>1286.2600098</v>
      </c>
      <c r="J872">
        <v>1266.8441161999999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394.50985700000001</v>
      </c>
      <c r="B873" s="1">
        <f>DATE(2011,5,30) + TIME(12,14,11)</f>
        <v>40693.50984953704</v>
      </c>
      <c r="C873">
        <v>80</v>
      </c>
      <c r="D873">
        <v>79.933944702000005</v>
      </c>
      <c r="E873">
        <v>50</v>
      </c>
      <c r="F873">
        <v>46.758991240999997</v>
      </c>
      <c r="G873">
        <v>1386.815918</v>
      </c>
      <c r="H873">
        <v>1373.4057617000001</v>
      </c>
      <c r="I873">
        <v>1286.2384033000001</v>
      </c>
      <c r="J873">
        <v>1266.8166504000001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395.09389800000002</v>
      </c>
      <c r="B874" s="1">
        <f>DATE(2011,5,31) + TIME(2,15,12)</f>
        <v>40694.093888888892</v>
      </c>
      <c r="C874">
        <v>80</v>
      </c>
      <c r="D874">
        <v>79.933929442999997</v>
      </c>
      <c r="E874">
        <v>50</v>
      </c>
      <c r="F874">
        <v>46.711105347</v>
      </c>
      <c r="G874">
        <v>1386.7446289</v>
      </c>
      <c r="H874">
        <v>1373.3465576000001</v>
      </c>
      <c r="I874">
        <v>1286.2163086</v>
      </c>
      <c r="J874">
        <v>1266.7886963000001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395.68566499999997</v>
      </c>
      <c r="B875" s="1">
        <f>DATE(2011,5,31) + TIME(16,27,21)</f>
        <v>40694.685659722221</v>
      </c>
      <c r="C875">
        <v>80</v>
      </c>
      <c r="D875">
        <v>79.933906554999993</v>
      </c>
      <c r="E875">
        <v>50</v>
      </c>
      <c r="F875">
        <v>46.662979126000003</v>
      </c>
      <c r="G875">
        <v>1386.6735839999999</v>
      </c>
      <c r="H875">
        <v>1373.2873535000001</v>
      </c>
      <c r="I875">
        <v>1286.1938477000001</v>
      </c>
      <c r="J875">
        <v>1266.7600098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396</v>
      </c>
      <c r="B876" s="1">
        <f>DATE(2011,6,1) + TIME(0,0,0)</f>
        <v>40695</v>
      </c>
      <c r="C876">
        <v>80</v>
      </c>
      <c r="D876">
        <v>79.933853149000001</v>
      </c>
      <c r="E876">
        <v>50</v>
      </c>
      <c r="F876">
        <v>46.631336212000001</v>
      </c>
      <c r="G876">
        <v>1386.614624</v>
      </c>
      <c r="H876">
        <v>1373.2397461</v>
      </c>
      <c r="I876">
        <v>1286.1726074000001</v>
      </c>
      <c r="J876">
        <v>1266.7351074000001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396.60077799999999</v>
      </c>
      <c r="B877" s="1">
        <f>DATE(2011,6,1) + TIME(14,25,7)</f>
        <v>40695.600775462961</v>
      </c>
      <c r="C877">
        <v>80</v>
      </c>
      <c r="D877">
        <v>79.933883667000003</v>
      </c>
      <c r="E877">
        <v>50</v>
      </c>
      <c r="F877">
        <v>46.585567474000001</v>
      </c>
      <c r="G877">
        <v>1386.5620117000001</v>
      </c>
      <c r="H877">
        <v>1373.1938477000001</v>
      </c>
      <c r="I877">
        <v>1286.1575928</v>
      </c>
      <c r="J877">
        <v>1266.7132568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397.21805799999998</v>
      </c>
      <c r="B878" s="1">
        <f>DATE(2011,6,2) + TIME(5,14,0)</f>
        <v>40696.218055555553</v>
      </c>
      <c r="C878">
        <v>80</v>
      </c>
      <c r="D878">
        <v>79.933876037999994</v>
      </c>
      <c r="E878">
        <v>50</v>
      </c>
      <c r="F878">
        <v>46.538093566999997</v>
      </c>
      <c r="G878">
        <v>1386.4941406</v>
      </c>
      <c r="H878">
        <v>1373.137207</v>
      </c>
      <c r="I878">
        <v>1286.1345214999999</v>
      </c>
      <c r="J878">
        <v>1266.6837158000001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397.84621099999998</v>
      </c>
      <c r="B879" s="1">
        <f>DATE(2011,6,2) + TIME(20,18,32)</f>
        <v>40696.846203703702</v>
      </c>
      <c r="C879">
        <v>80</v>
      </c>
      <c r="D879">
        <v>79.933868407999995</v>
      </c>
      <c r="E879">
        <v>50</v>
      </c>
      <c r="F879">
        <v>46.489475249999998</v>
      </c>
      <c r="G879">
        <v>1386.4238281</v>
      </c>
      <c r="H879">
        <v>1373.078125</v>
      </c>
      <c r="I879">
        <v>1286.1098632999999</v>
      </c>
      <c r="J879">
        <v>1266.6523437999999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398.48064599999998</v>
      </c>
      <c r="B880" s="1">
        <f>DATE(2011,6,3) + TIME(11,32,7)</f>
        <v>40697.480636574073</v>
      </c>
      <c r="C880">
        <v>80</v>
      </c>
      <c r="D880">
        <v>79.933853149000001</v>
      </c>
      <c r="E880">
        <v>50</v>
      </c>
      <c r="F880">
        <v>46.440185546999999</v>
      </c>
      <c r="G880">
        <v>1386.3529053</v>
      </c>
      <c r="H880">
        <v>1373.0185547000001</v>
      </c>
      <c r="I880">
        <v>1286.0844727000001</v>
      </c>
      <c r="J880">
        <v>1266.6198730000001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399.12292300000001</v>
      </c>
      <c r="B881" s="1">
        <f>DATE(2011,6,4) + TIME(2,57,0)</f>
        <v>40698.122916666667</v>
      </c>
      <c r="C881">
        <v>80</v>
      </c>
      <c r="D881">
        <v>79.933845520000006</v>
      </c>
      <c r="E881">
        <v>50</v>
      </c>
      <c r="F881">
        <v>46.390388489000003</v>
      </c>
      <c r="G881">
        <v>1386.2823486</v>
      </c>
      <c r="H881">
        <v>1372.9589844</v>
      </c>
      <c r="I881">
        <v>1286.0584716999999</v>
      </c>
      <c r="J881">
        <v>1266.5865478999999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399.77450599999997</v>
      </c>
      <c r="B882" s="1">
        <f>DATE(2011,6,4) + TIME(18,35,17)</f>
        <v>40698.774502314816</v>
      </c>
      <c r="C882">
        <v>80</v>
      </c>
      <c r="D882">
        <v>79.933837890999996</v>
      </c>
      <c r="E882">
        <v>50</v>
      </c>
      <c r="F882">
        <v>46.340133667000003</v>
      </c>
      <c r="G882">
        <v>1386.2117920000001</v>
      </c>
      <c r="H882">
        <v>1372.8994141000001</v>
      </c>
      <c r="I882">
        <v>1286.0318603999999</v>
      </c>
      <c r="J882">
        <v>1266.5522461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400.43675200000001</v>
      </c>
      <c r="B883" s="1">
        <f>DATE(2011,6,5) + TIME(10,28,55)</f>
        <v>40699.436747685184</v>
      </c>
      <c r="C883">
        <v>80</v>
      </c>
      <c r="D883">
        <v>79.933830260999997</v>
      </c>
      <c r="E883">
        <v>50</v>
      </c>
      <c r="F883">
        <v>46.289405823000003</v>
      </c>
      <c r="G883">
        <v>1386.1412353999999</v>
      </c>
      <c r="H883">
        <v>1372.8395995999999</v>
      </c>
      <c r="I883">
        <v>1286.0045166</v>
      </c>
      <c r="J883">
        <v>1266.5169678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401.11129599999998</v>
      </c>
      <c r="B884" s="1">
        <f>DATE(2011,6,6) + TIME(2,40,15)</f>
        <v>40700.111284722225</v>
      </c>
      <c r="C884">
        <v>80</v>
      </c>
      <c r="D884">
        <v>79.933830260999997</v>
      </c>
      <c r="E884">
        <v>50</v>
      </c>
      <c r="F884">
        <v>46.238151549999998</v>
      </c>
      <c r="G884">
        <v>1386.0706786999999</v>
      </c>
      <c r="H884">
        <v>1372.7796631000001</v>
      </c>
      <c r="I884">
        <v>1285.9764404</v>
      </c>
      <c r="J884">
        <v>1266.4807129000001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401.79987799999998</v>
      </c>
      <c r="B885" s="1">
        <f>DATE(2011,6,6) + TIME(19,11,49)</f>
        <v>40700.799872685187</v>
      </c>
      <c r="C885">
        <v>80</v>
      </c>
      <c r="D885">
        <v>79.933830260999997</v>
      </c>
      <c r="E885">
        <v>50</v>
      </c>
      <c r="F885">
        <v>46.186290741000001</v>
      </c>
      <c r="G885">
        <v>1385.9998779</v>
      </c>
      <c r="H885">
        <v>1372.7193603999999</v>
      </c>
      <c r="I885">
        <v>1285.9475098</v>
      </c>
      <c r="J885">
        <v>1266.4431152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402.50438100000002</v>
      </c>
      <c r="B886" s="1">
        <f>DATE(2011,6,7) + TIME(12,6,18)</f>
        <v>40701.504374999997</v>
      </c>
      <c r="C886">
        <v>80</v>
      </c>
      <c r="D886">
        <v>79.933830260999997</v>
      </c>
      <c r="E886">
        <v>50</v>
      </c>
      <c r="F886">
        <v>46.133712768999999</v>
      </c>
      <c r="G886">
        <v>1385.9287108999999</v>
      </c>
      <c r="H886">
        <v>1372.6585693</v>
      </c>
      <c r="I886">
        <v>1285.9176024999999</v>
      </c>
      <c r="J886">
        <v>1266.4041748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403.22687200000001</v>
      </c>
      <c r="B887" s="1">
        <f>DATE(2011,6,8) + TIME(5,26,41)</f>
        <v>40702.226863425924</v>
      </c>
      <c r="C887">
        <v>80</v>
      </c>
      <c r="D887">
        <v>79.933830260999997</v>
      </c>
      <c r="E887">
        <v>50</v>
      </c>
      <c r="F887">
        <v>46.080303192000002</v>
      </c>
      <c r="G887">
        <v>1385.8569336</v>
      </c>
      <c r="H887">
        <v>1372.597168</v>
      </c>
      <c r="I887">
        <v>1285.8865966999999</v>
      </c>
      <c r="J887">
        <v>1266.3637695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403.962602</v>
      </c>
      <c r="B888" s="1">
        <f>DATE(2011,6,8) + TIME(23,6,8)</f>
        <v>40702.962592592594</v>
      </c>
      <c r="C888">
        <v>80</v>
      </c>
      <c r="D888">
        <v>79.933830260999997</v>
      </c>
      <c r="E888">
        <v>50</v>
      </c>
      <c r="F888">
        <v>46.026203156000001</v>
      </c>
      <c r="G888">
        <v>1385.784668</v>
      </c>
      <c r="H888">
        <v>1372.5352783000001</v>
      </c>
      <c r="I888">
        <v>1285.8544922000001</v>
      </c>
      <c r="J888">
        <v>1266.3217772999999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404.70661200000001</v>
      </c>
      <c r="B889" s="1">
        <f>DATE(2011,6,9) + TIME(16,57,31)</f>
        <v>40703.706608796296</v>
      </c>
      <c r="C889">
        <v>80</v>
      </c>
      <c r="D889">
        <v>79.933830260999997</v>
      </c>
      <c r="E889">
        <v>50</v>
      </c>
      <c r="F889">
        <v>45.971660614000001</v>
      </c>
      <c r="G889">
        <v>1385.7122803</v>
      </c>
      <c r="H889">
        <v>1372.4730225000001</v>
      </c>
      <c r="I889">
        <v>1285.8212891000001</v>
      </c>
      <c r="J889">
        <v>1266.2783202999999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405.45955900000001</v>
      </c>
      <c r="B890" s="1">
        <f>DATE(2011,6,10) + TIME(11,1,45)</f>
        <v>40704.459548611114</v>
      </c>
      <c r="C890">
        <v>80</v>
      </c>
      <c r="D890">
        <v>79.933837890999996</v>
      </c>
      <c r="E890">
        <v>50</v>
      </c>
      <c r="F890">
        <v>45.916755676000001</v>
      </c>
      <c r="G890">
        <v>1385.6400146000001</v>
      </c>
      <c r="H890">
        <v>1372.4108887</v>
      </c>
      <c r="I890">
        <v>1285.7872314000001</v>
      </c>
      <c r="J890">
        <v>1266.2336425999999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406.222959</v>
      </c>
      <c r="B891" s="1">
        <f>DATE(2011,6,11) + TIME(5,21,3)</f>
        <v>40705.222951388889</v>
      </c>
      <c r="C891">
        <v>80</v>
      </c>
      <c r="D891">
        <v>79.933845520000006</v>
      </c>
      <c r="E891">
        <v>50</v>
      </c>
      <c r="F891">
        <v>45.861488342000001</v>
      </c>
      <c r="G891">
        <v>1385.5679932</v>
      </c>
      <c r="H891">
        <v>1372.3487548999999</v>
      </c>
      <c r="I891">
        <v>1285.7524414</v>
      </c>
      <c r="J891">
        <v>1266.1877440999999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406.98784699999999</v>
      </c>
      <c r="B892" s="1">
        <f>DATE(2011,6,11) + TIME(23,42,29)</f>
        <v>40705.987835648149</v>
      </c>
      <c r="C892">
        <v>80</v>
      </c>
      <c r="D892">
        <v>79.933853149000001</v>
      </c>
      <c r="E892">
        <v>50</v>
      </c>
      <c r="F892">
        <v>45.806201934999997</v>
      </c>
      <c r="G892">
        <v>1385.4963379000001</v>
      </c>
      <c r="H892">
        <v>1372.2867432</v>
      </c>
      <c r="I892">
        <v>1285.7165527</v>
      </c>
      <c r="J892">
        <v>1266.1405029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407.75391100000002</v>
      </c>
      <c r="B893" s="1">
        <f>DATE(2011,6,12) + TIME(18,5,37)</f>
        <v>40706.753900462965</v>
      </c>
      <c r="C893">
        <v>80</v>
      </c>
      <c r="D893">
        <v>79.933860779</v>
      </c>
      <c r="E893">
        <v>50</v>
      </c>
      <c r="F893">
        <v>45.751041411999999</v>
      </c>
      <c r="G893">
        <v>1385.4255370999999</v>
      </c>
      <c r="H893">
        <v>1372.2253418</v>
      </c>
      <c r="I893">
        <v>1285.6801757999999</v>
      </c>
      <c r="J893">
        <v>1266.0921631000001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408.52298100000002</v>
      </c>
      <c r="B894" s="1">
        <f>DATE(2011,6,13) + TIME(12,33,5)</f>
        <v>40707.522974537038</v>
      </c>
      <c r="C894">
        <v>80</v>
      </c>
      <c r="D894">
        <v>79.933868407999995</v>
      </c>
      <c r="E894">
        <v>50</v>
      </c>
      <c r="F894">
        <v>45.696022034000002</v>
      </c>
      <c r="G894">
        <v>1385.3554687999999</v>
      </c>
      <c r="H894">
        <v>1372.1644286999999</v>
      </c>
      <c r="I894">
        <v>1285.6431885</v>
      </c>
      <c r="J894">
        <v>1266.0430908000001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409.29631499999999</v>
      </c>
      <c r="B895" s="1">
        <f>DATE(2011,6,14) + TIME(7,6,41)</f>
        <v>40708.296307870369</v>
      </c>
      <c r="C895">
        <v>80</v>
      </c>
      <c r="D895">
        <v>79.933883667000003</v>
      </c>
      <c r="E895">
        <v>50</v>
      </c>
      <c r="F895">
        <v>45.641098022000001</v>
      </c>
      <c r="G895">
        <v>1385.2862548999999</v>
      </c>
      <c r="H895">
        <v>1372.104126</v>
      </c>
      <c r="I895">
        <v>1285.6055908000001</v>
      </c>
      <c r="J895">
        <v>1265.9927978999999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410.07550600000002</v>
      </c>
      <c r="B896" s="1">
        <f>DATE(2011,6,15) + TIME(1,48,43)</f>
        <v>40709.075497685182</v>
      </c>
      <c r="C896">
        <v>80</v>
      </c>
      <c r="D896">
        <v>79.933898925999998</v>
      </c>
      <c r="E896">
        <v>50</v>
      </c>
      <c r="F896">
        <v>45.586196899000001</v>
      </c>
      <c r="G896">
        <v>1385.2175293</v>
      </c>
      <c r="H896">
        <v>1372.0441894999999</v>
      </c>
      <c r="I896">
        <v>1285.5672606999999</v>
      </c>
      <c r="J896">
        <v>1265.9414062000001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410.86224900000002</v>
      </c>
      <c r="B897" s="1">
        <f>DATE(2011,6,15) + TIME(20,41,38)</f>
        <v>40709.862245370372</v>
      </c>
      <c r="C897">
        <v>80</v>
      </c>
      <c r="D897">
        <v>79.933914185000006</v>
      </c>
      <c r="E897">
        <v>50</v>
      </c>
      <c r="F897">
        <v>45.531211853000002</v>
      </c>
      <c r="G897">
        <v>1385.1492920000001</v>
      </c>
      <c r="H897">
        <v>1371.9844971</v>
      </c>
      <c r="I897">
        <v>1285.5280762</v>
      </c>
      <c r="J897">
        <v>1265.8887939000001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411.658411</v>
      </c>
      <c r="B898" s="1">
        <f>DATE(2011,6,16) + TIME(15,48,6)</f>
        <v>40710.658402777779</v>
      </c>
      <c r="C898">
        <v>80</v>
      </c>
      <c r="D898">
        <v>79.933929442999997</v>
      </c>
      <c r="E898">
        <v>50</v>
      </c>
      <c r="F898">
        <v>45.476032257</v>
      </c>
      <c r="G898">
        <v>1385.0812988</v>
      </c>
      <c r="H898">
        <v>1371.9249268000001</v>
      </c>
      <c r="I898">
        <v>1285.4879149999999</v>
      </c>
      <c r="J898">
        <v>1265.8347168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412.46594099999999</v>
      </c>
      <c r="B899" s="1">
        <f>DATE(2011,6,17) + TIME(11,10,57)</f>
        <v>40711.465937499997</v>
      </c>
      <c r="C899">
        <v>80</v>
      </c>
      <c r="D899">
        <v>79.933952332000004</v>
      </c>
      <c r="E899">
        <v>50</v>
      </c>
      <c r="F899">
        <v>45.420528412000003</v>
      </c>
      <c r="G899">
        <v>1385.0135498</v>
      </c>
      <c r="H899">
        <v>1371.8654785000001</v>
      </c>
      <c r="I899">
        <v>1285.4466553</v>
      </c>
      <c r="J899">
        <v>1265.7790527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413.28695499999998</v>
      </c>
      <c r="B900" s="1">
        <f>DATE(2011,6,18) + TIME(6,53,12)</f>
        <v>40712.286944444444</v>
      </c>
      <c r="C900">
        <v>80</v>
      </c>
      <c r="D900">
        <v>79.933967589999995</v>
      </c>
      <c r="E900">
        <v>50</v>
      </c>
      <c r="F900">
        <v>45.364570618000002</v>
      </c>
      <c r="G900">
        <v>1384.9456786999999</v>
      </c>
      <c r="H900">
        <v>1371.8057861</v>
      </c>
      <c r="I900">
        <v>1285.4042969</v>
      </c>
      <c r="J900">
        <v>1265.7216797000001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414.12379199999998</v>
      </c>
      <c r="B901" s="1">
        <f>DATE(2011,6,19) + TIME(2,58,15)</f>
        <v>40713.123784722222</v>
      </c>
      <c r="C901">
        <v>80</v>
      </c>
      <c r="D901">
        <v>79.933990479000002</v>
      </c>
      <c r="E901">
        <v>50</v>
      </c>
      <c r="F901">
        <v>45.308013916</v>
      </c>
      <c r="G901">
        <v>1384.8776855000001</v>
      </c>
      <c r="H901">
        <v>1371.7458495999999</v>
      </c>
      <c r="I901">
        <v>1285.3605957</v>
      </c>
      <c r="J901">
        <v>1265.6622314000001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414.97910899999999</v>
      </c>
      <c r="B902" s="1">
        <f>DATE(2011,6,19) + TIME(23,29,54)</f>
        <v>40713.979097222225</v>
      </c>
      <c r="C902">
        <v>80</v>
      </c>
      <c r="D902">
        <v>79.934013367000006</v>
      </c>
      <c r="E902">
        <v>50</v>
      </c>
      <c r="F902">
        <v>45.250694275000001</v>
      </c>
      <c r="G902">
        <v>1384.8093262</v>
      </c>
      <c r="H902">
        <v>1371.6854248</v>
      </c>
      <c r="I902">
        <v>1285.3154297000001</v>
      </c>
      <c r="J902">
        <v>1265.6005858999999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415.85584699999998</v>
      </c>
      <c r="B903" s="1">
        <f>DATE(2011,6,20) + TIME(20,32,25)</f>
        <v>40714.855844907404</v>
      </c>
      <c r="C903">
        <v>80</v>
      </c>
      <c r="D903">
        <v>79.934036254999995</v>
      </c>
      <c r="E903">
        <v>50</v>
      </c>
      <c r="F903">
        <v>45.192440032999997</v>
      </c>
      <c r="G903">
        <v>1384.7403564000001</v>
      </c>
      <c r="H903">
        <v>1371.6243896000001</v>
      </c>
      <c r="I903">
        <v>1285.2685547000001</v>
      </c>
      <c r="J903">
        <v>1265.536499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416.757834</v>
      </c>
      <c r="B904" s="1">
        <f>DATE(2011,6,21) + TIME(18,11,16)</f>
        <v>40715.757824074077</v>
      </c>
      <c r="C904">
        <v>80</v>
      </c>
      <c r="D904">
        <v>79.934066771999994</v>
      </c>
      <c r="E904">
        <v>50</v>
      </c>
      <c r="F904">
        <v>45.133041382000002</v>
      </c>
      <c r="G904">
        <v>1384.6707764</v>
      </c>
      <c r="H904">
        <v>1371.5626221</v>
      </c>
      <c r="I904">
        <v>1285.2198486</v>
      </c>
      <c r="J904">
        <v>1265.4696045000001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417.67083100000002</v>
      </c>
      <c r="B905" s="1">
        <f>DATE(2011,6,22) + TIME(16,5,59)</f>
        <v>40716.67082175926</v>
      </c>
      <c r="C905">
        <v>80</v>
      </c>
      <c r="D905">
        <v>79.934097289999997</v>
      </c>
      <c r="E905">
        <v>50</v>
      </c>
      <c r="F905">
        <v>45.072834014999998</v>
      </c>
      <c r="G905">
        <v>1384.6004639</v>
      </c>
      <c r="H905">
        <v>1371.5002440999999</v>
      </c>
      <c r="I905">
        <v>1285.1690673999999</v>
      </c>
      <c r="J905">
        <v>1265.3997803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418.59640400000001</v>
      </c>
      <c r="B906" s="1">
        <f>DATE(2011,6,23) + TIME(14,18,49)</f>
        <v>40717.596400462964</v>
      </c>
      <c r="C906">
        <v>80</v>
      </c>
      <c r="D906">
        <v>79.934120178000001</v>
      </c>
      <c r="E906">
        <v>50</v>
      </c>
      <c r="F906">
        <v>45.011966704999999</v>
      </c>
      <c r="G906">
        <v>1384.5301514</v>
      </c>
      <c r="H906">
        <v>1371.4377440999999</v>
      </c>
      <c r="I906">
        <v>1285.1168213000001</v>
      </c>
      <c r="J906">
        <v>1265.3276367000001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419.53726799999998</v>
      </c>
      <c r="B907" s="1">
        <f>DATE(2011,6,24) + TIME(12,53,39)</f>
        <v>40718.537256944444</v>
      </c>
      <c r="C907">
        <v>80</v>
      </c>
      <c r="D907">
        <v>79.934158324999999</v>
      </c>
      <c r="E907">
        <v>50</v>
      </c>
      <c r="F907">
        <v>44.950420379999997</v>
      </c>
      <c r="G907">
        <v>1384.4598389</v>
      </c>
      <c r="H907">
        <v>1371.375</v>
      </c>
      <c r="I907">
        <v>1285.0629882999999</v>
      </c>
      <c r="J907">
        <v>1265.2530518000001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420.495903</v>
      </c>
      <c r="B908" s="1">
        <f>DATE(2011,6,25) + TIME(11,54,6)</f>
        <v>40719.49590277778</v>
      </c>
      <c r="C908">
        <v>80</v>
      </c>
      <c r="D908">
        <v>79.934188843000001</v>
      </c>
      <c r="E908">
        <v>50</v>
      </c>
      <c r="F908">
        <v>44.888095856</v>
      </c>
      <c r="G908">
        <v>1384.3892822</v>
      </c>
      <c r="H908">
        <v>1371.3120117000001</v>
      </c>
      <c r="I908">
        <v>1285.0074463000001</v>
      </c>
      <c r="J908">
        <v>1265.1757812000001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421.47522199999997</v>
      </c>
      <c r="B909" s="1">
        <f>DATE(2011,6,26) + TIME(11,24,19)</f>
        <v>40720.475219907406</v>
      </c>
      <c r="C909">
        <v>80</v>
      </c>
      <c r="D909">
        <v>79.93421936</v>
      </c>
      <c r="E909">
        <v>50</v>
      </c>
      <c r="F909">
        <v>44.82484436</v>
      </c>
      <c r="G909">
        <v>1384.3184814000001</v>
      </c>
      <c r="H909">
        <v>1371.2485352000001</v>
      </c>
      <c r="I909">
        <v>1284.9499512</v>
      </c>
      <c r="J909">
        <v>1265.0955810999999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421.97537599999998</v>
      </c>
      <c r="B910" s="1">
        <f>DATE(2011,6,26) + TIME(23,24,32)</f>
        <v>40720.975370370368</v>
      </c>
      <c r="C910">
        <v>80</v>
      </c>
      <c r="D910">
        <v>79.934196471999996</v>
      </c>
      <c r="E910">
        <v>50</v>
      </c>
      <c r="F910">
        <v>44.780796051000003</v>
      </c>
      <c r="G910">
        <v>1384.2608643000001</v>
      </c>
      <c r="H910">
        <v>1371.1982422000001</v>
      </c>
      <c r="I910">
        <v>1284.8948975000001</v>
      </c>
      <c r="J910">
        <v>1265.0228271000001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422.47552999999999</v>
      </c>
      <c r="B911" s="1">
        <f>DATE(2011,6,27) + TIME(11,24,45)</f>
        <v>40721.47552083333</v>
      </c>
      <c r="C911">
        <v>80</v>
      </c>
      <c r="D911">
        <v>79.934211731000005</v>
      </c>
      <c r="E911">
        <v>50</v>
      </c>
      <c r="F911">
        <v>44.741004943999997</v>
      </c>
      <c r="G911">
        <v>1384.2188721</v>
      </c>
      <c r="H911">
        <v>1371.1599120999999</v>
      </c>
      <c r="I911">
        <v>1284.8610839999999</v>
      </c>
      <c r="J911">
        <v>1264.9737548999999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422.975684</v>
      </c>
      <c r="B912" s="1">
        <f>DATE(2011,6,27) + TIME(23,24,59)</f>
        <v>40721.975682870368</v>
      </c>
      <c r="C912">
        <v>80</v>
      </c>
      <c r="D912">
        <v>79.934234618999994</v>
      </c>
      <c r="E912">
        <v>50</v>
      </c>
      <c r="F912">
        <v>44.703895568999997</v>
      </c>
      <c r="G912">
        <v>1384.1807861</v>
      </c>
      <c r="H912">
        <v>1371.1254882999999</v>
      </c>
      <c r="I912">
        <v>1284.8291016000001</v>
      </c>
      <c r="J912">
        <v>1264.9276123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423.47583800000001</v>
      </c>
      <c r="B913" s="1">
        <f>DATE(2011,6,28) + TIME(11,25,12)</f>
        <v>40722.47583333333</v>
      </c>
      <c r="C913">
        <v>80</v>
      </c>
      <c r="D913">
        <v>79.934265136999997</v>
      </c>
      <c r="E913">
        <v>50</v>
      </c>
      <c r="F913">
        <v>44.668495178000001</v>
      </c>
      <c r="G913">
        <v>1384.1441649999999</v>
      </c>
      <c r="H913">
        <v>1371.0924072</v>
      </c>
      <c r="I913">
        <v>1284.7973632999999</v>
      </c>
      <c r="J913">
        <v>1264.8819579999999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423.97599200000002</v>
      </c>
      <c r="B914" s="1">
        <f>DATE(2011,6,28) + TIME(23,25,25)</f>
        <v>40722.975983796299</v>
      </c>
      <c r="C914">
        <v>80</v>
      </c>
      <c r="D914">
        <v>79.934288025000001</v>
      </c>
      <c r="E914">
        <v>50</v>
      </c>
      <c r="F914">
        <v>44.634181976000001</v>
      </c>
      <c r="G914">
        <v>1384.1081543</v>
      </c>
      <c r="H914">
        <v>1371.0599365</v>
      </c>
      <c r="I914">
        <v>1284.765625</v>
      </c>
      <c r="J914">
        <v>1264.8364257999999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424.47614600000003</v>
      </c>
      <c r="B915" s="1">
        <f>DATE(2011,6,29) + TIME(11,25,39)</f>
        <v>40723.476145833331</v>
      </c>
      <c r="C915">
        <v>80</v>
      </c>
      <c r="D915">
        <v>79.934310913000004</v>
      </c>
      <c r="E915">
        <v>50</v>
      </c>
      <c r="F915">
        <v>44.600574493000003</v>
      </c>
      <c r="G915">
        <v>1384.0727539</v>
      </c>
      <c r="H915">
        <v>1371.027832</v>
      </c>
      <c r="I915">
        <v>1284.7335204999999</v>
      </c>
      <c r="J915">
        <v>1264.7906493999999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424.97629999999998</v>
      </c>
      <c r="B916" s="1">
        <f>DATE(2011,6,29) + TIME(23,25,52)</f>
        <v>40723.9762962963</v>
      </c>
      <c r="C916">
        <v>80</v>
      </c>
      <c r="D916">
        <v>79.934326171999999</v>
      </c>
      <c r="E916">
        <v>50</v>
      </c>
      <c r="F916">
        <v>44.567420959000003</v>
      </c>
      <c r="G916">
        <v>1384.0375977000001</v>
      </c>
      <c r="H916">
        <v>1370.9962158000001</v>
      </c>
      <c r="I916">
        <v>1284.7012939000001</v>
      </c>
      <c r="J916">
        <v>1264.744751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425.48815000000002</v>
      </c>
      <c r="B917" s="1">
        <f>DATE(2011,6,30) + TIME(11,42,56)</f>
        <v>40724.48814814815</v>
      </c>
      <c r="C917">
        <v>80</v>
      </c>
      <c r="D917">
        <v>79.934349060000002</v>
      </c>
      <c r="E917">
        <v>50</v>
      </c>
      <c r="F917">
        <v>44.534095764</v>
      </c>
      <c r="G917">
        <v>1384.0024414</v>
      </c>
      <c r="H917">
        <v>1370.9643555</v>
      </c>
      <c r="I917">
        <v>1284.6687012</v>
      </c>
      <c r="J917">
        <v>1264.6981201000001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426</v>
      </c>
      <c r="B918" s="1">
        <f>DATE(2011,7,1) + TIME(0,0,0)</f>
        <v>40725</v>
      </c>
      <c r="C918">
        <v>80</v>
      </c>
      <c r="D918">
        <v>79.934371948000006</v>
      </c>
      <c r="E918">
        <v>50</v>
      </c>
      <c r="F918">
        <v>44.500869751000003</v>
      </c>
      <c r="G918">
        <v>1383.9674072</v>
      </c>
      <c r="H918">
        <v>1370.9326172000001</v>
      </c>
      <c r="I918">
        <v>1284.6352539</v>
      </c>
      <c r="J918">
        <v>1264.6506348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426.50690800000001</v>
      </c>
      <c r="B919" s="1">
        <f>DATE(2011,7,1) + TIME(12,9,56)</f>
        <v>40725.506898148145</v>
      </c>
      <c r="C919">
        <v>80</v>
      </c>
      <c r="D919">
        <v>79.934394835999996</v>
      </c>
      <c r="E919">
        <v>50</v>
      </c>
      <c r="F919">
        <v>44.467926024999997</v>
      </c>
      <c r="G919">
        <v>1383.9326172000001</v>
      </c>
      <c r="H919">
        <v>1370.9011230000001</v>
      </c>
      <c r="I919">
        <v>1284.6015625</v>
      </c>
      <c r="J919">
        <v>1264.6026611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427.01381500000002</v>
      </c>
      <c r="B920" s="1">
        <f>DATE(2011,7,2) + TIME(0,19,53)</f>
        <v>40726.013807870368</v>
      </c>
      <c r="C920">
        <v>80</v>
      </c>
      <c r="D920">
        <v>79.934417725000003</v>
      </c>
      <c r="E920">
        <v>50</v>
      </c>
      <c r="F920">
        <v>44.435089111000003</v>
      </c>
      <c r="G920">
        <v>1383.8981934000001</v>
      </c>
      <c r="H920">
        <v>1370.8699951000001</v>
      </c>
      <c r="I920">
        <v>1284.5679932</v>
      </c>
      <c r="J920">
        <v>1264.5545654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427.52072299999998</v>
      </c>
      <c r="B921" s="1">
        <f>DATE(2011,7,2) + TIME(12,29,50)</f>
        <v>40726.52071759259</v>
      </c>
      <c r="C921">
        <v>80</v>
      </c>
      <c r="D921">
        <v>79.934440613000007</v>
      </c>
      <c r="E921">
        <v>50</v>
      </c>
      <c r="F921">
        <v>44.402324677000003</v>
      </c>
      <c r="G921">
        <v>1383.8640137</v>
      </c>
      <c r="H921">
        <v>1370.8389893000001</v>
      </c>
      <c r="I921">
        <v>1284.5340576000001</v>
      </c>
      <c r="J921">
        <v>1264.5059814000001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428.02762999999999</v>
      </c>
      <c r="B922" s="1">
        <f>DATE(2011,7,3) + TIME(0,39,47)</f>
        <v>40727.027627314812</v>
      </c>
      <c r="C922">
        <v>80</v>
      </c>
      <c r="D922">
        <v>79.934455872000001</v>
      </c>
      <c r="E922">
        <v>50</v>
      </c>
      <c r="F922">
        <v>44.369621277</v>
      </c>
      <c r="G922">
        <v>1383.8302002</v>
      </c>
      <c r="H922">
        <v>1370.8082274999999</v>
      </c>
      <c r="I922">
        <v>1284.4998779</v>
      </c>
      <c r="J922">
        <v>1264.4570312000001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428.534538</v>
      </c>
      <c r="B923" s="1">
        <f>DATE(2011,7,3) + TIME(12,49,44)</f>
        <v>40727.534537037034</v>
      </c>
      <c r="C923">
        <v>80</v>
      </c>
      <c r="D923">
        <v>79.934478760000005</v>
      </c>
      <c r="E923">
        <v>50</v>
      </c>
      <c r="F923">
        <v>44.336963654000002</v>
      </c>
      <c r="G923">
        <v>1383.7965088000001</v>
      </c>
      <c r="H923">
        <v>1370.7777100000001</v>
      </c>
      <c r="I923">
        <v>1284.4654541</v>
      </c>
      <c r="J923">
        <v>1264.4077147999999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429.54835300000002</v>
      </c>
      <c r="B924" s="1">
        <f>DATE(2011,7,4) + TIME(13,9,37)</f>
        <v>40728.548344907409</v>
      </c>
      <c r="C924">
        <v>80</v>
      </c>
      <c r="D924">
        <v>79.934562682999996</v>
      </c>
      <c r="E924">
        <v>50</v>
      </c>
      <c r="F924">
        <v>44.289485931000002</v>
      </c>
      <c r="G924">
        <v>1383.7532959</v>
      </c>
      <c r="H924">
        <v>1370.737793</v>
      </c>
      <c r="I924">
        <v>1284.4272461</v>
      </c>
      <c r="J924">
        <v>1264.348999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430.56271900000002</v>
      </c>
      <c r="B925" s="1">
        <f>DATE(2011,7,5) + TIME(13,30,18)</f>
        <v>40729.562708333331</v>
      </c>
      <c r="C925">
        <v>80</v>
      </c>
      <c r="D925">
        <v>79.934600829999994</v>
      </c>
      <c r="E925">
        <v>50</v>
      </c>
      <c r="F925">
        <v>44.232448578000003</v>
      </c>
      <c r="G925">
        <v>1383.6923827999999</v>
      </c>
      <c r="H925">
        <v>1370.6826172000001</v>
      </c>
      <c r="I925">
        <v>1284.3602295000001</v>
      </c>
      <c r="J925">
        <v>1264.2550048999999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431.58763599999997</v>
      </c>
      <c r="B926" s="1">
        <f>DATE(2011,7,6) + TIME(14,6,11)</f>
        <v>40730.587627314817</v>
      </c>
      <c r="C926">
        <v>80</v>
      </c>
      <c r="D926">
        <v>79.934638977000006</v>
      </c>
      <c r="E926">
        <v>50</v>
      </c>
      <c r="F926">
        <v>44.170806884999998</v>
      </c>
      <c r="G926">
        <v>1383.6286620999999</v>
      </c>
      <c r="H926">
        <v>1370.6247559000001</v>
      </c>
      <c r="I926">
        <v>1284.2901611</v>
      </c>
      <c r="J926">
        <v>1264.1550293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432.62582099999997</v>
      </c>
      <c r="B927" s="1">
        <f>DATE(2011,7,7) + TIME(15,1,10)</f>
        <v>40731.625810185185</v>
      </c>
      <c r="C927">
        <v>80</v>
      </c>
      <c r="D927">
        <v>79.934684752999999</v>
      </c>
      <c r="E927">
        <v>50</v>
      </c>
      <c r="F927">
        <v>44.106624603</v>
      </c>
      <c r="G927">
        <v>1383.5643310999999</v>
      </c>
      <c r="H927">
        <v>1370.5661620999999</v>
      </c>
      <c r="I927">
        <v>1284.2181396000001</v>
      </c>
      <c r="J927">
        <v>1264.0511475000001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433.67469299999999</v>
      </c>
      <c r="B928" s="1">
        <f>DATE(2011,7,8) + TIME(16,11,33)</f>
        <v>40732.674687500003</v>
      </c>
      <c r="C928">
        <v>80</v>
      </c>
      <c r="D928">
        <v>79.934730529999996</v>
      </c>
      <c r="E928">
        <v>50</v>
      </c>
      <c r="F928">
        <v>44.040901183999999</v>
      </c>
      <c r="G928">
        <v>1383.4996338000001</v>
      </c>
      <c r="H928">
        <v>1370.5072021000001</v>
      </c>
      <c r="I928">
        <v>1284.1439209</v>
      </c>
      <c r="J928">
        <v>1263.9436035000001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434.73357499999997</v>
      </c>
      <c r="B929" s="1">
        <f>DATE(2011,7,9) + TIME(17,36,20)</f>
        <v>40733.733564814815</v>
      </c>
      <c r="C929">
        <v>80</v>
      </c>
      <c r="D929">
        <v>79.934776306000003</v>
      </c>
      <c r="E929">
        <v>50</v>
      </c>
      <c r="F929">
        <v>43.974109650000003</v>
      </c>
      <c r="G929">
        <v>1383.4350586</v>
      </c>
      <c r="H929">
        <v>1370.4481201000001</v>
      </c>
      <c r="I929">
        <v>1284.0679932</v>
      </c>
      <c r="J929">
        <v>1263.8330077999999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435.80536499999999</v>
      </c>
      <c r="B930" s="1">
        <f>DATE(2011,7,10) + TIME(19,19,43)</f>
        <v>40734.805358796293</v>
      </c>
      <c r="C930">
        <v>80</v>
      </c>
      <c r="D930">
        <v>79.934829711999996</v>
      </c>
      <c r="E930">
        <v>50</v>
      </c>
      <c r="F930">
        <v>43.906387328999998</v>
      </c>
      <c r="G930">
        <v>1383.3704834</v>
      </c>
      <c r="H930">
        <v>1370.3890381000001</v>
      </c>
      <c r="I930">
        <v>1283.9902344</v>
      </c>
      <c r="J930">
        <v>1263.7191161999999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436.89316200000002</v>
      </c>
      <c r="B931" s="1">
        <f>DATE(2011,7,11) + TIME(21,26,9)</f>
        <v>40735.893159722225</v>
      </c>
      <c r="C931">
        <v>80</v>
      </c>
      <c r="D931">
        <v>79.934875488000003</v>
      </c>
      <c r="E931">
        <v>50</v>
      </c>
      <c r="F931">
        <v>43.837661742999998</v>
      </c>
      <c r="G931">
        <v>1383.3057861</v>
      </c>
      <c r="H931">
        <v>1370.3297118999999</v>
      </c>
      <c r="I931">
        <v>1283.9104004000001</v>
      </c>
      <c r="J931">
        <v>1263.6020507999999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438.00035700000001</v>
      </c>
      <c r="B932" s="1">
        <f>DATE(2011,7,13) + TIME(0,0,30)</f>
        <v>40737.000347222223</v>
      </c>
      <c r="C932">
        <v>80</v>
      </c>
      <c r="D932">
        <v>79.934928893999995</v>
      </c>
      <c r="E932">
        <v>50</v>
      </c>
      <c r="F932">
        <v>43.767784118999998</v>
      </c>
      <c r="G932">
        <v>1383.2409668</v>
      </c>
      <c r="H932">
        <v>1370.2701416</v>
      </c>
      <c r="I932">
        <v>1283.8283690999999</v>
      </c>
      <c r="J932">
        <v>1263.4810791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439.13066900000001</v>
      </c>
      <c r="B933" s="1">
        <f>DATE(2011,7,14) + TIME(3,8,9)</f>
        <v>40738.130659722221</v>
      </c>
      <c r="C933">
        <v>80</v>
      </c>
      <c r="D933">
        <v>79.934989928999997</v>
      </c>
      <c r="E933">
        <v>50</v>
      </c>
      <c r="F933">
        <v>43.696540833</v>
      </c>
      <c r="G933">
        <v>1383.1756591999999</v>
      </c>
      <c r="H933">
        <v>1370.2102050999999</v>
      </c>
      <c r="I933">
        <v>1283.7437743999999</v>
      </c>
      <c r="J933">
        <v>1263.3560791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440.28825399999999</v>
      </c>
      <c r="B934" s="1">
        <f>DATE(2011,7,15) + TIME(6,55,5)</f>
        <v>40739.288252314815</v>
      </c>
      <c r="C934">
        <v>80</v>
      </c>
      <c r="D934">
        <v>79.935043335000003</v>
      </c>
      <c r="E934">
        <v>50</v>
      </c>
      <c r="F934">
        <v>43.623691559000001</v>
      </c>
      <c r="G934">
        <v>1383.1098632999999</v>
      </c>
      <c r="H934">
        <v>1370.1495361</v>
      </c>
      <c r="I934">
        <v>1283.65625</v>
      </c>
      <c r="J934">
        <v>1263.2263184000001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441.478072</v>
      </c>
      <c r="B935" s="1">
        <f>DATE(2011,7,16) + TIME(11,28,25)</f>
        <v>40740.478067129632</v>
      </c>
      <c r="C935">
        <v>80</v>
      </c>
      <c r="D935">
        <v>79.935104370000005</v>
      </c>
      <c r="E935">
        <v>50</v>
      </c>
      <c r="F935">
        <v>43.548931121999999</v>
      </c>
      <c r="G935">
        <v>1383.0432129000001</v>
      </c>
      <c r="H935">
        <v>1370.0881348</v>
      </c>
      <c r="I935">
        <v>1283.5655518000001</v>
      </c>
      <c r="J935">
        <v>1263.0914307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442.70595200000002</v>
      </c>
      <c r="B936" s="1">
        <f>DATE(2011,7,17) + TIME(16,56,34)</f>
        <v>40741.705949074072</v>
      </c>
      <c r="C936">
        <v>80</v>
      </c>
      <c r="D936">
        <v>79.935165405000006</v>
      </c>
      <c r="E936">
        <v>50</v>
      </c>
      <c r="F936">
        <v>43.471912383999999</v>
      </c>
      <c r="G936">
        <v>1382.9755858999999</v>
      </c>
      <c r="H936">
        <v>1370.0257568</v>
      </c>
      <c r="I936">
        <v>1283.4710693</v>
      </c>
      <c r="J936">
        <v>1262.9504394999999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443.32516700000002</v>
      </c>
      <c r="B937" s="1">
        <f>DATE(2011,7,18) + TIME(7,48,14)</f>
        <v>40742.325162037036</v>
      </c>
      <c r="C937">
        <v>80</v>
      </c>
      <c r="D937">
        <v>79.935157775999997</v>
      </c>
      <c r="E937">
        <v>50</v>
      </c>
      <c r="F937">
        <v>43.415718079000001</v>
      </c>
      <c r="G937">
        <v>1382.9212646000001</v>
      </c>
      <c r="H937">
        <v>1369.9764404</v>
      </c>
      <c r="I937">
        <v>1283.3793945</v>
      </c>
      <c r="J937">
        <v>1262.8205565999999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443.94438200000002</v>
      </c>
      <c r="B938" s="1">
        <f>DATE(2011,7,18) + TIME(22,39,54)</f>
        <v>40742.944374999999</v>
      </c>
      <c r="C938">
        <v>80</v>
      </c>
      <c r="D938">
        <v>79.935188292999996</v>
      </c>
      <c r="E938">
        <v>50</v>
      </c>
      <c r="F938">
        <v>43.366283416999998</v>
      </c>
      <c r="G938">
        <v>1382.8808594</v>
      </c>
      <c r="H938">
        <v>1369.9385986</v>
      </c>
      <c r="I938">
        <v>1283.3243408000001</v>
      </c>
      <c r="J938">
        <v>1262.7351074000001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444.56359700000002</v>
      </c>
      <c r="B939" s="1">
        <f>DATE(2011,7,19) + TIME(13,31,34)</f>
        <v>40743.563587962963</v>
      </c>
      <c r="C939">
        <v>80</v>
      </c>
      <c r="D939">
        <v>79.935226439999994</v>
      </c>
      <c r="E939">
        <v>50</v>
      </c>
      <c r="F939">
        <v>43.320682525999999</v>
      </c>
      <c r="G939">
        <v>1382.8443603999999</v>
      </c>
      <c r="H939">
        <v>1369.9046631000001</v>
      </c>
      <c r="I939">
        <v>1283.2722168</v>
      </c>
      <c r="J939">
        <v>1262.6544189000001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445.18281300000001</v>
      </c>
      <c r="B940" s="1">
        <f>DATE(2011,7,20) + TIME(4,23,15)</f>
        <v>40744.182812500003</v>
      </c>
      <c r="C940">
        <v>80</v>
      </c>
      <c r="D940">
        <v>79.935264587000006</v>
      </c>
      <c r="E940">
        <v>50</v>
      </c>
      <c r="F940">
        <v>43.277256012000002</v>
      </c>
      <c r="G940">
        <v>1382.8092041</v>
      </c>
      <c r="H940">
        <v>1369.8719481999999</v>
      </c>
      <c r="I940">
        <v>1283.2205810999999</v>
      </c>
      <c r="J940">
        <v>1262.5750731999999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445.80202800000001</v>
      </c>
      <c r="B941" s="1">
        <f>DATE(2011,7,20) + TIME(19,14,55)</f>
        <v>40744.802025462966</v>
      </c>
      <c r="C941">
        <v>80</v>
      </c>
      <c r="D941">
        <v>79.935302734000004</v>
      </c>
      <c r="E941">
        <v>50</v>
      </c>
      <c r="F941">
        <v>43.235042571999998</v>
      </c>
      <c r="G941">
        <v>1382.7747803</v>
      </c>
      <c r="H941">
        <v>1369.8398437999999</v>
      </c>
      <c r="I941">
        <v>1283.1688231999999</v>
      </c>
      <c r="J941">
        <v>1262.4962158000001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447.040458</v>
      </c>
      <c r="B942" s="1">
        <f>DATE(2011,7,22) + TIME(0,58,15)</f>
        <v>40746.040451388886</v>
      </c>
      <c r="C942">
        <v>80</v>
      </c>
      <c r="D942">
        <v>79.935401916999993</v>
      </c>
      <c r="E942">
        <v>50</v>
      </c>
      <c r="F942">
        <v>43.176765441999997</v>
      </c>
      <c r="G942">
        <v>1382.7303466999999</v>
      </c>
      <c r="H942">
        <v>1369.7979736</v>
      </c>
      <c r="I942">
        <v>1283.1120605000001</v>
      </c>
      <c r="J942">
        <v>1262.4042969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448.27999599999998</v>
      </c>
      <c r="B943" s="1">
        <f>DATE(2011,7,23) + TIME(6,43,11)</f>
        <v>40747.279988425929</v>
      </c>
      <c r="C943">
        <v>80</v>
      </c>
      <c r="D943">
        <v>79.935462951999995</v>
      </c>
      <c r="E943">
        <v>50</v>
      </c>
      <c r="F943">
        <v>43.104679107999999</v>
      </c>
      <c r="G943">
        <v>1382.6688231999999</v>
      </c>
      <c r="H943">
        <v>1369.7410889</v>
      </c>
      <c r="I943">
        <v>1283.0120850000001</v>
      </c>
      <c r="J943">
        <v>1262.2568358999999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448.90430099999998</v>
      </c>
      <c r="B944" s="1">
        <f>DATE(2011,7,23) + TIME(21,42,11)</f>
        <v>40747.904293981483</v>
      </c>
      <c r="C944">
        <v>80</v>
      </c>
      <c r="D944">
        <v>79.935455321999996</v>
      </c>
      <c r="E944">
        <v>50</v>
      </c>
      <c r="F944">
        <v>43.048866271999998</v>
      </c>
      <c r="G944">
        <v>1382.6181641000001</v>
      </c>
      <c r="H944">
        <v>1369.6948242000001</v>
      </c>
      <c r="I944">
        <v>1282.9150391000001</v>
      </c>
      <c r="J944">
        <v>1262.1185303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449.52860700000002</v>
      </c>
      <c r="B945" s="1">
        <f>DATE(2011,7,24) + TIME(12,41,11)</f>
        <v>40748.528599537036</v>
      </c>
      <c r="C945">
        <v>80</v>
      </c>
      <c r="D945">
        <v>79.935485839999998</v>
      </c>
      <c r="E945">
        <v>50</v>
      </c>
      <c r="F945">
        <v>42.999244689999998</v>
      </c>
      <c r="G945">
        <v>1382.5799560999999</v>
      </c>
      <c r="H945">
        <v>1369.6589355000001</v>
      </c>
      <c r="I945">
        <v>1282.8570557</v>
      </c>
      <c r="J945">
        <v>1262.0273437999999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450.15291200000001</v>
      </c>
      <c r="B946" s="1">
        <f>DATE(2011,7,25) + TIME(3,40,11)</f>
        <v>40749.152905092589</v>
      </c>
      <c r="C946">
        <v>80</v>
      </c>
      <c r="D946">
        <v>79.935523986999996</v>
      </c>
      <c r="E946">
        <v>50</v>
      </c>
      <c r="F946">
        <v>42.953105927000003</v>
      </c>
      <c r="G946">
        <v>1382.5452881000001</v>
      </c>
      <c r="H946">
        <v>1369.6265868999999</v>
      </c>
      <c r="I946">
        <v>1282.8018798999999</v>
      </c>
      <c r="J946">
        <v>1261.9410399999999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450.77721700000001</v>
      </c>
      <c r="B947" s="1">
        <f>DATE(2011,7,25) + TIME(18,39,11)</f>
        <v>40749.77721064815</v>
      </c>
      <c r="C947">
        <v>80</v>
      </c>
      <c r="D947">
        <v>79.935562133999994</v>
      </c>
      <c r="E947">
        <v>50</v>
      </c>
      <c r="F947">
        <v>42.908912659000002</v>
      </c>
      <c r="G947">
        <v>1382.5119629000001</v>
      </c>
      <c r="H947">
        <v>1369.5953368999999</v>
      </c>
      <c r="I947">
        <v>1282.7473144999999</v>
      </c>
      <c r="J947">
        <v>1261.8560791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451.401523</v>
      </c>
      <c r="B948" s="1">
        <f>DATE(2011,7,26) + TIME(9,38,11)</f>
        <v>40750.401516203703</v>
      </c>
      <c r="C948">
        <v>80</v>
      </c>
      <c r="D948">
        <v>79.935592650999993</v>
      </c>
      <c r="E948">
        <v>50</v>
      </c>
      <c r="F948">
        <v>42.865798949999999</v>
      </c>
      <c r="G948">
        <v>1382.479126</v>
      </c>
      <c r="H948">
        <v>1369.5646973</v>
      </c>
      <c r="I948">
        <v>1282.6926269999999</v>
      </c>
      <c r="J948">
        <v>1261.7716064000001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452.02582799999999</v>
      </c>
      <c r="B949" s="1">
        <f>DATE(2011,7,27) + TIME(0,37,11)</f>
        <v>40751.025821759256</v>
      </c>
      <c r="C949">
        <v>80</v>
      </c>
      <c r="D949">
        <v>79.935630798000005</v>
      </c>
      <c r="E949">
        <v>50</v>
      </c>
      <c r="F949">
        <v>42.823265075999998</v>
      </c>
      <c r="G949">
        <v>1382.4467772999999</v>
      </c>
      <c r="H949">
        <v>1369.5343018000001</v>
      </c>
      <c r="I949">
        <v>1282.6379394999999</v>
      </c>
      <c r="J949">
        <v>1261.6871338000001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452.65013399999998</v>
      </c>
      <c r="B950" s="1">
        <f>DATE(2011,7,27) + TIME(15,36,11)</f>
        <v>40751.650127314817</v>
      </c>
      <c r="C950">
        <v>80</v>
      </c>
      <c r="D950">
        <v>79.935668945000003</v>
      </c>
      <c r="E950">
        <v>50</v>
      </c>
      <c r="F950">
        <v>42.781021117999998</v>
      </c>
      <c r="G950">
        <v>1382.4146728999999</v>
      </c>
      <c r="H950">
        <v>1369.5043945</v>
      </c>
      <c r="I950">
        <v>1282.5830077999999</v>
      </c>
      <c r="J950">
        <v>1261.6025391000001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453.27443899999997</v>
      </c>
      <c r="B951" s="1">
        <f>DATE(2011,7,28) + TIME(6,35,11)</f>
        <v>40752.27443287037</v>
      </c>
      <c r="C951">
        <v>80</v>
      </c>
      <c r="D951">
        <v>79.935699463000006</v>
      </c>
      <c r="E951">
        <v>50</v>
      </c>
      <c r="F951">
        <v>42.738903045999997</v>
      </c>
      <c r="G951">
        <v>1382.3828125</v>
      </c>
      <c r="H951">
        <v>1369.4746094</v>
      </c>
      <c r="I951">
        <v>1282.5279541</v>
      </c>
      <c r="J951">
        <v>1261.5175781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453.89874400000002</v>
      </c>
      <c r="B952" s="1">
        <f>DATE(2011,7,28) + TIME(21,34,11)</f>
        <v>40752.898738425924</v>
      </c>
      <c r="C952">
        <v>80</v>
      </c>
      <c r="D952">
        <v>79.935737610000004</v>
      </c>
      <c r="E952">
        <v>50</v>
      </c>
      <c r="F952">
        <v>42.696811676000003</v>
      </c>
      <c r="G952">
        <v>1382.3511963000001</v>
      </c>
      <c r="H952">
        <v>1369.4450684000001</v>
      </c>
      <c r="I952">
        <v>1282.4726562000001</v>
      </c>
      <c r="J952">
        <v>1261.432251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454.52305000000001</v>
      </c>
      <c r="B953" s="1">
        <f>DATE(2011,7,29) + TIME(12,33,11)</f>
        <v>40753.523043981484</v>
      </c>
      <c r="C953">
        <v>80</v>
      </c>
      <c r="D953">
        <v>79.935768127000003</v>
      </c>
      <c r="E953">
        <v>50</v>
      </c>
      <c r="F953">
        <v>42.654693604000002</v>
      </c>
      <c r="G953">
        <v>1382.3198242000001</v>
      </c>
      <c r="H953">
        <v>1369.4156493999999</v>
      </c>
      <c r="I953">
        <v>1282.4171143000001</v>
      </c>
      <c r="J953">
        <v>1261.3464355000001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455.147355</v>
      </c>
      <c r="B954" s="1">
        <f>DATE(2011,7,30) + TIME(3,32,11)</f>
        <v>40754.147349537037</v>
      </c>
      <c r="C954">
        <v>80</v>
      </c>
      <c r="D954">
        <v>79.935806274000001</v>
      </c>
      <c r="E954">
        <v>50</v>
      </c>
      <c r="F954">
        <v>42.612514496000003</v>
      </c>
      <c r="G954">
        <v>1382.2886963000001</v>
      </c>
      <c r="H954">
        <v>1369.3864745999999</v>
      </c>
      <c r="I954">
        <v>1282.3613281</v>
      </c>
      <c r="J954">
        <v>1261.2601318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455.77166099999999</v>
      </c>
      <c r="B955" s="1">
        <f>DATE(2011,7,30) + TIME(18,31,11)</f>
        <v>40754.771655092591</v>
      </c>
      <c r="C955">
        <v>80</v>
      </c>
      <c r="D955">
        <v>79.935836792000003</v>
      </c>
      <c r="E955">
        <v>50</v>
      </c>
      <c r="F955">
        <v>42.570262909</v>
      </c>
      <c r="G955">
        <v>1382.2576904</v>
      </c>
      <c r="H955">
        <v>1369.3574219</v>
      </c>
      <c r="I955">
        <v>1282.3054199000001</v>
      </c>
      <c r="J955">
        <v>1261.1734618999999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457</v>
      </c>
      <c r="B956" s="1">
        <f>DATE(2011,8,1) + TIME(0,0,0)</f>
        <v>40756</v>
      </c>
      <c r="C956">
        <v>80</v>
      </c>
      <c r="D956">
        <v>79.935935974000003</v>
      </c>
      <c r="E956">
        <v>50</v>
      </c>
      <c r="F956">
        <v>42.511520386000001</v>
      </c>
      <c r="G956">
        <v>1382.2172852000001</v>
      </c>
      <c r="H956">
        <v>1369.3189697</v>
      </c>
      <c r="I956">
        <v>1282.2442627</v>
      </c>
      <c r="J956">
        <v>1261.0723877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458.24861099999998</v>
      </c>
      <c r="B957" s="1">
        <f>DATE(2011,8,2) + TIME(5,57,59)</f>
        <v>40757.248599537037</v>
      </c>
      <c r="C957">
        <v>80</v>
      </c>
      <c r="D957">
        <v>79.935997009000005</v>
      </c>
      <c r="E957">
        <v>50</v>
      </c>
      <c r="F957">
        <v>42.437404633</v>
      </c>
      <c r="G957">
        <v>1382.1619873</v>
      </c>
      <c r="H957">
        <v>1369.2673339999999</v>
      </c>
      <c r="I957">
        <v>1282.1376952999999</v>
      </c>
      <c r="J957">
        <v>1260.9111327999999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459.50984099999999</v>
      </c>
      <c r="B958" s="1">
        <f>DATE(2011,8,3) + TIME(12,14,10)</f>
        <v>40758.509837962964</v>
      </c>
      <c r="C958">
        <v>80</v>
      </c>
      <c r="D958">
        <v>79.936058044000006</v>
      </c>
      <c r="E958">
        <v>50</v>
      </c>
      <c r="F958">
        <v>42.356151580999999</v>
      </c>
      <c r="G958">
        <v>1382.1035156</v>
      </c>
      <c r="H958">
        <v>1369.2125243999999</v>
      </c>
      <c r="I958">
        <v>1282.0257568</v>
      </c>
      <c r="J958">
        <v>1260.7386475000001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460.78911599999998</v>
      </c>
      <c r="B959" s="1">
        <f>DATE(2011,8,4) + TIME(18,56,19)</f>
        <v>40759.7891087963</v>
      </c>
      <c r="C959">
        <v>80</v>
      </c>
      <c r="D959">
        <v>79.936126709000007</v>
      </c>
      <c r="E959">
        <v>50</v>
      </c>
      <c r="F959">
        <v>42.271114349000001</v>
      </c>
      <c r="G959">
        <v>1382.0439452999999</v>
      </c>
      <c r="H959">
        <v>1369.1566161999999</v>
      </c>
      <c r="I959">
        <v>1281.9111327999999</v>
      </c>
      <c r="J959">
        <v>1260.5599365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462.090283</v>
      </c>
      <c r="B960" s="1">
        <f>DATE(2011,8,6) + TIME(2,10,0)</f>
        <v>40761.090277777781</v>
      </c>
      <c r="C960">
        <v>80</v>
      </c>
      <c r="D960">
        <v>79.936195373999993</v>
      </c>
      <c r="E960">
        <v>50</v>
      </c>
      <c r="F960">
        <v>42.183448792</v>
      </c>
      <c r="G960">
        <v>1381.9838867000001</v>
      </c>
      <c r="H960">
        <v>1369.1000977000001</v>
      </c>
      <c r="I960">
        <v>1281.7938231999999</v>
      </c>
      <c r="J960">
        <v>1260.3760986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463.41752000000002</v>
      </c>
      <c r="B961" s="1">
        <f>DATE(2011,8,7) + TIME(10,1,13)</f>
        <v>40762.417511574073</v>
      </c>
      <c r="C961">
        <v>80</v>
      </c>
      <c r="D961">
        <v>79.936271667</v>
      </c>
      <c r="E961">
        <v>50</v>
      </c>
      <c r="F961">
        <v>42.093437195</v>
      </c>
      <c r="G961">
        <v>1381.9232178</v>
      </c>
      <c r="H961">
        <v>1369.0429687999999</v>
      </c>
      <c r="I961">
        <v>1281.6737060999999</v>
      </c>
      <c r="J961">
        <v>1260.1870117000001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464.77544899999998</v>
      </c>
      <c r="B962" s="1">
        <f>DATE(2011,8,8) + TIME(18,36,38)</f>
        <v>40763.775439814817</v>
      </c>
      <c r="C962">
        <v>80</v>
      </c>
      <c r="D962">
        <v>79.936340332</v>
      </c>
      <c r="E962">
        <v>50</v>
      </c>
      <c r="F962">
        <v>42.001007080000001</v>
      </c>
      <c r="G962">
        <v>1381.8618164</v>
      </c>
      <c r="H962">
        <v>1368.9851074000001</v>
      </c>
      <c r="I962">
        <v>1281.5506591999999</v>
      </c>
      <c r="J962">
        <v>1259.9923096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466.169239</v>
      </c>
      <c r="B963" s="1">
        <f>DATE(2011,8,10) + TIME(4,3,42)</f>
        <v>40765.169236111113</v>
      </c>
      <c r="C963">
        <v>80</v>
      </c>
      <c r="D963">
        <v>79.936416625999996</v>
      </c>
      <c r="E963">
        <v>50</v>
      </c>
      <c r="F963">
        <v>41.905906676999997</v>
      </c>
      <c r="G963">
        <v>1381.7995605000001</v>
      </c>
      <c r="H963">
        <v>1368.9263916</v>
      </c>
      <c r="I963">
        <v>1281.4239502</v>
      </c>
      <c r="J963">
        <v>1259.7913818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467.60209200000003</v>
      </c>
      <c r="B964" s="1">
        <f>DATE(2011,8,11) + TIME(14,27,0)</f>
        <v>40766.602083333331</v>
      </c>
      <c r="C964">
        <v>80</v>
      </c>
      <c r="D964">
        <v>79.936500549000002</v>
      </c>
      <c r="E964">
        <v>50</v>
      </c>
      <c r="F964">
        <v>41.807880402000002</v>
      </c>
      <c r="G964">
        <v>1381.7363281</v>
      </c>
      <c r="H964">
        <v>1368.8665771000001</v>
      </c>
      <c r="I964">
        <v>1281.2935791</v>
      </c>
      <c r="J964">
        <v>1259.5837402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469.04764999999998</v>
      </c>
      <c r="B965" s="1">
        <f>DATE(2011,8,13) + TIME(1,8,36)</f>
        <v>40768.047638888886</v>
      </c>
      <c r="C965">
        <v>80</v>
      </c>
      <c r="D965">
        <v>79.936576842999997</v>
      </c>
      <c r="E965">
        <v>50</v>
      </c>
      <c r="F965">
        <v>41.707408905000001</v>
      </c>
      <c r="G965">
        <v>1381.6723632999999</v>
      </c>
      <c r="H965">
        <v>1368.8061522999999</v>
      </c>
      <c r="I965">
        <v>1281.1591797000001</v>
      </c>
      <c r="J965">
        <v>1259.3692627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470.51028700000001</v>
      </c>
      <c r="B966" s="1">
        <f>DATE(2011,8,14) + TIME(12,14,48)</f>
        <v>40769.510277777779</v>
      </c>
      <c r="C966">
        <v>80</v>
      </c>
      <c r="D966">
        <v>79.936660767000006</v>
      </c>
      <c r="E966">
        <v>50</v>
      </c>
      <c r="F966">
        <v>41.605129241999997</v>
      </c>
      <c r="G966">
        <v>1381.6082764</v>
      </c>
      <c r="H966">
        <v>1368.7454834</v>
      </c>
      <c r="I966">
        <v>1281.0230713000001</v>
      </c>
      <c r="J966">
        <v>1259.1508789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471.99468300000001</v>
      </c>
      <c r="B967" s="1">
        <f>DATE(2011,8,15) + TIME(23,52,20)</f>
        <v>40770.994675925926</v>
      </c>
      <c r="C967">
        <v>80</v>
      </c>
      <c r="D967">
        <v>79.936744689999998</v>
      </c>
      <c r="E967">
        <v>50</v>
      </c>
      <c r="F967">
        <v>41.501110077</v>
      </c>
      <c r="G967">
        <v>1381.5439452999999</v>
      </c>
      <c r="H967">
        <v>1368.6845702999999</v>
      </c>
      <c r="I967">
        <v>1280.8848877</v>
      </c>
      <c r="J967">
        <v>1258.9284668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472.74597899999998</v>
      </c>
      <c r="B968" s="1">
        <f>DATE(2011,8,16) + TIME(17,54,12)</f>
        <v>40771.745972222219</v>
      </c>
      <c r="C968">
        <v>80</v>
      </c>
      <c r="D968">
        <v>79.936752318999993</v>
      </c>
      <c r="E968">
        <v>50</v>
      </c>
      <c r="F968">
        <v>41.422740935999997</v>
      </c>
      <c r="G968">
        <v>1381.4938964999999</v>
      </c>
      <c r="H968">
        <v>1368.6375731999999</v>
      </c>
      <c r="I968">
        <v>1280.7526855000001</v>
      </c>
      <c r="J968">
        <v>1258.7266846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473.497274</v>
      </c>
      <c r="B969" s="1">
        <f>DATE(2011,8,17) + TIME(11,56,4)</f>
        <v>40772.49726851852</v>
      </c>
      <c r="C969">
        <v>80</v>
      </c>
      <c r="D969">
        <v>79.936798096000004</v>
      </c>
      <c r="E969">
        <v>50</v>
      </c>
      <c r="F969">
        <v>41.356273651000002</v>
      </c>
      <c r="G969">
        <v>1381.4553223</v>
      </c>
      <c r="H969">
        <v>1368.6008300999999</v>
      </c>
      <c r="I969">
        <v>1280.6757812000001</v>
      </c>
      <c r="J969">
        <v>1258.5955810999999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474.24856899999997</v>
      </c>
      <c r="B970" s="1">
        <f>DATE(2011,8,18) + TIME(5,57,56)</f>
        <v>40773.248564814814</v>
      </c>
      <c r="C970">
        <v>80</v>
      </c>
      <c r="D970">
        <v>79.936843871999997</v>
      </c>
      <c r="E970">
        <v>50</v>
      </c>
      <c r="F970">
        <v>41.295978546000001</v>
      </c>
      <c r="G970">
        <v>1381.4204102000001</v>
      </c>
      <c r="H970">
        <v>1368.5675048999999</v>
      </c>
      <c r="I970">
        <v>1280.6027832</v>
      </c>
      <c r="J970">
        <v>1258.4729004000001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474.999864</v>
      </c>
      <c r="B971" s="1">
        <f>DATE(2011,8,18) + TIME(23,59,48)</f>
        <v>40773.999861111108</v>
      </c>
      <c r="C971">
        <v>80</v>
      </c>
      <c r="D971">
        <v>79.936889648000005</v>
      </c>
      <c r="E971">
        <v>50</v>
      </c>
      <c r="F971">
        <v>41.238899230999998</v>
      </c>
      <c r="G971">
        <v>1381.3868408000001</v>
      </c>
      <c r="H971">
        <v>1368.5355225000001</v>
      </c>
      <c r="I971">
        <v>1280.5308838000001</v>
      </c>
      <c r="J971">
        <v>1258.3533935999999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475.75115899999997</v>
      </c>
      <c r="B972" s="1">
        <f>DATE(2011,8,19) + TIME(18,1,40)</f>
        <v>40774.751157407409</v>
      </c>
      <c r="C972">
        <v>80</v>
      </c>
      <c r="D972">
        <v>79.936935425000001</v>
      </c>
      <c r="E972">
        <v>50</v>
      </c>
      <c r="F972">
        <v>41.183517455999997</v>
      </c>
      <c r="G972">
        <v>1381.3540039</v>
      </c>
      <c r="H972">
        <v>1368.5042725000001</v>
      </c>
      <c r="I972">
        <v>1280.4593506000001</v>
      </c>
      <c r="J972">
        <v>1258.2354736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476.502454</v>
      </c>
      <c r="B973" s="1">
        <f>DATE(2011,8,20) + TIME(12,3,32)</f>
        <v>40775.502453703702</v>
      </c>
      <c r="C973">
        <v>80</v>
      </c>
      <c r="D973">
        <v>79.936981200999995</v>
      </c>
      <c r="E973">
        <v>50</v>
      </c>
      <c r="F973">
        <v>41.129062652999998</v>
      </c>
      <c r="G973">
        <v>1381.3215332</v>
      </c>
      <c r="H973">
        <v>1368.4732666</v>
      </c>
      <c r="I973">
        <v>1280.3881836</v>
      </c>
      <c r="J973">
        <v>1258.1182861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478.005045</v>
      </c>
      <c r="B974" s="1">
        <f>DATE(2011,8,22) + TIME(0,7,15)</f>
        <v>40777.00503472222</v>
      </c>
      <c r="C974">
        <v>80</v>
      </c>
      <c r="D974">
        <v>79.937095642000003</v>
      </c>
      <c r="E974">
        <v>50</v>
      </c>
      <c r="F974">
        <v>41.056404114000003</v>
      </c>
      <c r="G974">
        <v>1381.2786865</v>
      </c>
      <c r="H974">
        <v>1368.4321289</v>
      </c>
      <c r="I974">
        <v>1280.3116454999999</v>
      </c>
      <c r="J974">
        <v>1257.9836425999999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479.50849099999999</v>
      </c>
      <c r="B975" s="1">
        <f>DATE(2011,8,23) + TIME(12,12,13)</f>
        <v>40778.508483796293</v>
      </c>
      <c r="C975">
        <v>80</v>
      </c>
      <c r="D975">
        <v>79.937171935999999</v>
      </c>
      <c r="E975">
        <v>50</v>
      </c>
      <c r="F975">
        <v>40.961887359999999</v>
      </c>
      <c r="G975">
        <v>1381.2209473</v>
      </c>
      <c r="H975">
        <v>1368.3771973</v>
      </c>
      <c r="I975">
        <v>1280.1756591999999</v>
      </c>
      <c r="J975">
        <v>1257.7668457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481.02548000000002</v>
      </c>
      <c r="B976" s="1">
        <f>DATE(2011,8,25) + TIME(0,36,41)</f>
        <v>40780.02547453704</v>
      </c>
      <c r="C976">
        <v>80</v>
      </c>
      <c r="D976">
        <v>79.937255859000004</v>
      </c>
      <c r="E976">
        <v>50</v>
      </c>
      <c r="F976">
        <v>40.859870911000002</v>
      </c>
      <c r="G976">
        <v>1381.1601562000001</v>
      </c>
      <c r="H976">
        <v>1368.3194579999999</v>
      </c>
      <c r="I976">
        <v>1280.036499</v>
      </c>
      <c r="J976">
        <v>1257.5391846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482.56136700000002</v>
      </c>
      <c r="B977" s="1">
        <f>DATE(2011,8,26) + TIME(13,28,22)</f>
        <v>40781.561365740738</v>
      </c>
      <c r="C977">
        <v>80</v>
      </c>
      <c r="D977">
        <v>79.937339782999999</v>
      </c>
      <c r="E977">
        <v>50</v>
      </c>
      <c r="F977">
        <v>40.755210876</v>
      </c>
      <c r="G977">
        <v>1381.0986327999999</v>
      </c>
      <c r="H977">
        <v>1368.2607422000001</v>
      </c>
      <c r="I977">
        <v>1279.8959961</v>
      </c>
      <c r="J977">
        <v>1257.3063964999999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484.12065100000001</v>
      </c>
      <c r="B978" s="1">
        <f>DATE(2011,8,28) + TIME(2,53,44)</f>
        <v>40783.120648148149</v>
      </c>
      <c r="C978">
        <v>80</v>
      </c>
      <c r="D978">
        <v>79.937423706000004</v>
      </c>
      <c r="E978">
        <v>50</v>
      </c>
      <c r="F978">
        <v>40.649646758999999</v>
      </c>
      <c r="G978">
        <v>1381.0363769999999</v>
      </c>
      <c r="H978">
        <v>1368.2012939000001</v>
      </c>
      <c r="I978">
        <v>1279.7543945</v>
      </c>
      <c r="J978">
        <v>1257.0700684000001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485.70864999999998</v>
      </c>
      <c r="B979" s="1">
        <f>DATE(2011,8,29) + TIME(17,0,27)</f>
        <v>40784.708645833336</v>
      </c>
      <c r="C979">
        <v>80</v>
      </c>
      <c r="D979">
        <v>79.937507628999995</v>
      </c>
      <c r="E979">
        <v>50</v>
      </c>
      <c r="F979">
        <v>40.543869018999999</v>
      </c>
      <c r="G979">
        <v>1380.9735106999999</v>
      </c>
      <c r="H979">
        <v>1368.1412353999999</v>
      </c>
      <c r="I979">
        <v>1279.6115723</v>
      </c>
      <c r="J979">
        <v>1256.8304443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486.51946299999997</v>
      </c>
      <c r="B980" s="1">
        <f>DATE(2011,8,30) + TIME(12,28,1)</f>
        <v>40785.519456018519</v>
      </c>
      <c r="C980">
        <v>80</v>
      </c>
      <c r="D980">
        <v>79.937530518000003</v>
      </c>
      <c r="E980">
        <v>50</v>
      </c>
      <c r="F980">
        <v>40.464328766000001</v>
      </c>
      <c r="G980">
        <v>1380.9246826000001</v>
      </c>
      <c r="H980">
        <v>1368.0950928</v>
      </c>
      <c r="I980">
        <v>1279.4754639</v>
      </c>
      <c r="J980">
        <v>1256.6138916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488</v>
      </c>
      <c r="B981" s="1">
        <f>DATE(2011,9,1) + TIME(0,0,0)</f>
        <v>40787</v>
      </c>
      <c r="C981">
        <v>80</v>
      </c>
      <c r="D981">
        <v>79.937637328999998</v>
      </c>
      <c r="E981">
        <v>50</v>
      </c>
      <c r="F981">
        <v>40.379985808999997</v>
      </c>
      <c r="G981">
        <v>1380.8754882999999</v>
      </c>
      <c r="H981">
        <v>1368.0474853999999</v>
      </c>
      <c r="I981">
        <v>1279.3916016000001</v>
      </c>
      <c r="J981">
        <v>1256.4545897999999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488.810813</v>
      </c>
      <c r="B982" s="1">
        <f>DATE(2011,9,1) + TIME(19,27,34)</f>
        <v>40787.810810185183</v>
      </c>
      <c r="C982">
        <v>80</v>
      </c>
      <c r="D982">
        <v>79.937660217000001</v>
      </c>
      <c r="E982">
        <v>50</v>
      </c>
      <c r="F982">
        <v>40.310176849000001</v>
      </c>
      <c r="G982">
        <v>1380.8311768000001</v>
      </c>
      <c r="H982">
        <v>1368.0053711</v>
      </c>
      <c r="I982">
        <v>1279.2685547000001</v>
      </c>
      <c r="J982">
        <v>1256.2579346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489.62162499999999</v>
      </c>
      <c r="B983" s="1">
        <f>DATE(2011,9,2) + TIME(14,55,8)</f>
        <v>40788.621620370373</v>
      </c>
      <c r="C983">
        <v>80</v>
      </c>
      <c r="D983">
        <v>79.937705993999998</v>
      </c>
      <c r="E983">
        <v>50</v>
      </c>
      <c r="F983">
        <v>40.250926970999998</v>
      </c>
      <c r="G983">
        <v>1380.7946777</v>
      </c>
      <c r="H983">
        <v>1367.9703368999999</v>
      </c>
      <c r="I983">
        <v>1279.1929932</v>
      </c>
      <c r="J983">
        <v>1256.1234131000001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490.43243799999999</v>
      </c>
      <c r="B984" s="1">
        <f>DATE(2011,9,3) + TIME(10,22,42)</f>
        <v>40789.432430555556</v>
      </c>
      <c r="C984">
        <v>80</v>
      </c>
      <c r="D984">
        <v>79.937759399000001</v>
      </c>
      <c r="E984">
        <v>50</v>
      </c>
      <c r="F984">
        <v>40.197502135999997</v>
      </c>
      <c r="G984">
        <v>1380.7608643000001</v>
      </c>
      <c r="H984">
        <v>1367.9377440999999</v>
      </c>
      <c r="I984">
        <v>1279.1207274999999</v>
      </c>
      <c r="J984">
        <v>1255.996582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491.24325099999999</v>
      </c>
      <c r="B985" s="1">
        <f>DATE(2011,9,4) + TIME(5,50,16)</f>
        <v>40790.24324074074</v>
      </c>
      <c r="C985">
        <v>80</v>
      </c>
      <c r="D985">
        <v>79.937805175999998</v>
      </c>
      <c r="E985">
        <v>50</v>
      </c>
      <c r="F985">
        <v>40.147621155000003</v>
      </c>
      <c r="G985">
        <v>1380.7280272999999</v>
      </c>
      <c r="H985">
        <v>1367.90625</v>
      </c>
      <c r="I985">
        <v>1279.0498047000001</v>
      </c>
      <c r="J985">
        <v>1255.8731689000001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492.05406299999999</v>
      </c>
      <c r="B986" s="1">
        <f>DATE(2011,9,5) + TIME(1,17,51)</f>
        <v>40791.054062499999</v>
      </c>
      <c r="C986">
        <v>80</v>
      </c>
      <c r="D986">
        <v>79.937850952000005</v>
      </c>
      <c r="E986">
        <v>50</v>
      </c>
      <c r="F986">
        <v>40.100204468000001</v>
      </c>
      <c r="G986">
        <v>1380.6958007999999</v>
      </c>
      <c r="H986">
        <v>1367.8753661999999</v>
      </c>
      <c r="I986">
        <v>1278.9798584</v>
      </c>
      <c r="J986">
        <v>1255.7518310999999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492.86487599999998</v>
      </c>
      <c r="B987" s="1">
        <f>DATE(2011,9,5) + TIME(20,45,25)</f>
        <v>40791.864872685182</v>
      </c>
      <c r="C987">
        <v>80</v>
      </c>
      <c r="D987">
        <v>79.937896729000002</v>
      </c>
      <c r="E987">
        <v>50</v>
      </c>
      <c r="F987">
        <v>40.054779052999997</v>
      </c>
      <c r="G987">
        <v>1380.6639404</v>
      </c>
      <c r="H987">
        <v>1367.8447266000001</v>
      </c>
      <c r="I987">
        <v>1278.9107666</v>
      </c>
      <c r="J987">
        <v>1255.6319579999999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493.67568799999998</v>
      </c>
      <c r="B988" s="1">
        <f>DATE(2011,9,6) + TIME(16,12,59)</f>
        <v>40792.675682870373</v>
      </c>
      <c r="C988">
        <v>80</v>
      </c>
      <c r="D988">
        <v>79.937942504999995</v>
      </c>
      <c r="E988">
        <v>50</v>
      </c>
      <c r="F988">
        <v>40.011169434000003</v>
      </c>
      <c r="G988">
        <v>1380.6323242000001</v>
      </c>
      <c r="H988">
        <v>1367.8143310999999</v>
      </c>
      <c r="I988">
        <v>1278.8425293</v>
      </c>
      <c r="J988">
        <v>1255.5134277</v>
      </c>
      <c r="K988">
        <v>2400</v>
      </c>
      <c r="L988">
        <v>0</v>
      </c>
      <c r="M988">
        <v>0</v>
      </c>
      <c r="N988">
        <v>2400</v>
      </c>
    </row>
    <row r="989" spans="1:14" x14ac:dyDescent="0.25">
      <c r="A989">
        <v>494.48650099999998</v>
      </c>
      <c r="B989" s="1">
        <f>DATE(2011,9,7) + TIME(11,40,33)</f>
        <v>40793.486493055556</v>
      </c>
      <c r="C989">
        <v>80</v>
      </c>
      <c r="D989">
        <v>79.937988281000003</v>
      </c>
      <c r="E989">
        <v>50</v>
      </c>
      <c r="F989">
        <v>39.969360352000002</v>
      </c>
      <c r="G989">
        <v>1380.6009521000001</v>
      </c>
      <c r="H989">
        <v>1367.7841797000001</v>
      </c>
      <c r="I989">
        <v>1278.7750243999999</v>
      </c>
      <c r="J989">
        <v>1255.395874</v>
      </c>
      <c r="K989">
        <v>2400</v>
      </c>
      <c r="L989">
        <v>0</v>
      </c>
      <c r="M989">
        <v>0</v>
      </c>
      <c r="N989">
        <v>2400</v>
      </c>
    </row>
    <row r="990" spans="1:14" x14ac:dyDescent="0.25">
      <c r="A990">
        <v>495.29731399999997</v>
      </c>
      <c r="B990" s="1">
        <f>DATE(2011,9,8) + TIME(7,8,7)</f>
        <v>40794.297303240739</v>
      </c>
      <c r="C990">
        <v>80</v>
      </c>
      <c r="D990">
        <v>79.938034058</v>
      </c>
      <c r="E990">
        <v>50</v>
      </c>
      <c r="F990">
        <v>39.929393767999997</v>
      </c>
      <c r="G990">
        <v>1380.5697021000001</v>
      </c>
      <c r="H990">
        <v>1367.7541504000001</v>
      </c>
      <c r="I990">
        <v>1278.7082519999999</v>
      </c>
      <c r="J990">
        <v>1255.2795410000001</v>
      </c>
      <c r="K990">
        <v>2400</v>
      </c>
      <c r="L990">
        <v>0</v>
      </c>
      <c r="M990">
        <v>0</v>
      </c>
      <c r="N990">
        <v>2400</v>
      </c>
    </row>
    <row r="991" spans="1:14" x14ac:dyDescent="0.25">
      <c r="A991">
        <v>496.10812600000003</v>
      </c>
      <c r="B991" s="1">
        <f>DATE(2011,9,9) + TIME(2,35,42)</f>
        <v>40795.108124999999</v>
      </c>
      <c r="C991">
        <v>80</v>
      </c>
      <c r="D991">
        <v>79.938079834000007</v>
      </c>
      <c r="E991">
        <v>50</v>
      </c>
      <c r="F991">
        <v>39.891349792</v>
      </c>
      <c r="G991">
        <v>1380.5386963000001</v>
      </c>
      <c r="H991">
        <v>1367.7242432</v>
      </c>
      <c r="I991">
        <v>1278.6423339999999</v>
      </c>
      <c r="J991">
        <v>1255.1641846</v>
      </c>
      <c r="K991">
        <v>2400</v>
      </c>
      <c r="L991">
        <v>0</v>
      </c>
      <c r="M991">
        <v>0</v>
      </c>
      <c r="N991">
        <v>2400</v>
      </c>
    </row>
    <row r="992" spans="1:14" x14ac:dyDescent="0.25">
      <c r="A992">
        <v>497.72975200000002</v>
      </c>
      <c r="B992" s="1">
        <f>DATE(2011,9,10) + TIME(17,30,50)</f>
        <v>40796.729745370372</v>
      </c>
      <c r="C992">
        <v>80</v>
      </c>
      <c r="D992">
        <v>79.938194275000001</v>
      </c>
      <c r="E992">
        <v>50</v>
      </c>
      <c r="F992">
        <v>39.843647003000001</v>
      </c>
      <c r="G992">
        <v>1380.4969481999999</v>
      </c>
      <c r="H992">
        <v>1367.6837158000001</v>
      </c>
      <c r="I992">
        <v>1278.5712891000001</v>
      </c>
      <c r="J992">
        <v>1255.0327147999999</v>
      </c>
      <c r="K992">
        <v>2400</v>
      </c>
      <c r="L992">
        <v>0</v>
      </c>
      <c r="M992">
        <v>0</v>
      </c>
      <c r="N992">
        <v>2400</v>
      </c>
    </row>
    <row r="993" spans="1:14" x14ac:dyDescent="0.25">
      <c r="A993">
        <v>499.359646</v>
      </c>
      <c r="B993" s="1">
        <f>DATE(2011,9,12) + TIME(8,37,53)</f>
        <v>40798.3596412037</v>
      </c>
      <c r="C993">
        <v>80</v>
      </c>
      <c r="D993">
        <v>79.938285828000005</v>
      </c>
      <c r="E993">
        <v>50</v>
      </c>
      <c r="F993">
        <v>39.785266876000001</v>
      </c>
      <c r="G993">
        <v>1380.4411620999999</v>
      </c>
      <c r="H993">
        <v>1367.630249</v>
      </c>
      <c r="I993">
        <v>1278.4479980000001</v>
      </c>
      <c r="J993">
        <v>1254.8225098</v>
      </c>
      <c r="K993">
        <v>2400</v>
      </c>
      <c r="L993">
        <v>0</v>
      </c>
      <c r="M993">
        <v>0</v>
      </c>
      <c r="N993">
        <v>2400</v>
      </c>
    </row>
    <row r="994" spans="1:14" x14ac:dyDescent="0.25">
      <c r="A994">
        <v>501.013239</v>
      </c>
      <c r="B994" s="1">
        <f>DATE(2011,9,14) + TIME(0,19,3)</f>
        <v>40800.013229166667</v>
      </c>
      <c r="C994">
        <v>80</v>
      </c>
      <c r="D994">
        <v>79.938369750999996</v>
      </c>
      <c r="E994">
        <v>50</v>
      </c>
      <c r="F994">
        <v>39.729549407999997</v>
      </c>
      <c r="G994">
        <v>1380.3819579999999</v>
      </c>
      <c r="H994">
        <v>1367.5733643000001</v>
      </c>
      <c r="I994">
        <v>1278.3238524999999</v>
      </c>
      <c r="J994">
        <v>1254.6053466999999</v>
      </c>
      <c r="K994">
        <v>2400</v>
      </c>
      <c r="L994">
        <v>0</v>
      </c>
      <c r="M994">
        <v>0</v>
      </c>
      <c r="N994">
        <v>2400</v>
      </c>
    </row>
    <row r="995" spans="1:14" x14ac:dyDescent="0.25">
      <c r="A995">
        <v>502.69636100000002</v>
      </c>
      <c r="B995" s="1">
        <f>DATE(2011,9,15) + TIME(16,42,45)</f>
        <v>40801.69635416667</v>
      </c>
      <c r="C995">
        <v>80</v>
      </c>
      <c r="D995">
        <v>79.938461304</v>
      </c>
      <c r="E995">
        <v>50</v>
      </c>
      <c r="F995">
        <v>39.681632995999998</v>
      </c>
      <c r="G995">
        <v>1380.3214111</v>
      </c>
      <c r="H995">
        <v>1367.5148925999999</v>
      </c>
      <c r="I995">
        <v>1278.2005615</v>
      </c>
      <c r="J995">
        <v>1254.387207</v>
      </c>
      <c r="K995">
        <v>2400</v>
      </c>
      <c r="L995">
        <v>0</v>
      </c>
      <c r="M995">
        <v>0</v>
      </c>
      <c r="N995">
        <v>2400</v>
      </c>
    </row>
    <row r="996" spans="1:14" x14ac:dyDescent="0.25">
      <c r="A996">
        <v>504.41541000000001</v>
      </c>
      <c r="B996" s="1">
        <f>DATE(2011,9,17) + TIME(9,58,11)</f>
        <v>40803.415405092594</v>
      </c>
      <c r="C996">
        <v>80</v>
      </c>
      <c r="D996">
        <v>79.938552856000001</v>
      </c>
      <c r="E996">
        <v>50</v>
      </c>
      <c r="F996">
        <v>39.644241332999997</v>
      </c>
      <c r="G996">
        <v>1380.2596435999999</v>
      </c>
      <c r="H996">
        <v>1367.4553223</v>
      </c>
      <c r="I996">
        <v>1278.0788574000001</v>
      </c>
      <c r="J996">
        <v>1254.1701660000001</v>
      </c>
      <c r="K996">
        <v>2400</v>
      </c>
      <c r="L996">
        <v>0</v>
      </c>
      <c r="M996">
        <v>0</v>
      </c>
      <c r="N996">
        <v>2400</v>
      </c>
    </row>
    <row r="997" spans="1:14" x14ac:dyDescent="0.25">
      <c r="A997">
        <v>506.17740300000003</v>
      </c>
      <c r="B997" s="1">
        <f>DATE(2011,9,19) + TIME(4,15,27)</f>
        <v>40805.177395833336</v>
      </c>
      <c r="C997">
        <v>80</v>
      </c>
      <c r="D997">
        <v>79.938652039000004</v>
      </c>
      <c r="E997">
        <v>50</v>
      </c>
      <c r="F997">
        <v>39.619529724000003</v>
      </c>
      <c r="G997">
        <v>1380.1967772999999</v>
      </c>
      <c r="H997">
        <v>1367.3946533000001</v>
      </c>
      <c r="I997">
        <v>1277.9586182</v>
      </c>
      <c r="J997">
        <v>1253.9550781</v>
      </c>
      <c r="K997">
        <v>2400</v>
      </c>
      <c r="L997">
        <v>0</v>
      </c>
      <c r="M997">
        <v>0</v>
      </c>
      <c r="N997">
        <v>2400</v>
      </c>
    </row>
    <row r="998" spans="1:14" x14ac:dyDescent="0.25">
      <c r="A998">
        <v>507.990205</v>
      </c>
      <c r="B998" s="1">
        <f>DATE(2011,9,20) + TIME(23,45,53)</f>
        <v>40806.99019675926</v>
      </c>
      <c r="C998">
        <v>80</v>
      </c>
      <c r="D998">
        <v>79.938751221000004</v>
      </c>
      <c r="E998">
        <v>50</v>
      </c>
      <c r="F998">
        <v>39.609771729000002</v>
      </c>
      <c r="G998">
        <v>1380.1325684000001</v>
      </c>
      <c r="H998">
        <v>1367.3327637</v>
      </c>
      <c r="I998">
        <v>1277.8399658000001</v>
      </c>
      <c r="J998">
        <v>1253.7421875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509.86272000000002</v>
      </c>
      <c r="B999" s="1">
        <f>DATE(2011,9,22) + TIME(20,42,19)</f>
        <v>40808.862719907411</v>
      </c>
      <c r="C999">
        <v>80</v>
      </c>
      <c r="D999">
        <v>79.938850403000004</v>
      </c>
      <c r="E999">
        <v>50</v>
      </c>
      <c r="F999">
        <v>39.617469788000001</v>
      </c>
      <c r="G999">
        <v>1380.0670166</v>
      </c>
      <c r="H999">
        <v>1367.2692870999999</v>
      </c>
      <c r="I999">
        <v>1277.7229004000001</v>
      </c>
      <c r="J999">
        <v>1253.5317382999999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510.82942700000001</v>
      </c>
      <c r="B1000" s="1">
        <f>DATE(2011,9,23) + TIME(19,54,22)</f>
        <v>40809.829421296294</v>
      </c>
      <c r="C1000">
        <v>80</v>
      </c>
      <c r="D1000">
        <v>79.938880920000003</v>
      </c>
      <c r="E1000">
        <v>50</v>
      </c>
      <c r="F1000">
        <v>39.639408111999998</v>
      </c>
      <c r="G1000">
        <v>1380.0157471</v>
      </c>
      <c r="H1000">
        <v>1367.2203368999999</v>
      </c>
      <c r="I1000">
        <v>1277.6176757999999</v>
      </c>
      <c r="J1000">
        <v>1253.3459473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511.796134</v>
      </c>
      <c r="B1001" s="1">
        <f>DATE(2011,9,24) + TIME(19,6,26)</f>
        <v>40810.796134259261</v>
      </c>
      <c r="C1001">
        <v>80</v>
      </c>
      <c r="D1001">
        <v>79.938934325999995</v>
      </c>
      <c r="E1001">
        <v>50</v>
      </c>
      <c r="F1001">
        <v>39.665710449000002</v>
      </c>
      <c r="G1001">
        <v>1379.9749756000001</v>
      </c>
      <c r="H1001">
        <v>1367.1806641000001</v>
      </c>
      <c r="I1001">
        <v>1277.5552978999999</v>
      </c>
      <c r="J1001">
        <v>1253.2304687999999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512.76284099999998</v>
      </c>
      <c r="B1002" s="1">
        <f>DATE(2011,9,25) + TIME(18,18,29)</f>
        <v>40811.762835648151</v>
      </c>
      <c r="C1002">
        <v>80</v>
      </c>
      <c r="D1002">
        <v>79.938995360999996</v>
      </c>
      <c r="E1002">
        <v>50</v>
      </c>
      <c r="F1002">
        <v>39.697330475000001</v>
      </c>
      <c r="G1002">
        <v>1379.9376221</v>
      </c>
      <c r="H1002">
        <v>1367.1444091999999</v>
      </c>
      <c r="I1002">
        <v>1277.4978027</v>
      </c>
      <c r="J1002">
        <v>1253.1254882999999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513.72954900000002</v>
      </c>
      <c r="B1003" s="1">
        <f>DATE(2011,9,26) + TIME(17,30,32)</f>
        <v>40812.729537037034</v>
      </c>
      <c r="C1003">
        <v>80</v>
      </c>
      <c r="D1003">
        <v>79.939048767000003</v>
      </c>
      <c r="E1003">
        <v>50</v>
      </c>
      <c r="F1003">
        <v>39.734699249000002</v>
      </c>
      <c r="G1003">
        <v>1379.9018555</v>
      </c>
      <c r="H1003">
        <v>1367.1096190999999</v>
      </c>
      <c r="I1003">
        <v>1277.4428711</v>
      </c>
      <c r="J1003">
        <v>1253.0264893000001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514.69625599999995</v>
      </c>
      <c r="B1004" s="1">
        <f>DATE(2011,9,27) + TIME(16,42,36)</f>
        <v>40813.696250000001</v>
      </c>
      <c r="C1004">
        <v>80</v>
      </c>
      <c r="D1004">
        <v>79.939102172999995</v>
      </c>
      <c r="E1004">
        <v>50</v>
      </c>
      <c r="F1004">
        <v>39.778011321999998</v>
      </c>
      <c r="G1004">
        <v>1379.8666992000001</v>
      </c>
      <c r="H1004">
        <v>1367.0755615</v>
      </c>
      <c r="I1004">
        <v>1277.3898925999999</v>
      </c>
      <c r="J1004">
        <v>1252.9317627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515.66296299999999</v>
      </c>
      <c r="B1005" s="1">
        <f>DATE(2011,9,28) + TIME(15,54,39)</f>
        <v>40814.662951388891</v>
      </c>
      <c r="C1005">
        <v>80</v>
      </c>
      <c r="D1005">
        <v>79.939163207999997</v>
      </c>
      <c r="E1005">
        <v>50</v>
      </c>
      <c r="F1005">
        <v>39.827377319</v>
      </c>
      <c r="G1005">
        <v>1379.8320312000001</v>
      </c>
      <c r="H1005">
        <v>1367.0419922000001</v>
      </c>
      <c r="I1005">
        <v>1277.3386230000001</v>
      </c>
      <c r="J1005">
        <v>1252.8406981999999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516.62967000000003</v>
      </c>
      <c r="B1006" s="1">
        <f>DATE(2011,9,29) + TIME(15,6,43)</f>
        <v>40815.629664351851</v>
      </c>
      <c r="C1006">
        <v>80</v>
      </c>
      <c r="D1006">
        <v>79.939216614000003</v>
      </c>
      <c r="E1006">
        <v>50</v>
      </c>
      <c r="F1006">
        <v>39.882843018000003</v>
      </c>
      <c r="G1006">
        <v>1379.7978516000001</v>
      </c>
      <c r="H1006">
        <v>1367.0087891000001</v>
      </c>
      <c r="I1006">
        <v>1277.2889404</v>
      </c>
      <c r="J1006">
        <v>1252.7529297000001</v>
      </c>
      <c r="K1006">
        <v>2400</v>
      </c>
      <c r="L1006">
        <v>0</v>
      </c>
      <c r="M1006">
        <v>0</v>
      </c>
      <c r="N1006">
        <v>2400</v>
      </c>
    </row>
    <row r="1007" spans="1:14" x14ac:dyDescent="0.25">
      <c r="A1007">
        <v>518</v>
      </c>
      <c r="B1007" s="1">
        <f>DATE(2011,10,1) + TIME(0,0,0)</f>
        <v>40817</v>
      </c>
      <c r="C1007">
        <v>80</v>
      </c>
      <c r="D1007">
        <v>79.939300536999994</v>
      </c>
      <c r="E1007">
        <v>50</v>
      </c>
      <c r="F1007">
        <v>39.953399658000002</v>
      </c>
      <c r="G1007">
        <v>1379.7578125</v>
      </c>
      <c r="H1007">
        <v>1366.9698486</v>
      </c>
      <c r="I1007">
        <v>1277.2363281</v>
      </c>
      <c r="J1007">
        <v>1252.6617432</v>
      </c>
      <c r="K1007">
        <v>2400</v>
      </c>
      <c r="L1007">
        <v>0</v>
      </c>
      <c r="M1007">
        <v>0</v>
      </c>
      <c r="N1007">
        <v>2400</v>
      </c>
    </row>
    <row r="1008" spans="1:14" x14ac:dyDescent="0.25">
      <c r="A1008">
        <v>518.96670700000004</v>
      </c>
      <c r="B1008" s="1">
        <f>DATE(2011,10,1) + TIME(23,12,3)</f>
        <v>40817.96670138889</v>
      </c>
      <c r="C1008">
        <v>80</v>
      </c>
      <c r="D1008">
        <v>79.939338684000006</v>
      </c>
      <c r="E1008">
        <v>50</v>
      </c>
      <c r="F1008">
        <v>40.033203125</v>
      </c>
      <c r="G1008">
        <v>1379.7194824000001</v>
      </c>
      <c r="H1008">
        <v>1366.9328613</v>
      </c>
      <c r="I1008">
        <v>1277.1776123</v>
      </c>
      <c r="J1008">
        <v>1252.5573730000001</v>
      </c>
      <c r="K1008">
        <v>2400</v>
      </c>
      <c r="L1008">
        <v>0</v>
      </c>
      <c r="M1008">
        <v>0</v>
      </c>
      <c r="N1008">
        <v>2400</v>
      </c>
    </row>
    <row r="1009" spans="1:14" x14ac:dyDescent="0.25">
      <c r="A1009">
        <v>519.93341399999997</v>
      </c>
      <c r="B1009" s="1">
        <f>DATE(2011,10,2) + TIME(22,24,6)</f>
        <v>40818.93340277778</v>
      </c>
      <c r="C1009">
        <v>80</v>
      </c>
      <c r="D1009">
        <v>79.939392089999998</v>
      </c>
      <c r="E1009">
        <v>50</v>
      </c>
      <c r="F1009">
        <v>40.113574982000003</v>
      </c>
      <c r="G1009">
        <v>1379.6843262</v>
      </c>
      <c r="H1009">
        <v>1366.8986815999999</v>
      </c>
      <c r="I1009">
        <v>1277.1309814000001</v>
      </c>
      <c r="J1009">
        <v>1252.4771728999999</v>
      </c>
      <c r="K1009">
        <v>2400</v>
      </c>
      <c r="L1009">
        <v>0</v>
      </c>
      <c r="M1009">
        <v>0</v>
      </c>
      <c r="N1009">
        <v>2400</v>
      </c>
    </row>
    <row r="1010" spans="1:14" x14ac:dyDescent="0.25">
      <c r="A1010">
        <v>520.90012100000001</v>
      </c>
      <c r="B1010" s="1">
        <f>DATE(2011,10,3) + TIME(21,36,10)</f>
        <v>40819.90011574074</v>
      </c>
      <c r="C1010">
        <v>80</v>
      </c>
      <c r="D1010">
        <v>79.939445496000005</v>
      </c>
      <c r="E1010">
        <v>50</v>
      </c>
      <c r="F1010">
        <v>40.197479248</v>
      </c>
      <c r="G1010">
        <v>1379.6503906</v>
      </c>
      <c r="H1010">
        <v>1366.8657227000001</v>
      </c>
      <c r="I1010">
        <v>1277.0867920000001</v>
      </c>
      <c r="J1010">
        <v>1252.4013672000001</v>
      </c>
      <c r="K1010">
        <v>2400</v>
      </c>
      <c r="L1010">
        <v>0</v>
      </c>
      <c r="M1010">
        <v>0</v>
      </c>
      <c r="N1010">
        <v>2400</v>
      </c>
    </row>
    <row r="1011" spans="1:14" x14ac:dyDescent="0.25">
      <c r="A1011">
        <v>522.83353499999998</v>
      </c>
      <c r="B1011" s="1">
        <f>DATE(2011,10,5) + TIME(20,0,17)</f>
        <v>40821.83353009259</v>
      </c>
      <c r="C1011">
        <v>80</v>
      </c>
      <c r="D1011">
        <v>79.939575195000003</v>
      </c>
      <c r="E1011">
        <v>50</v>
      </c>
      <c r="F1011">
        <v>40.310352324999997</v>
      </c>
      <c r="G1011">
        <v>1379.6049805</v>
      </c>
      <c r="H1011">
        <v>1366.8212891000001</v>
      </c>
      <c r="I1011">
        <v>1277.034668</v>
      </c>
      <c r="J1011">
        <v>1252.317749</v>
      </c>
      <c r="K1011">
        <v>2400</v>
      </c>
      <c r="L1011">
        <v>0</v>
      </c>
      <c r="M1011">
        <v>0</v>
      </c>
      <c r="N1011">
        <v>2400</v>
      </c>
    </row>
    <row r="1012" spans="1:14" x14ac:dyDescent="0.25">
      <c r="A1012">
        <v>524.76885500000003</v>
      </c>
      <c r="B1012" s="1">
        <f>DATE(2011,10,7) + TIME(18,27,9)</f>
        <v>40823.768854166665</v>
      </c>
      <c r="C1012">
        <v>80</v>
      </c>
      <c r="D1012">
        <v>79.939674377000003</v>
      </c>
      <c r="E1012">
        <v>50</v>
      </c>
      <c r="F1012">
        <v>40.483535766999999</v>
      </c>
      <c r="G1012">
        <v>1379.5455322</v>
      </c>
      <c r="H1012">
        <v>1366.7636719</v>
      </c>
      <c r="I1012">
        <v>1276.9582519999999</v>
      </c>
      <c r="J1012">
        <v>1252.1877440999999</v>
      </c>
      <c r="K1012">
        <v>2400</v>
      </c>
      <c r="L1012">
        <v>0</v>
      </c>
      <c r="M1012">
        <v>0</v>
      </c>
      <c r="N1012">
        <v>2400</v>
      </c>
    </row>
    <row r="1013" spans="1:14" x14ac:dyDescent="0.25">
      <c r="A1013">
        <v>526.73309500000005</v>
      </c>
      <c r="B1013" s="1">
        <f>DATE(2011,10,9) + TIME(17,35,39)</f>
        <v>40825.733090277776</v>
      </c>
      <c r="C1013">
        <v>80</v>
      </c>
      <c r="D1013">
        <v>79.939773560000006</v>
      </c>
      <c r="E1013">
        <v>50</v>
      </c>
      <c r="F1013">
        <v>40.689754485999998</v>
      </c>
      <c r="G1013">
        <v>1379.4826660000001</v>
      </c>
      <c r="H1013">
        <v>1366.7027588000001</v>
      </c>
      <c r="I1013">
        <v>1276.8823242000001</v>
      </c>
      <c r="J1013">
        <v>1252.0625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528.73247100000003</v>
      </c>
      <c r="B1014" s="1">
        <f>DATE(2011,10,11) + TIME(17,34,45)</f>
        <v>40827.732465277775</v>
      </c>
      <c r="C1014">
        <v>80</v>
      </c>
      <c r="D1014">
        <v>79.939880371000001</v>
      </c>
      <c r="E1014">
        <v>50</v>
      </c>
      <c r="F1014">
        <v>40.921863555999998</v>
      </c>
      <c r="G1014">
        <v>1379.4183350000001</v>
      </c>
      <c r="H1014">
        <v>1366.6402588000001</v>
      </c>
      <c r="I1014">
        <v>1276.8085937999999</v>
      </c>
      <c r="J1014">
        <v>1251.9442139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530.77367200000003</v>
      </c>
      <c r="B1015" s="1">
        <f>DATE(2011,10,13) + TIME(18,34,5)</f>
        <v>40829.773668981485</v>
      </c>
      <c r="C1015">
        <v>80</v>
      </c>
      <c r="D1015">
        <v>79.939987183</v>
      </c>
      <c r="E1015">
        <v>50</v>
      </c>
      <c r="F1015">
        <v>41.177394866999997</v>
      </c>
      <c r="G1015">
        <v>1379.3531493999999</v>
      </c>
      <c r="H1015">
        <v>1366.5767822</v>
      </c>
      <c r="I1015">
        <v>1276.7374268000001</v>
      </c>
      <c r="J1015">
        <v>1251.8331298999999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532.86411299999997</v>
      </c>
      <c r="B1016" s="1">
        <f>DATE(2011,10,15) + TIME(20,44,19)</f>
        <v>40831.864108796297</v>
      </c>
      <c r="C1016">
        <v>80</v>
      </c>
      <c r="D1016">
        <v>79.940101623999993</v>
      </c>
      <c r="E1016">
        <v>50</v>
      </c>
      <c r="F1016">
        <v>41.455020904999998</v>
      </c>
      <c r="G1016">
        <v>1379.2869873</v>
      </c>
      <c r="H1016">
        <v>1366.5125731999999</v>
      </c>
      <c r="I1016">
        <v>1276.6685791</v>
      </c>
      <c r="J1016">
        <v>1251.729126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535.01178600000003</v>
      </c>
      <c r="B1017" s="1">
        <f>DATE(2011,10,18) + TIME(0,16,58)</f>
        <v>40834.011782407404</v>
      </c>
      <c r="C1017">
        <v>80</v>
      </c>
      <c r="D1017">
        <v>79.940208435000002</v>
      </c>
      <c r="E1017">
        <v>50</v>
      </c>
      <c r="F1017">
        <v>41.753417968999997</v>
      </c>
      <c r="G1017">
        <v>1379.2199707</v>
      </c>
      <c r="H1017">
        <v>1366.4472656</v>
      </c>
      <c r="I1017">
        <v>1276.6020507999999</v>
      </c>
      <c r="J1017">
        <v>1251.6315918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537.16147100000001</v>
      </c>
      <c r="B1018" s="1">
        <f>DATE(2011,10,20) + TIME(3,52,31)</f>
        <v>40836.161469907405</v>
      </c>
      <c r="C1018">
        <v>80</v>
      </c>
      <c r="D1018">
        <v>79.940322875999996</v>
      </c>
      <c r="E1018">
        <v>50</v>
      </c>
      <c r="F1018">
        <v>42.068912505999997</v>
      </c>
      <c r="G1018">
        <v>1379.1527100000001</v>
      </c>
      <c r="H1018">
        <v>1366.3817139</v>
      </c>
      <c r="I1018">
        <v>1276.5380858999999</v>
      </c>
      <c r="J1018">
        <v>1251.5406493999999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538.23703399999999</v>
      </c>
      <c r="B1019" s="1">
        <f>DATE(2011,10,21) + TIME(5,41,19)</f>
        <v>40837.237025462964</v>
      </c>
      <c r="C1019">
        <v>80</v>
      </c>
      <c r="D1019">
        <v>79.940353393999999</v>
      </c>
      <c r="E1019">
        <v>50</v>
      </c>
      <c r="F1019">
        <v>42.330074310000001</v>
      </c>
      <c r="G1019">
        <v>1379.1022949000001</v>
      </c>
      <c r="H1019">
        <v>1366.3331298999999</v>
      </c>
      <c r="I1019">
        <v>1276.4925536999999</v>
      </c>
      <c r="J1019">
        <v>1251.4667969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539.31259599999998</v>
      </c>
      <c r="B1020" s="1">
        <f>DATE(2011,10,22) + TIME(7,30,8)</f>
        <v>40838.312592592592</v>
      </c>
      <c r="C1020">
        <v>80</v>
      </c>
      <c r="D1020">
        <v>79.940414429</v>
      </c>
      <c r="E1020">
        <v>50</v>
      </c>
      <c r="F1020">
        <v>42.533439635999997</v>
      </c>
      <c r="G1020">
        <v>1379.0621338000001</v>
      </c>
      <c r="H1020">
        <v>1366.2938231999999</v>
      </c>
      <c r="I1020">
        <v>1276.4566649999999</v>
      </c>
      <c r="J1020">
        <v>1251.4265137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540.38815899999997</v>
      </c>
      <c r="B1021" s="1">
        <f>DATE(2011,10,23) + TIME(9,18,56)</f>
        <v>40839.388148148151</v>
      </c>
      <c r="C1021">
        <v>80</v>
      </c>
      <c r="D1021">
        <v>79.940475464000002</v>
      </c>
      <c r="E1021">
        <v>50</v>
      </c>
      <c r="F1021">
        <v>42.714096069</v>
      </c>
      <c r="G1021">
        <v>1379.0258789</v>
      </c>
      <c r="H1021">
        <v>1366.2583007999999</v>
      </c>
      <c r="I1021">
        <v>1276.4255370999999</v>
      </c>
      <c r="J1021">
        <v>1251.3884277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541.46372099999996</v>
      </c>
      <c r="B1022" s="1">
        <f>DATE(2011,10,24) + TIME(11,7,45)</f>
        <v>40840.46371527778</v>
      </c>
      <c r="C1022">
        <v>80</v>
      </c>
      <c r="D1022">
        <v>79.940536499000004</v>
      </c>
      <c r="E1022">
        <v>50</v>
      </c>
      <c r="F1022">
        <v>42.88577652</v>
      </c>
      <c r="G1022">
        <v>1378.9912108999999</v>
      </c>
      <c r="H1022">
        <v>1366.2246094</v>
      </c>
      <c r="I1022">
        <v>1276.3968506000001</v>
      </c>
      <c r="J1022">
        <v>1251.3522949000001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542.53928399999995</v>
      </c>
      <c r="B1023" s="1">
        <f>DATE(2011,10,25) + TIME(12,56,34)</f>
        <v>40841.539282407408</v>
      </c>
      <c r="C1023">
        <v>80</v>
      </c>
      <c r="D1023">
        <v>79.940597534000005</v>
      </c>
      <c r="E1023">
        <v>50</v>
      </c>
      <c r="F1023">
        <v>43.053733825999998</v>
      </c>
      <c r="G1023">
        <v>1378.9576416</v>
      </c>
      <c r="H1023">
        <v>1366.1916504000001</v>
      </c>
      <c r="I1023">
        <v>1276.3695068</v>
      </c>
      <c r="J1023">
        <v>1251.3181152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543.61484599999994</v>
      </c>
      <c r="B1024" s="1">
        <f>DATE(2011,10,26) + TIME(14,45,22)</f>
        <v>40842.614837962959</v>
      </c>
      <c r="C1024">
        <v>80</v>
      </c>
      <c r="D1024">
        <v>79.940658568999993</v>
      </c>
      <c r="E1024">
        <v>50</v>
      </c>
      <c r="F1024">
        <v>43.219905853</v>
      </c>
      <c r="G1024">
        <v>1378.9245605000001</v>
      </c>
      <c r="H1024">
        <v>1366.1595459</v>
      </c>
      <c r="I1024">
        <v>1276.3433838000001</v>
      </c>
      <c r="J1024">
        <v>1251.2855225000001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544.69040900000005</v>
      </c>
      <c r="B1025" s="1">
        <f>DATE(2011,10,27) + TIME(16,34,11)</f>
        <v>40843.690405092595</v>
      </c>
      <c r="C1025">
        <v>80</v>
      </c>
      <c r="D1025">
        <v>79.940711974999999</v>
      </c>
      <c r="E1025">
        <v>50</v>
      </c>
      <c r="F1025">
        <v>43.384922027999998</v>
      </c>
      <c r="G1025">
        <v>1378.8920897999999</v>
      </c>
      <c r="H1025">
        <v>1366.1278076000001</v>
      </c>
      <c r="I1025">
        <v>1276.3181152</v>
      </c>
      <c r="J1025">
        <v>1251.2543945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545.76597100000004</v>
      </c>
      <c r="B1026" s="1">
        <f>DATE(2011,10,28) + TIME(18,22,59)</f>
        <v>40844.765960648147</v>
      </c>
      <c r="C1026">
        <v>80</v>
      </c>
      <c r="D1026">
        <v>79.940773010000001</v>
      </c>
      <c r="E1026">
        <v>50</v>
      </c>
      <c r="F1026">
        <v>43.548908234000002</v>
      </c>
      <c r="G1026">
        <v>1378.8598632999999</v>
      </c>
      <c r="H1026">
        <v>1366.0964355000001</v>
      </c>
      <c r="I1026">
        <v>1276.2935791</v>
      </c>
      <c r="J1026">
        <v>1251.2247314000001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546.84153400000002</v>
      </c>
      <c r="B1027" s="1">
        <f>DATE(2011,10,29) + TIME(20,11,48)</f>
        <v>40845.841527777775</v>
      </c>
      <c r="C1027">
        <v>80</v>
      </c>
      <c r="D1027">
        <v>79.940826415999993</v>
      </c>
      <c r="E1027">
        <v>50</v>
      </c>
      <c r="F1027">
        <v>43.711791992000002</v>
      </c>
      <c r="G1027">
        <v>1378.828125</v>
      </c>
      <c r="H1027">
        <v>1366.0654297000001</v>
      </c>
      <c r="I1027">
        <v>1276.2700195</v>
      </c>
      <c r="J1027">
        <v>1251.1964111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547.92076699999996</v>
      </c>
      <c r="B1028" s="1">
        <f>DATE(2011,10,30) + TIME(22,5,54)</f>
        <v>40846.920763888891</v>
      </c>
      <c r="C1028">
        <v>80</v>
      </c>
      <c r="D1028">
        <v>79.940879821999999</v>
      </c>
      <c r="E1028">
        <v>50</v>
      </c>
      <c r="F1028">
        <v>43.873672485</v>
      </c>
      <c r="G1028">
        <v>1378.7966309000001</v>
      </c>
      <c r="H1028">
        <v>1366.034668</v>
      </c>
      <c r="I1028">
        <v>1276.2470702999999</v>
      </c>
      <c r="J1028">
        <v>1251.1691894999999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549</v>
      </c>
      <c r="B1029" s="1">
        <f>DATE(2011,11,1) + TIME(0,0,0)</f>
        <v>40848</v>
      </c>
      <c r="C1029">
        <v>80</v>
      </c>
      <c r="D1029">
        <v>79.940940857000001</v>
      </c>
      <c r="E1029">
        <v>50</v>
      </c>
      <c r="F1029">
        <v>44.034404754999997</v>
      </c>
      <c r="G1029">
        <v>1378.7653809000001</v>
      </c>
      <c r="H1029">
        <v>1366.0041504000001</v>
      </c>
      <c r="I1029">
        <v>1276.2247314000001</v>
      </c>
      <c r="J1029">
        <v>1251.1431885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549.000001</v>
      </c>
      <c r="B1030" s="1">
        <f>DATE(2011,11,1) + TIME(0,0,0)</f>
        <v>40848</v>
      </c>
      <c r="C1030">
        <v>80</v>
      </c>
      <c r="D1030">
        <v>79.940910338999998</v>
      </c>
      <c r="E1030">
        <v>50</v>
      </c>
      <c r="F1030">
        <v>44.034431458</v>
      </c>
      <c r="G1030">
        <v>1365.9941406</v>
      </c>
      <c r="H1030">
        <v>1353.440918</v>
      </c>
      <c r="I1030">
        <v>1301.6110839999999</v>
      </c>
      <c r="J1030">
        <v>1276.2364502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549.00000399999999</v>
      </c>
      <c r="B1031" s="1">
        <f>DATE(2011,11,1) + TIME(0,0,0)</f>
        <v>40848</v>
      </c>
      <c r="C1031">
        <v>80</v>
      </c>
      <c r="D1031">
        <v>79.940811156999999</v>
      </c>
      <c r="E1031">
        <v>50</v>
      </c>
      <c r="F1031">
        <v>44.034503936999997</v>
      </c>
      <c r="G1031">
        <v>1365.9642334</v>
      </c>
      <c r="H1031">
        <v>1353.4108887</v>
      </c>
      <c r="I1031">
        <v>1301.6409911999999</v>
      </c>
      <c r="J1031">
        <v>1276.2714844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549.00001299999997</v>
      </c>
      <c r="B1032" s="1">
        <f>DATE(2011,11,1) + TIME(0,0,1)</f>
        <v>40848.000011574077</v>
      </c>
      <c r="C1032">
        <v>80</v>
      </c>
      <c r="D1032">
        <v>79.940521239999995</v>
      </c>
      <c r="E1032">
        <v>50</v>
      </c>
      <c r="F1032">
        <v>44.034729003999999</v>
      </c>
      <c r="G1032">
        <v>1365.875</v>
      </c>
      <c r="H1032">
        <v>1353.3215332</v>
      </c>
      <c r="I1032">
        <v>1301.7305908000001</v>
      </c>
      <c r="J1032">
        <v>1276.3760986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549.00004000000001</v>
      </c>
      <c r="B1033" s="1">
        <f>DATE(2011,11,1) + TIME(0,0,3)</f>
        <v>40848.000034722223</v>
      </c>
      <c r="C1033">
        <v>80</v>
      </c>
      <c r="D1033">
        <v>79.939682007000002</v>
      </c>
      <c r="E1033">
        <v>50</v>
      </c>
      <c r="F1033">
        <v>44.035388947000001</v>
      </c>
      <c r="G1033">
        <v>1365.6121826000001</v>
      </c>
      <c r="H1033">
        <v>1353.0584716999999</v>
      </c>
      <c r="I1033">
        <v>1301.9967041</v>
      </c>
      <c r="J1033">
        <v>1276.6862793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549.00012100000004</v>
      </c>
      <c r="B1034" s="1">
        <f>DATE(2011,11,1) + TIME(0,0,10)</f>
        <v>40848.000115740739</v>
      </c>
      <c r="C1034">
        <v>80</v>
      </c>
      <c r="D1034">
        <v>79.937286377000007</v>
      </c>
      <c r="E1034">
        <v>50</v>
      </c>
      <c r="F1034">
        <v>44.037334442000002</v>
      </c>
      <c r="G1034">
        <v>1364.8668213000001</v>
      </c>
      <c r="H1034">
        <v>1352.3121338000001</v>
      </c>
      <c r="I1034">
        <v>1302.7719727000001</v>
      </c>
      <c r="J1034">
        <v>1277.5858154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549.00036399999999</v>
      </c>
      <c r="B1035" s="1">
        <f>DATE(2011,11,1) + TIME(0,0,31)</f>
        <v>40848.000358796293</v>
      </c>
      <c r="C1035">
        <v>80</v>
      </c>
      <c r="D1035">
        <v>79.931121825999995</v>
      </c>
      <c r="E1035">
        <v>50</v>
      </c>
      <c r="F1035">
        <v>44.042827606000003</v>
      </c>
      <c r="G1035">
        <v>1362.9447021000001</v>
      </c>
      <c r="H1035">
        <v>1350.3881836</v>
      </c>
      <c r="I1035">
        <v>1304.9124756000001</v>
      </c>
      <c r="J1035">
        <v>1280.0361327999999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549.00109299999997</v>
      </c>
      <c r="B1036" s="1">
        <f>DATE(2011,11,1) + TIME(0,1,34)</f>
        <v>40848.001087962963</v>
      </c>
      <c r="C1036">
        <v>80</v>
      </c>
      <c r="D1036">
        <v>79.918159485000004</v>
      </c>
      <c r="E1036">
        <v>50</v>
      </c>
      <c r="F1036">
        <v>44.057144164999997</v>
      </c>
      <c r="G1036">
        <v>1358.9110106999999</v>
      </c>
      <c r="H1036">
        <v>1346.3516846</v>
      </c>
      <c r="I1036">
        <v>1310.0979004000001</v>
      </c>
      <c r="J1036">
        <v>1285.7822266000001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549.00328000000002</v>
      </c>
      <c r="B1037" s="1">
        <f>DATE(2011,11,1) + TIME(0,4,43)</f>
        <v>40848.003275462965</v>
      </c>
      <c r="C1037">
        <v>80</v>
      </c>
      <c r="D1037">
        <v>79.898025512999993</v>
      </c>
      <c r="E1037">
        <v>50</v>
      </c>
      <c r="F1037">
        <v>44.088874816999997</v>
      </c>
      <c r="G1037">
        <v>1352.7263184000001</v>
      </c>
      <c r="H1037">
        <v>1340.1652832</v>
      </c>
      <c r="I1037">
        <v>1319.8493652</v>
      </c>
      <c r="J1037">
        <v>1295.9858397999999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549.00984100000005</v>
      </c>
      <c r="B1038" s="1">
        <f>DATE(2011,11,1) + TIME(0,14,10)</f>
        <v>40848.009837962964</v>
      </c>
      <c r="C1038">
        <v>80</v>
      </c>
      <c r="D1038">
        <v>79.873939514</v>
      </c>
      <c r="E1038">
        <v>50</v>
      </c>
      <c r="F1038">
        <v>44.160358428999999</v>
      </c>
      <c r="G1038">
        <v>1345.6070557</v>
      </c>
      <c r="H1038">
        <v>1333.0454102000001</v>
      </c>
      <c r="I1038">
        <v>1333.1392822</v>
      </c>
      <c r="J1038">
        <v>1309.2586670000001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549.02952400000004</v>
      </c>
      <c r="B1039" s="1">
        <f>DATE(2011,11,1) + TIME(0,42,30)</f>
        <v>40848.029513888891</v>
      </c>
      <c r="C1039">
        <v>80</v>
      </c>
      <c r="D1039">
        <v>79.846710204999994</v>
      </c>
      <c r="E1039">
        <v>50</v>
      </c>
      <c r="F1039">
        <v>44.337127686000002</v>
      </c>
      <c r="G1039">
        <v>1338.3603516000001</v>
      </c>
      <c r="H1039">
        <v>1325.7935791</v>
      </c>
      <c r="I1039">
        <v>1347.4637451000001</v>
      </c>
      <c r="J1039">
        <v>1323.4072266000001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549.07058600000005</v>
      </c>
      <c r="B1040" s="1">
        <f>DATE(2011,11,1) + TIME(1,41,38)</f>
        <v>40848.0705787037</v>
      </c>
      <c r="C1040">
        <v>80</v>
      </c>
      <c r="D1040">
        <v>79.818992614999999</v>
      </c>
      <c r="E1040">
        <v>50</v>
      </c>
      <c r="F1040">
        <v>44.664329529</v>
      </c>
      <c r="G1040">
        <v>1332.3265381000001</v>
      </c>
      <c r="H1040">
        <v>1319.7431641000001</v>
      </c>
      <c r="I1040">
        <v>1359.1730957</v>
      </c>
      <c r="J1040">
        <v>1335.0932617000001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549.11411899999996</v>
      </c>
      <c r="B1041" s="1">
        <f>DATE(2011,11,1) + TIME(2,44,19)</f>
        <v>40848.114108796297</v>
      </c>
      <c r="C1041">
        <v>80</v>
      </c>
      <c r="D1041">
        <v>79.798027039000004</v>
      </c>
      <c r="E1041">
        <v>50</v>
      </c>
      <c r="F1041">
        <v>44.983993529999999</v>
      </c>
      <c r="G1041">
        <v>1328.6636963000001</v>
      </c>
      <c r="H1041">
        <v>1316.0650635</v>
      </c>
      <c r="I1041">
        <v>1365.9993896000001</v>
      </c>
      <c r="J1041">
        <v>1342.0006103999999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549.15966500000002</v>
      </c>
      <c r="B1042" s="1">
        <f>DATE(2011,11,1) + TIME(3,49,55)</f>
        <v>40848.15966435185</v>
      </c>
      <c r="C1042">
        <v>80</v>
      </c>
      <c r="D1042">
        <v>79.779823303000001</v>
      </c>
      <c r="E1042">
        <v>50</v>
      </c>
      <c r="F1042">
        <v>45.294559479</v>
      </c>
      <c r="G1042">
        <v>1326.0228271000001</v>
      </c>
      <c r="H1042">
        <v>1313.4123535000001</v>
      </c>
      <c r="I1042">
        <v>1370.6870117000001</v>
      </c>
      <c r="J1042">
        <v>1346.8209228999999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549.20712100000003</v>
      </c>
      <c r="B1043" s="1">
        <f>DATE(2011,11,1) + TIME(4,58,15)</f>
        <v>40848.207118055558</v>
      </c>
      <c r="C1043">
        <v>80</v>
      </c>
      <c r="D1043">
        <v>79.762954711999996</v>
      </c>
      <c r="E1043">
        <v>50</v>
      </c>
      <c r="F1043">
        <v>45.595306395999998</v>
      </c>
      <c r="G1043">
        <v>1323.9302978999999</v>
      </c>
      <c r="H1043">
        <v>1311.3110352000001</v>
      </c>
      <c r="I1043">
        <v>1374.223999</v>
      </c>
      <c r="J1043">
        <v>1350.5155029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549.25652000000002</v>
      </c>
      <c r="B1044" s="1">
        <f>DATE(2011,11,1) + TIME(6,9,23)</f>
        <v>40848.256516203706</v>
      </c>
      <c r="C1044">
        <v>80</v>
      </c>
      <c r="D1044">
        <v>79.746810913000004</v>
      </c>
      <c r="E1044">
        <v>50</v>
      </c>
      <c r="F1044">
        <v>45.885997772000003</v>
      </c>
      <c r="G1044">
        <v>1322.1791992000001</v>
      </c>
      <c r="H1044">
        <v>1309.5533447</v>
      </c>
      <c r="I1044">
        <v>1377.0512695</v>
      </c>
      <c r="J1044">
        <v>1353.5119629000001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549.30795699999999</v>
      </c>
      <c r="B1045" s="1">
        <f>DATE(2011,11,1) + TIME(7,23,27)</f>
        <v>40848.307951388888</v>
      </c>
      <c r="C1045">
        <v>80</v>
      </c>
      <c r="D1045">
        <v>79.731048584000007</v>
      </c>
      <c r="E1045">
        <v>50</v>
      </c>
      <c r="F1045">
        <v>46.166534423999998</v>
      </c>
      <c r="G1045">
        <v>1320.6632079999999</v>
      </c>
      <c r="H1045">
        <v>1308.0323486</v>
      </c>
      <c r="I1045">
        <v>1379.3980713000001</v>
      </c>
      <c r="J1045">
        <v>1356.0322266000001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549.36157500000002</v>
      </c>
      <c r="B1046" s="1">
        <f>DATE(2011,11,1) + TIME(8,40,40)</f>
        <v>40848.361574074072</v>
      </c>
      <c r="C1046">
        <v>80</v>
      </c>
      <c r="D1046">
        <v>79.71546936</v>
      </c>
      <c r="E1046">
        <v>50</v>
      </c>
      <c r="F1046">
        <v>46.436954497999999</v>
      </c>
      <c r="G1046">
        <v>1319.3206786999999</v>
      </c>
      <c r="H1046">
        <v>1306.6859131000001</v>
      </c>
      <c r="I1046">
        <v>1381.3977050999999</v>
      </c>
      <c r="J1046">
        <v>1358.2058105000001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549.41754800000001</v>
      </c>
      <c r="B1047" s="1">
        <f>DATE(2011,11,1) + TIME(10,1,16)</f>
        <v>40848.417546296296</v>
      </c>
      <c r="C1047">
        <v>80</v>
      </c>
      <c r="D1047">
        <v>79.699920653999996</v>
      </c>
      <c r="E1047">
        <v>50</v>
      </c>
      <c r="F1047">
        <v>46.697326660000002</v>
      </c>
      <c r="G1047">
        <v>1318.1125488</v>
      </c>
      <c r="H1047">
        <v>1305.4746094</v>
      </c>
      <c r="I1047">
        <v>1383.1347656</v>
      </c>
      <c r="J1047">
        <v>1360.1147461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549.47609799999998</v>
      </c>
      <c r="B1048" s="1">
        <f>DATE(2011,11,1) + TIME(11,25,34)</f>
        <v>40848.476087962961</v>
      </c>
      <c r="C1048">
        <v>80</v>
      </c>
      <c r="D1048">
        <v>79.684295653999996</v>
      </c>
      <c r="E1048">
        <v>50</v>
      </c>
      <c r="F1048">
        <v>46.947780608999999</v>
      </c>
      <c r="G1048">
        <v>1317.0118408000001</v>
      </c>
      <c r="H1048">
        <v>1304.3712158000001</v>
      </c>
      <c r="I1048">
        <v>1384.6662598</v>
      </c>
      <c r="J1048">
        <v>1361.8151855000001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549.53749300000004</v>
      </c>
      <c r="B1049" s="1">
        <f>DATE(2011,11,1) + TIME(12,53,59)</f>
        <v>40848.537488425929</v>
      </c>
      <c r="C1049">
        <v>80</v>
      </c>
      <c r="D1049">
        <v>79.668495178000001</v>
      </c>
      <c r="E1049">
        <v>50</v>
      </c>
      <c r="F1049">
        <v>47.188495635999999</v>
      </c>
      <c r="G1049">
        <v>1315.9987793</v>
      </c>
      <c r="H1049">
        <v>1303.3558350000001</v>
      </c>
      <c r="I1049">
        <v>1386.0329589999999</v>
      </c>
      <c r="J1049">
        <v>1363.3469238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549.60204499999998</v>
      </c>
      <c r="B1050" s="1">
        <f>DATE(2011,11,1) + TIME(14,26,56)</f>
        <v>40848.602037037039</v>
      </c>
      <c r="C1050">
        <v>80</v>
      </c>
      <c r="D1050">
        <v>79.652420043999996</v>
      </c>
      <c r="E1050">
        <v>50</v>
      </c>
      <c r="F1050">
        <v>47.419605255</v>
      </c>
      <c r="G1050">
        <v>1315.0585937999999</v>
      </c>
      <c r="H1050">
        <v>1302.4136963000001</v>
      </c>
      <c r="I1050">
        <v>1387.2647704999999</v>
      </c>
      <c r="J1050">
        <v>1364.7395019999999</v>
      </c>
      <c r="K1050">
        <v>0</v>
      </c>
      <c r="L1050">
        <v>2400</v>
      </c>
      <c r="M1050">
        <v>2400</v>
      </c>
      <c r="N1050">
        <v>0</v>
      </c>
    </row>
    <row r="1051" spans="1:14" x14ac:dyDescent="0.25">
      <c r="A1051">
        <v>549.67012199999999</v>
      </c>
      <c r="B1051" s="1">
        <f>DATE(2011,11,1) + TIME(16,4,58)</f>
        <v>40848.670115740744</v>
      </c>
      <c r="C1051">
        <v>80</v>
      </c>
      <c r="D1051">
        <v>79.635971068999993</v>
      </c>
      <c r="E1051">
        <v>50</v>
      </c>
      <c r="F1051">
        <v>47.64125061</v>
      </c>
      <c r="G1051">
        <v>1314.1795654</v>
      </c>
      <c r="H1051">
        <v>1301.5329589999999</v>
      </c>
      <c r="I1051">
        <v>1388.3843993999999</v>
      </c>
      <c r="J1051">
        <v>1366.015625</v>
      </c>
      <c r="K1051">
        <v>0</v>
      </c>
      <c r="L1051">
        <v>2400</v>
      </c>
      <c r="M1051">
        <v>2400</v>
      </c>
      <c r="N1051">
        <v>0</v>
      </c>
    </row>
    <row r="1052" spans="1:14" x14ac:dyDescent="0.25">
      <c r="A1052">
        <v>549.74216200000001</v>
      </c>
      <c r="B1052" s="1">
        <f>DATE(2011,11,1) + TIME(17,48,42)</f>
        <v>40848.742152777777</v>
      </c>
      <c r="C1052">
        <v>80</v>
      </c>
      <c r="D1052">
        <v>79.619071959999999</v>
      </c>
      <c r="E1052">
        <v>50</v>
      </c>
      <c r="F1052">
        <v>47.853542328000003</v>
      </c>
      <c r="G1052">
        <v>1313.3521728999999</v>
      </c>
      <c r="H1052">
        <v>1300.7042236</v>
      </c>
      <c r="I1052">
        <v>1389.4097899999999</v>
      </c>
      <c r="J1052">
        <v>1367.1928711</v>
      </c>
      <c r="K1052">
        <v>0</v>
      </c>
      <c r="L1052">
        <v>2400</v>
      </c>
      <c r="M1052">
        <v>2400</v>
      </c>
      <c r="N1052">
        <v>0</v>
      </c>
    </row>
    <row r="1053" spans="1:14" x14ac:dyDescent="0.25">
      <c r="A1053">
        <v>549.81869099999994</v>
      </c>
      <c r="B1053" s="1">
        <f>DATE(2011,11,1) + TIME(19,38,54)</f>
        <v>40848.818680555552</v>
      </c>
      <c r="C1053">
        <v>80</v>
      </c>
      <c r="D1053">
        <v>79.601600646999998</v>
      </c>
      <c r="E1053">
        <v>50</v>
      </c>
      <c r="F1053">
        <v>48.056587219000001</v>
      </c>
      <c r="G1053">
        <v>1312.5689697</v>
      </c>
      <c r="H1053">
        <v>1299.9195557</v>
      </c>
      <c r="I1053">
        <v>1390.3552245999999</v>
      </c>
      <c r="J1053">
        <v>1368.2857666</v>
      </c>
      <c r="K1053">
        <v>0</v>
      </c>
      <c r="L1053">
        <v>2400</v>
      </c>
      <c r="M1053">
        <v>2400</v>
      </c>
      <c r="N1053">
        <v>0</v>
      </c>
    </row>
    <row r="1054" spans="1:14" x14ac:dyDescent="0.25">
      <c r="A1054">
        <v>549.90034300000002</v>
      </c>
      <c r="B1054" s="1">
        <f>DATE(2011,11,1) + TIME(21,36,29)</f>
        <v>40848.900335648148</v>
      </c>
      <c r="C1054">
        <v>80</v>
      </c>
      <c r="D1054">
        <v>79.583450317</v>
      </c>
      <c r="E1054">
        <v>50</v>
      </c>
      <c r="F1054">
        <v>48.250461577999999</v>
      </c>
      <c r="G1054">
        <v>1311.8229980000001</v>
      </c>
      <c r="H1054">
        <v>1299.1724853999999</v>
      </c>
      <c r="I1054">
        <v>1391.2322998</v>
      </c>
      <c r="J1054">
        <v>1369.3059082</v>
      </c>
      <c r="K1054">
        <v>0</v>
      </c>
      <c r="L1054">
        <v>2400</v>
      </c>
      <c r="M1054">
        <v>2400</v>
      </c>
      <c r="N1054">
        <v>0</v>
      </c>
    </row>
    <row r="1055" spans="1:14" x14ac:dyDescent="0.25">
      <c r="A1055">
        <v>549.98789699999998</v>
      </c>
      <c r="B1055" s="1">
        <f>DATE(2011,11,1) + TIME(23,42,34)</f>
        <v>40848.987893518519</v>
      </c>
      <c r="C1055">
        <v>80</v>
      </c>
      <c r="D1055">
        <v>79.564491271999998</v>
      </c>
      <c r="E1055">
        <v>50</v>
      </c>
      <c r="F1055">
        <v>48.435218810999999</v>
      </c>
      <c r="G1055">
        <v>1311.1087646000001</v>
      </c>
      <c r="H1055">
        <v>1298.4571533000001</v>
      </c>
      <c r="I1055">
        <v>1392.0506591999999</v>
      </c>
      <c r="J1055">
        <v>1370.2630615</v>
      </c>
      <c r="K1055">
        <v>0</v>
      </c>
      <c r="L1055">
        <v>2400</v>
      </c>
      <c r="M1055">
        <v>2400</v>
      </c>
      <c r="N1055">
        <v>0</v>
      </c>
    </row>
    <row r="1056" spans="1:14" x14ac:dyDescent="0.25">
      <c r="A1056">
        <v>550.08231599999999</v>
      </c>
      <c r="B1056" s="1">
        <f>DATE(2011,11,2) + TIME(1,58,32)</f>
        <v>40849.082314814812</v>
      </c>
      <c r="C1056">
        <v>80</v>
      </c>
      <c r="D1056">
        <v>79.544563292999996</v>
      </c>
      <c r="E1056">
        <v>50</v>
      </c>
      <c r="F1056">
        <v>48.610877991000002</v>
      </c>
      <c r="G1056">
        <v>1310.4212646000001</v>
      </c>
      <c r="H1056">
        <v>1297.7685547000001</v>
      </c>
      <c r="I1056">
        <v>1392.8186035000001</v>
      </c>
      <c r="J1056">
        <v>1371.1655272999999</v>
      </c>
      <c r="K1056">
        <v>0</v>
      </c>
      <c r="L1056">
        <v>2400</v>
      </c>
      <c r="M1056">
        <v>2400</v>
      </c>
      <c r="N1056">
        <v>0</v>
      </c>
    </row>
    <row r="1057" spans="1:14" x14ac:dyDescent="0.25">
      <c r="A1057">
        <v>550.18481199999997</v>
      </c>
      <c r="B1057" s="1">
        <f>DATE(2011,11,2) + TIME(4,26,7)</f>
        <v>40849.184803240743</v>
      </c>
      <c r="C1057">
        <v>80</v>
      </c>
      <c r="D1057">
        <v>79.523468018000003</v>
      </c>
      <c r="E1057">
        <v>50</v>
      </c>
      <c r="F1057">
        <v>48.777427672999998</v>
      </c>
      <c r="G1057">
        <v>1309.7558594</v>
      </c>
      <c r="H1057">
        <v>1297.1020507999999</v>
      </c>
      <c r="I1057">
        <v>1393.5430908000001</v>
      </c>
      <c r="J1057">
        <v>1372.0206298999999</v>
      </c>
      <c r="K1057">
        <v>0</v>
      </c>
      <c r="L1057">
        <v>2400</v>
      </c>
      <c r="M1057">
        <v>2400</v>
      </c>
      <c r="N1057">
        <v>0</v>
      </c>
    </row>
    <row r="1058" spans="1:14" x14ac:dyDescent="0.25">
      <c r="A1058">
        <v>550.29691100000002</v>
      </c>
      <c r="B1058" s="1">
        <f>DATE(2011,11,2) + TIME(7,7,33)</f>
        <v>40849.296909722223</v>
      </c>
      <c r="C1058">
        <v>80</v>
      </c>
      <c r="D1058">
        <v>79.500991821</v>
      </c>
      <c r="E1058">
        <v>50</v>
      </c>
      <c r="F1058">
        <v>48.934776306000003</v>
      </c>
      <c r="G1058">
        <v>1309.1085204999999</v>
      </c>
      <c r="H1058">
        <v>1296.4536132999999</v>
      </c>
      <c r="I1058">
        <v>1394.2299805</v>
      </c>
      <c r="J1058">
        <v>1372.8342285000001</v>
      </c>
      <c r="K1058">
        <v>0</v>
      </c>
      <c r="L1058">
        <v>2400</v>
      </c>
      <c r="M1058">
        <v>2400</v>
      </c>
      <c r="N1058">
        <v>0</v>
      </c>
    </row>
    <row r="1059" spans="1:14" x14ac:dyDescent="0.25">
      <c r="A1059">
        <v>550.42065500000001</v>
      </c>
      <c r="B1059" s="1">
        <f>DATE(2011,11,2) + TIME(10,5,44)</f>
        <v>40849.420648148145</v>
      </c>
      <c r="C1059">
        <v>80</v>
      </c>
      <c r="D1059">
        <v>79.476821899000001</v>
      </c>
      <c r="E1059">
        <v>50</v>
      </c>
      <c r="F1059">
        <v>49.082847594999997</v>
      </c>
      <c r="G1059">
        <v>1308.4750977000001</v>
      </c>
      <c r="H1059">
        <v>1295.8192139</v>
      </c>
      <c r="I1059">
        <v>1394.8847656</v>
      </c>
      <c r="J1059">
        <v>1373.6119385</v>
      </c>
      <c r="K1059">
        <v>0</v>
      </c>
      <c r="L1059">
        <v>2400</v>
      </c>
      <c r="M1059">
        <v>2400</v>
      </c>
      <c r="N1059">
        <v>0</v>
      </c>
    </row>
    <row r="1060" spans="1:14" x14ac:dyDescent="0.25">
      <c r="A1060">
        <v>550.55875800000001</v>
      </c>
      <c r="B1060" s="1">
        <f>DATE(2011,11,2) + TIME(13,24,36)</f>
        <v>40849.558749999997</v>
      </c>
      <c r="C1060">
        <v>80</v>
      </c>
      <c r="D1060">
        <v>79.450576781999999</v>
      </c>
      <c r="E1060">
        <v>50</v>
      </c>
      <c r="F1060">
        <v>49.221469878999997</v>
      </c>
      <c r="G1060">
        <v>1307.8518065999999</v>
      </c>
      <c r="H1060">
        <v>1295.1949463000001</v>
      </c>
      <c r="I1060">
        <v>1395.512207</v>
      </c>
      <c r="J1060">
        <v>1374.3586425999999</v>
      </c>
      <c r="K1060">
        <v>0</v>
      </c>
      <c r="L1060">
        <v>2400</v>
      </c>
      <c r="M1060">
        <v>2400</v>
      </c>
      <c r="N1060">
        <v>0</v>
      </c>
    </row>
    <row r="1061" spans="1:14" x14ac:dyDescent="0.25">
      <c r="A1061">
        <v>550.71494900000005</v>
      </c>
      <c r="B1061" s="1">
        <f>DATE(2011,11,2) + TIME(17,9,31)</f>
        <v>40849.714942129627</v>
      </c>
      <c r="C1061">
        <v>80</v>
      </c>
      <c r="D1061">
        <v>79.421752929999997</v>
      </c>
      <c r="E1061">
        <v>50</v>
      </c>
      <c r="F1061">
        <v>49.350402832</v>
      </c>
      <c r="G1061">
        <v>1307.2347411999999</v>
      </c>
      <c r="H1061">
        <v>1294.5769043</v>
      </c>
      <c r="I1061">
        <v>1396.1162108999999</v>
      </c>
      <c r="J1061">
        <v>1375.0786132999999</v>
      </c>
      <c r="K1061">
        <v>0</v>
      </c>
      <c r="L1061">
        <v>2400</v>
      </c>
      <c r="M1061">
        <v>2400</v>
      </c>
      <c r="N1061">
        <v>0</v>
      </c>
    </row>
    <row r="1062" spans="1:14" x14ac:dyDescent="0.25">
      <c r="A1062">
        <v>550.80402300000003</v>
      </c>
      <c r="B1062" s="1">
        <f>DATE(2011,11,2) + TIME(19,17,47)</f>
        <v>40849.804016203707</v>
      </c>
      <c r="C1062">
        <v>80</v>
      </c>
      <c r="D1062">
        <v>79.404098511000001</v>
      </c>
      <c r="E1062">
        <v>50</v>
      </c>
      <c r="F1062">
        <v>49.415866852000001</v>
      </c>
      <c r="G1062">
        <v>1306.9064940999999</v>
      </c>
      <c r="H1062">
        <v>1294.2481689000001</v>
      </c>
      <c r="I1062">
        <v>1396.4123535000001</v>
      </c>
      <c r="J1062">
        <v>1375.4376221</v>
      </c>
      <c r="K1062">
        <v>0</v>
      </c>
      <c r="L1062">
        <v>2400</v>
      </c>
      <c r="M1062">
        <v>2400</v>
      </c>
      <c r="N1062">
        <v>0</v>
      </c>
    </row>
    <row r="1063" spans="1:14" x14ac:dyDescent="0.25">
      <c r="A1063">
        <v>550.89309700000001</v>
      </c>
      <c r="B1063" s="1">
        <f>DATE(2011,11,2) + TIME(21,26,3)</f>
        <v>40849.893090277779</v>
      </c>
      <c r="C1063">
        <v>80</v>
      </c>
      <c r="D1063">
        <v>79.386650084999999</v>
      </c>
      <c r="E1063">
        <v>50</v>
      </c>
      <c r="F1063">
        <v>49.474205017000003</v>
      </c>
      <c r="G1063">
        <v>1306.6024170000001</v>
      </c>
      <c r="H1063">
        <v>1293.9434814000001</v>
      </c>
      <c r="I1063">
        <v>1396.6922606999999</v>
      </c>
      <c r="J1063">
        <v>1375.7749022999999</v>
      </c>
      <c r="K1063">
        <v>0</v>
      </c>
      <c r="L1063">
        <v>2400</v>
      </c>
      <c r="M1063">
        <v>2400</v>
      </c>
      <c r="N1063">
        <v>0</v>
      </c>
    </row>
    <row r="1064" spans="1:14" x14ac:dyDescent="0.25">
      <c r="A1064">
        <v>551.07124499999998</v>
      </c>
      <c r="B1064" s="1">
        <f>DATE(2011,11,3) + TIME(1,42,35)</f>
        <v>40850.071238425924</v>
      </c>
      <c r="C1064">
        <v>80</v>
      </c>
      <c r="D1064">
        <v>79.355438231999997</v>
      </c>
      <c r="E1064">
        <v>50</v>
      </c>
      <c r="F1064">
        <v>49.568084716999998</v>
      </c>
      <c r="G1064">
        <v>1306.0738524999999</v>
      </c>
      <c r="H1064">
        <v>1293.4135742000001</v>
      </c>
      <c r="I1064">
        <v>1397.1970214999999</v>
      </c>
      <c r="J1064">
        <v>1376.371582</v>
      </c>
      <c r="K1064">
        <v>0</v>
      </c>
      <c r="L1064">
        <v>2400</v>
      </c>
      <c r="M1064">
        <v>2400</v>
      </c>
      <c r="N1064">
        <v>0</v>
      </c>
    </row>
    <row r="1065" spans="1:14" x14ac:dyDescent="0.25">
      <c r="A1065">
        <v>551.250044</v>
      </c>
      <c r="B1065" s="1">
        <f>DATE(2011,11,3) + TIME(6,0,3)</f>
        <v>40850.250034722223</v>
      </c>
      <c r="C1065">
        <v>80</v>
      </c>
      <c r="D1065">
        <v>79.324150084999999</v>
      </c>
      <c r="E1065">
        <v>50</v>
      </c>
      <c r="F1065">
        <v>49.643840789999999</v>
      </c>
      <c r="G1065">
        <v>1305.6062012</v>
      </c>
      <c r="H1065">
        <v>1292.9448242000001</v>
      </c>
      <c r="I1065">
        <v>1397.6092529</v>
      </c>
      <c r="J1065">
        <v>1376.8664550999999</v>
      </c>
      <c r="K1065">
        <v>0</v>
      </c>
      <c r="L1065">
        <v>2400</v>
      </c>
      <c r="M1065">
        <v>2400</v>
      </c>
      <c r="N1065">
        <v>0</v>
      </c>
    </row>
    <row r="1066" spans="1:14" x14ac:dyDescent="0.25">
      <c r="A1066">
        <v>551.43250799999998</v>
      </c>
      <c r="B1066" s="1">
        <f>DATE(2011,11,3) + TIME(10,22,48)</f>
        <v>40850.432500000003</v>
      </c>
      <c r="C1066">
        <v>80</v>
      </c>
      <c r="D1066">
        <v>79.292404175000001</v>
      </c>
      <c r="E1066">
        <v>50</v>
      </c>
      <c r="F1066">
        <v>49.705821991000001</v>
      </c>
      <c r="G1066">
        <v>1305.1857910000001</v>
      </c>
      <c r="H1066">
        <v>1292.5233154</v>
      </c>
      <c r="I1066">
        <v>1397.9647216999999</v>
      </c>
      <c r="J1066">
        <v>1377.2952881000001</v>
      </c>
      <c r="K1066">
        <v>0</v>
      </c>
      <c r="L1066">
        <v>2400</v>
      </c>
      <c r="M1066">
        <v>2400</v>
      </c>
      <c r="N1066">
        <v>0</v>
      </c>
    </row>
    <row r="1067" spans="1:14" x14ac:dyDescent="0.25">
      <c r="A1067">
        <v>551.61974499999997</v>
      </c>
      <c r="B1067" s="1">
        <f>DATE(2011,11,3) + TIME(14,52,25)</f>
        <v>40850.619733796295</v>
      </c>
      <c r="C1067">
        <v>80</v>
      </c>
      <c r="D1067">
        <v>79.260078429999993</v>
      </c>
      <c r="E1067">
        <v>50</v>
      </c>
      <c r="F1067">
        <v>49.756599426000001</v>
      </c>
      <c r="G1067">
        <v>1304.8055420000001</v>
      </c>
      <c r="H1067">
        <v>1292.1420897999999</v>
      </c>
      <c r="I1067">
        <v>1398.2738036999999</v>
      </c>
      <c r="J1067">
        <v>1377.6697998</v>
      </c>
      <c r="K1067">
        <v>0</v>
      </c>
      <c r="L1067">
        <v>2400</v>
      </c>
      <c r="M1067">
        <v>2400</v>
      </c>
      <c r="N1067">
        <v>0</v>
      </c>
    </row>
    <row r="1068" spans="1:14" x14ac:dyDescent="0.25">
      <c r="A1068">
        <v>551.81302500000004</v>
      </c>
      <c r="B1068" s="1">
        <f>DATE(2011,11,3) + TIME(19,30,45)</f>
        <v>40850.813020833331</v>
      </c>
      <c r="C1068">
        <v>80</v>
      </c>
      <c r="D1068">
        <v>79.227005004999995</v>
      </c>
      <c r="E1068">
        <v>50</v>
      </c>
      <c r="F1068">
        <v>49.798210144000002</v>
      </c>
      <c r="G1068">
        <v>1304.4598389</v>
      </c>
      <c r="H1068">
        <v>1291.7951660000001</v>
      </c>
      <c r="I1068">
        <v>1398.5429687999999</v>
      </c>
      <c r="J1068">
        <v>1377.9978027</v>
      </c>
      <c r="K1068">
        <v>0</v>
      </c>
      <c r="L1068">
        <v>2400</v>
      </c>
      <c r="M1068">
        <v>2400</v>
      </c>
      <c r="N1068">
        <v>0</v>
      </c>
    </row>
    <row r="1069" spans="1:14" x14ac:dyDescent="0.25">
      <c r="A1069">
        <v>552.01369799999998</v>
      </c>
      <c r="B1069" s="1">
        <f>DATE(2011,11,4) + TIME(0,19,43)</f>
        <v>40851.013692129629</v>
      </c>
      <c r="C1069">
        <v>80</v>
      </c>
      <c r="D1069">
        <v>79.193031310999999</v>
      </c>
      <c r="E1069">
        <v>50</v>
      </c>
      <c r="F1069">
        <v>49.832267760999997</v>
      </c>
      <c r="G1069">
        <v>1304.144043</v>
      </c>
      <c r="H1069">
        <v>1291.4782714999999</v>
      </c>
      <c r="I1069">
        <v>1398.7772216999999</v>
      </c>
      <c r="J1069">
        <v>1378.2854004000001</v>
      </c>
      <c r="K1069">
        <v>0</v>
      </c>
      <c r="L1069">
        <v>2400</v>
      </c>
      <c r="M1069">
        <v>2400</v>
      </c>
      <c r="N1069">
        <v>0</v>
      </c>
    </row>
    <row r="1070" spans="1:14" x14ac:dyDescent="0.25">
      <c r="A1070">
        <v>552.22325699999999</v>
      </c>
      <c r="B1070" s="1">
        <f>DATE(2011,11,4) + TIME(5,21,29)</f>
        <v>40851.223252314812</v>
      </c>
      <c r="C1070">
        <v>80</v>
      </c>
      <c r="D1070">
        <v>79.157951354999994</v>
      </c>
      <c r="E1070">
        <v>50</v>
      </c>
      <c r="F1070">
        <v>49.86007309</v>
      </c>
      <c r="G1070">
        <v>1303.8546143000001</v>
      </c>
      <c r="H1070">
        <v>1291.1876221</v>
      </c>
      <c r="I1070">
        <v>1398.9802245999999</v>
      </c>
      <c r="J1070">
        <v>1378.5369873</v>
      </c>
      <c r="K1070">
        <v>0</v>
      </c>
      <c r="L1070">
        <v>2400</v>
      </c>
      <c r="M1070">
        <v>2400</v>
      </c>
      <c r="N1070">
        <v>0</v>
      </c>
    </row>
    <row r="1071" spans="1:14" x14ac:dyDescent="0.25">
      <c r="A1071">
        <v>552.44340399999999</v>
      </c>
      <c r="B1071" s="1">
        <f>DATE(2011,11,4) + TIME(10,38,30)</f>
        <v>40851.443402777775</v>
      </c>
      <c r="C1071">
        <v>80</v>
      </c>
      <c r="D1071">
        <v>79.121566771999994</v>
      </c>
      <c r="E1071">
        <v>50</v>
      </c>
      <c r="F1071">
        <v>49.882678986000002</v>
      </c>
      <c r="G1071">
        <v>1303.588501</v>
      </c>
      <c r="H1071">
        <v>1290.9202881000001</v>
      </c>
      <c r="I1071">
        <v>1399.1546631000001</v>
      </c>
      <c r="J1071">
        <v>1378.7561035000001</v>
      </c>
      <c r="K1071">
        <v>0</v>
      </c>
      <c r="L1071">
        <v>2400</v>
      </c>
      <c r="M1071">
        <v>2400</v>
      </c>
      <c r="N1071">
        <v>0</v>
      </c>
    </row>
    <row r="1072" spans="1:14" x14ac:dyDescent="0.25">
      <c r="A1072">
        <v>552.67612799999995</v>
      </c>
      <c r="B1072" s="1">
        <f>DATE(2011,11,4) + TIME(16,13,37)</f>
        <v>40851.676122685189</v>
      </c>
      <c r="C1072">
        <v>80</v>
      </c>
      <c r="D1072">
        <v>79.083625792999996</v>
      </c>
      <c r="E1072">
        <v>50</v>
      </c>
      <c r="F1072">
        <v>49.900959014999998</v>
      </c>
      <c r="G1072">
        <v>1303.3436279</v>
      </c>
      <c r="H1072">
        <v>1290.6739502</v>
      </c>
      <c r="I1072">
        <v>1399.3024902</v>
      </c>
      <c r="J1072">
        <v>1378.9456786999999</v>
      </c>
      <c r="K1072">
        <v>0</v>
      </c>
      <c r="L1072">
        <v>2400</v>
      </c>
      <c r="M1072">
        <v>2400</v>
      </c>
      <c r="N1072">
        <v>0</v>
      </c>
    </row>
    <row r="1073" spans="1:14" x14ac:dyDescent="0.25">
      <c r="A1073">
        <v>552.923812</v>
      </c>
      <c r="B1073" s="1">
        <f>DATE(2011,11,4) + TIME(22,10,17)</f>
        <v>40851.923807870371</v>
      </c>
      <c r="C1073">
        <v>80</v>
      </c>
      <c r="D1073">
        <v>79.043830872000001</v>
      </c>
      <c r="E1073">
        <v>50</v>
      </c>
      <c r="F1073">
        <v>49.915634154999999</v>
      </c>
      <c r="G1073">
        <v>1303.1176757999999</v>
      </c>
      <c r="H1073">
        <v>1290.4465332</v>
      </c>
      <c r="I1073">
        <v>1399.4254149999999</v>
      </c>
      <c r="J1073">
        <v>1379.1076660000001</v>
      </c>
      <c r="K1073">
        <v>0</v>
      </c>
      <c r="L1073">
        <v>2400</v>
      </c>
      <c r="M1073">
        <v>2400</v>
      </c>
      <c r="N1073">
        <v>0</v>
      </c>
    </row>
    <row r="1074" spans="1:14" x14ac:dyDescent="0.25">
      <c r="A1074">
        <v>553.18936399999996</v>
      </c>
      <c r="B1074" s="1">
        <f>DATE(2011,11,5) + TIME(4,32,41)</f>
        <v>40852.189363425925</v>
      </c>
      <c r="C1074">
        <v>80</v>
      </c>
      <c r="D1074">
        <v>79.001831054999997</v>
      </c>
      <c r="E1074">
        <v>50</v>
      </c>
      <c r="F1074">
        <v>49.927318573000001</v>
      </c>
      <c r="G1074">
        <v>1302.9090576000001</v>
      </c>
      <c r="H1074">
        <v>1290.2364502</v>
      </c>
      <c r="I1074">
        <v>1399.5245361</v>
      </c>
      <c r="J1074">
        <v>1379.2437743999999</v>
      </c>
      <c r="K1074">
        <v>0</v>
      </c>
      <c r="L1074">
        <v>2400</v>
      </c>
      <c r="M1074">
        <v>2400</v>
      </c>
      <c r="N1074">
        <v>0</v>
      </c>
    </row>
    <row r="1075" spans="1:14" x14ac:dyDescent="0.25">
      <c r="A1075">
        <v>553.476361</v>
      </c>
      <c r="B1075" s="1">
        <f>DATE(2011,11,5) + TIME(11,25,57)</f>
        <v>40852.476354166669</v>
      </c>
      <c r="C1075">
        <v>80</v>
      </c>
      <c r="D1075">
        <v>78.957206725999995</v>
      </c>
      <c r="E1075">
        <v>50</v>
      </c>
      <c r="F1075">
        <v>49.936519623000002</v>
      </c>
      <c r="G1075">
        <v>1302.7164307</v>
      </c>
      <c r="H1075">
        <v>1290.0421143000001</v>
      </c>
      <c r="I1075">
        <v>1399.6004639</v>
      </c>
      <c r="J1075">
        <v>1379.3551024999999</v>
      </c>
      <c r="K1075">
        <v>0</v>
      </c>
      <c r="L1075">
        <v>2400</v>
      </c>
      <c r="M1075">
        <v>2400</v>
      </c>
      <c r="N1075">
        <v>0</v>
      </c>
    </row>
    <row r="1076" spans="1:14" x14ac:dyDescent="0.25">
      <c r="A1076">
        <v>553.78879600000005</v>
      </c>
      <c r="B1076" s="1">
        <f>DATE(2011,11,5) + TIME(18,55,51)</f>
        <v>40852.788784722223</v>
      </c>
      <c r="C1076">
        <v>80</v>
      </c>
      <c r="D1076">
        <v>78.909477233999993</v>
      </c>
      <c r="E1076">
        <v>50</v>
      </c>
      <c r="F1076">
        <v>49.943664550999998</v>
      </c>
      <c r="G1076">
        <v>1302.5386963000001</v>
      </c>
      <c r="H1076">
        <v>1289.8625488</v>
      </c>
      <c r="I1076">
        <v>1399.6534423999999</v>
      </c>
      <c r="J1076">
        <v>1379.4423827999999</v>
      </c>
      <c r="K1076">
        <v>0</v>
      </c>
      <c r="L1076">
        <v>2400</v>
      </c>
      <c r="M1076">
        <v>2400</v>
      </c>
      <c r="N1076">
        <v>0</v>
      </c>
    </row>
    <row r="1077" spans="1:14" x14ac:dyDescent="0.25">
      <c r="A1077">
        <v>554.12590999999998</v>
      </c>
      <c r="B1077" s="1">
        <f>DATE(2011,11,6) + TIME(3,1,18)</f>
        <v>40853.125902777778</v>
      </c>
      <c r="C1077">
        <v>80</v>
      </c>
      <c r="D1077">
        <v>78.858680724999999</v>
      </c>
      <c r="E1077">
        <v>50</v>
      </c>
      <c r="F1077">
        <v>49.949058532999999</v>
      </c>
      <c r="G1077">
        <v>1302.3770752</v>
      </c>
      <c r="H1077">
        <v>1289.6989745999999</v>
      </c>
      <c r="I1077">
        <v>1399.6820068</v>
      </c>
      <c r="J1077">
        <v>1379.5045166</v>
      </c>
      <c r="K1077">
        <v>0</v>
      </c>
      <c r="L1077">
        <v>2400</v>
      </c>
      <c r="M1077">
        <v>2400</v>
      </c>
      <c r="N1077">
        <v>0</v>
      </c>
    </row>
    <row r="1078" spans="1:14" x14ac:dyDescent="0.25">
      <c r="A1078">
        <v>554.48447599999997</v>
      </c>
      <c r="B1078" s="1">
        <f>DATE(2011,11,6) + TIME(11,37,38)</f>
        <v>40853.484467592592</v>
      </c>
      <c r="C1078">
        <v>80</v>
      </c>
      <c r="D1078">
        <v>78.805122374999996</v>
      </c>
      <c r="E1078">
        <v>50</v>
      </c>
      <c r="F1078">
        <v>49.953010558999999</v>
      </c>
      <c r="G1078">
        <v>1302.2325439000001</v>
      </c>
      <c r="H1078">
        <v>1289.5523682</v>
      </c>
      <c r="I1078">
        <v>1399.6868896000001</v>
      </c>
      <c r="J1078">
        <v>1379.5419922000001</v>
      </c>
      <c r="K1078">
        <v>0</v>
      </c>
      <c r="L1078">
        <v>2400</v>
      </c>
      <c r="M1078">
        <v>2400</v>
      </c>
      <c r="N1078">
        <v>0</v>
      </c>
    </row>
    <row r="1079" spans="1:14" x14ac:dyDescent="0.25">
      <c r="A1079">
        <v>554.84340799999995</v>
      </c>
      <c r="B1079" s="1">
        <f>DATE(2011,11,6) + TIME(20,14,30)</f>
        <v>40853.843402777777</v>
      </c>
      <c r="C1079">
        <v>80</v>
      </c>
      <c r="D1079">
        <v>78.750961304</v>
      </c>
      <c r="E1079">
        <v>50</v>
      </c>
      <c r="F1079">
        <v>49.955741881999998</v>
      </c>
      <c r="G1079">
        <v>1302.1094971</v>
      </c>
      <c r="H1079">
        <v>1289.427124</v>
      </c>
      <c r="I1079">
        <v>1399.6682129000001</v>
      </c>
      <c r="J1079">
        <v>1379.5545654</v>
      </c>
      <c r="K1079">
        <v>0</v>
      </c>
      <c r="L1079">
        <v>2400</v>
      </c>
      <c r="M1079">
        <v>2400</v>
      </c>
      <c r="N1079">
        <v>0</v>
      </c>
    </row>
    <row r="1080" spans="1:14" x14ac:dyDescent="0.25">
      <c r="A1080">
        <v>555.20594100000005</v>
      </c>
      <c r="B1080" s="1">
        <f>DATE(2011,11,7) + TIME(4,56,33)</f>
        <v>40854.205937500003</v>
      </c>
      <c r="C1080">
        <v>80</v>
      </c>
      <c r="D1080">
        <v>78.696220397999994</v>
      </c>
      <c r="E1080">
        <v>50</v>
      </c>
      <c r="F1080">
        <v>49.95765686</v>
      </c>
      <c r="G1080">
        <v>1302.0036620999999</v>
      </c>
      <c r="H1080">
        <v>1289.3189697</v>
      </c>
      <c r="I1080">
        <v>1399.6359863</v>
      </c>
      <c r="J1080">
        <v>1379.5512695</v>
      </c>
      <c r="K1080">
        <v>0</v>
      </c>
      <c r="L1080">
        <v>2400</v>
      </c>
      <c r="M1080">
        <v>2400</v>
      </c>
      <c r="N1080">
        <v>0</v>
      </c>
    </row>
    <row r="1081" spans="1:14" x14ac:dyDescent="0.25">
      <c r="A1081">
        <v>555.57513100000006</v>
      </c>
      <c r="B1081" s="1">
        <f>DATE(2011,11,7) + TIME(13,48,11)</f>
        <v>40854.575127314813</v>
      </c>
      <c r="C1081">
        <v>80</v>
      </c>
      <c r="D1081">
        <v>78.640762328999998</v>
      </c>
      <c r="E1081">
        <v>50</v>
      </c>
      <c r="F1081">
        <v>49.959011078000003</v>
      </c>
      <c r="G1081">
        <v>1301.9113769999999</v>
      </c>
      <c r="H1081">
        <v>1289.2242432</v>
      </c>
      <c r="I1081">
        <v>1399.5933838000001</v>
      </c>
      <c r="J1081">
        <v>1379.5356445</v>
      </c>
      <c r="K1081">
        <v>0</v>
      </c>
      <c r="L1081">
        <v>2400</v>
      </c>
      <c r="M1081">
        <v>2400</v>
      </c>
      <c r="N1081">
        <v>0</v>
      </c>
    </row>
    <row r="1082" spans="1:14" x14ac:dyDescent="0.25">
      <c r="A1082">
        <v>555.953891</v>
      </c>
      <c r="B1082" s="1">
        <f>DATE(2011,11,7) + TIME(22,53,36)</f>
        <v>40854.953888888886</v>
      </c>
      <c r="C1082">
        <v>80</v>
      </c>
      <c r="D1082">
        <v>78.584373474000003</v>
      </c>
      <c r="E1082">
        <v>50</v>
      </c>
      <c r="F1082">
        <v>49.959976196</v>
      </c>
      <c r="G1082">
        <v>1301.8298339999999</v>
      </c>
      <c r="H1082">
        <v>1289.1401367000001</v>
      </c>
      <c r="I1082">
        <v>1399.5423584</v>
      </c>
      <c r="J1082">
        <v>1379.5101318</v>
      </c>
      <c r="K1082">
        <v>0</v>
      </c>
      <c r="L1082">
        <v>2400</v>
      </c>
      <c r="M1082">
        <v>2400</v>
      </c>
      <c r="N1082">
        <v>0</v>
      </c>
    </row>
    <row r="1083" spans="1:14" x14ac:dyDescent="0.25">
      <c r="A1083">
        <v>556.34519599999999</v>
      </c>
      <c r="B1083" s="1">
        <f>DATE(2011,11,8) + TIME(8,17,4)</f>
        <v>40855.345185185186</v>
      </c>
      <c r="C1083">
        <v>80</v>
      </c>
      <c r="D1083">
        <v>78.526786803999997</v>
      </c>
      <c r="E1083">
        <v>50</v>
      </c>
      <c r="F1083">
        <v>49.960670471</v>
      </c>
      <c r="G1083">
        <v>1301.7569579999999</v>
      </c>
      <c r="H1083">
        <v>1289.0645752</v>
      </c>
      <c r="I1083">
        <v>1399.4842529</v>
      </c>
      <c r="J1083">
        <v>1379.4765625</v>
      </c>
      <c r="K1083">
        <v>0</v>
      </c>
      <c r="L1083">
        <v>2400</v>
      </c>
      <c r="M1083">
        <v>2400</v>
      </c>
      <c r="N1083">
        <v>0</v>
      </c>
    </row>
    <row r="1084" spans="1:14" x14ac:dyDescent="0.25">
      <c r="A1084">
        <v>556.75226499999997</v>
      </c>
      <c r="B1084" s="1">
        <f>DATE(2011,11,8) + TIME(18,3,15)</f>
        <v>40855.752256944441</v>
      </c>
      <c r="C1084">
        <v>80</v>
      </c>
      <c r="D1084">
        <v>78.467674255000006</v>
      </c>
      <c r="E1084">
        <v>50</v>
      </c>
      <c r="F1084">
        <v>49.961170197000001</v>
      </c>
      <c r="G1084">
        <v>1301.690918</v>
      </c>
      <c r="H1084">
        <v>1288.9956055</v>
      </c>
      <c r="I1084">
        <v>1399.4201660000001</v>
      </c>
      <c r="J1084">
        <v>1379.4361572</v>
      </c>
      <c r="K1084">
        <v>0</v>
      </c>
      <c r="L1084">
        <v>2400</v>
      </c>
      <c r="M1084">
        <v>2400</v>
      </c>
      <c r="N1084">
        <v>0</v>
      </c>
    </row>
    <row r="1085" spans="1:14" x14ac:dyDescent="0.25">
      <c r="A1085">
        <v>557.17873199999997</v>
      </c>
      <c r="B1085" s="1">
        <f>DATE(2011,11,9) + TIME(4,17,22)</f>
        <v>40856.178726851853</v>
      </c>
      <c r="C1085">
        <v>80</v>
      </c>
      <c r="D1085">
        <v>78.406654357999997</v>
      </c>
      <c r="E1085">
        <v>50</v>
      </c>
      <c r="F1085">
        <v>49.961536406999997</v>
      </c>
      <c r="G1085">
        <v>1301.630249</v>
      </c>
      <c r="H1085">
        <v>1288.9320068</v>
      </c>
      <c r="I1085">
        <v>1399.3509521000001</v>
      </c>
      <c r="J1085">
        <v>1379.3900146000001</v>
      </c>
      <c r="K1085">
        <v>0</v>
      </c>
      <c r="L1085">
        <v>2400</v>
      </c>
      <c r="M1085">
        <v>2400</v>
      </c>
      <c r="N1085">
        <v>0</v>
      </c>
    </row>
    <row r="1086" spans="1:14" x14ac:dyDescent="0.25">
      <c r="A1086">
        <v>557.62886200000003</v>
      </c>
      <c r="B1086" s="1">
        <f>DATE(2011,11,9) + TIME(15,5,33)</f>
        <v>40856.628854166665</v>
      </c>
      <c r="C1086">
        <v>80</v>
      </c>
      <c r="D1086">
        <v>78.343276978000006</v>
      </c>
      <c r="E1086">
        <v>50</v>
      </c>
      <c r="F1086">
        <v>49.961807251000003</v>
      </c>
      <c r="G1086">
        <v>1301.5738524999999</v>
      </c>
      <c r="H1086">
        <v>1288.8723144999999</v>
      </c>
      <c r="I1086">
        <v>1399.2769774999999</v>
      </c>
      <c r="J1086">
        <v>1379.3387451000001</v>
      </c>
      <c r="K1086">
        <v>0</v>
      </c>
      <c r="L1086">
        <v>2400</v>
      </c>
      <c r="M1086">
        <v>2400</v>
      </c>
      <c r="N1086">
        <v>0</v>
      </c>
    </row>
    <row r="1087" spans="1:14" x14ac:dyDescent="0.25">
      <c r="A1087">
        <v>558.10778500000004</v>
      </c>
      <c r="B1087" s="1">
        <f>DATE(2011,11,10) + TIME(2,35,12)</f>
        <v>40857.107777777775</v>
      </c>
      <c r="C1087">
        <v>80</v>
      </c>
      <c r="D1087">
        <v>78.276992797999995</v>
      </c>
      <c r="E1087">
        <v>50</v>
      </c>
      <c r="F1087">
        <v>49.962005615000002</v>
      </c>
      <c r="G1087">
        <v>1301.5206298999999</v>
      </c>
      <c r="H1087">
        <v>1288.8154297000001</v>
      </c>
      <c r="I1087">
        <v>1399.1988524999999</v>
      </c>
      <c r="J1087">
        <v>1379.2830810999999</v>
      </c>
      <c r="K1087">
        <v>0</v>
      </c>
      <c r="L1087">
        <v>2400</v>
      </c>
      <c r="M1087">
        <v>2400</v>
      </c>
      <c r="N1087">
        <v>0</v>
      </c>
    </row>
    <row r="1088" spans="1:14" x14ac:dyDescent="0.25">
      <c r="A1088">
        <v>558.61673699999994</v>
      </c>
      <c r="B1088" s="1">
        <f>DATE(2011,11,10) + TIME(14,48,6)</f>
        <v>40857.616736111115</v>
      </c>
      <c r="C1088">
        <v>80</v>
      </c>
      <c r="D1088">
        <v>78.207580566000004</v>
      </c>
      <c r="E1088">
        <v>50</v>
      </c>
      <c r="F1088">
        <v>49.962154388000002</v>
      </c>
      <c r="G1088">
        <v>1301.4697266000001</v>
      </c>
      <c r="H1088">
        <v>1288.7607422000001</v>
      </c>
      <c r="I1088">
        <v>1399.1164550999999</v>
      </c>
      <c r="J1088">
        <v>1379.2231445</v>
      </c>
      <c r="K1088">
        <v>0</v>
      </c>
      <c r="L1088">
        <v>2400</v>
      </c>
      <c r="M1088">
        <v>2400</v>
      </c>
      <c r="N1088">
        <v>0</v>
      </c>
    </row>
    <row r="1089" spans="1:14" x14ac:dyDescent="0.25">
      <c r="A1089">
        <v>559.15501300000005</v>
      </c>
      <c r="B1089" s="1">
        <f>DATE(2011,11,11) + TIME(3,43,13)</f>
        <v>40858.155011574076</v>
      </c>
      <c r="C1089">
        <v>80</v>
      </c>
      <c r="D1089">
        <v>78.135009765999996</v>
      </c>
      <c r="E1089">
        <v>50</v>
      </c>
      <c r="F1089">
        <v>49.962265015</v>
      </c>
      <c r="G1089">
        <v>1301.4208983999999</v>
      </c>
      <c r="H1089">
        <v>1288.7075195</v>
      </c>
      <c r="I1089">
        <v>1399.0308838000001</v>
      </c>
      <c r="J1089">
        <v>1379.1600341999999</v>
      </c>
      <c r="K1089">
        <v>0</v>
      </c>
      <c r="L1089">
        <v>2400</v>
      </c>
      <c r="M1089">
        <v>2400</v>
      </c>
      <c r="N1089">
        <v>0</v>
      </c>
    </row>
    <row r="1090" spans="1:14" x14ac:dyDescent="0.25">
      <c r="A1090">
        <v>559.72592999999995</v>
      </c>
      <c r="B1090" s="1">
        <f>DATE(2011,11,11) + TIME(17,25,20)</f>
        <v>40858.725925925923</v>
      </c>
      <c r="C1090">
        <v>80</v>
      </c>
      <c r="D1090">
        <v>78.059005737000007</v>
      </c>
      <c r="E1090">
        <v>50</v>
      </c>
      <c r="F1090">
        <v>49.962348937999998</v>
      </c>
      <c r="G1090">
        <v>1301.3732910000001</v>
      </c>
      <c r="H1090">
        <v>1288.6551514</v>
      </c>
      <c r="I1090">
        <v>1398.9431152</v>
      </c>
      <c r="J1090">
        <v>1379.0946045000001</v>
      </c>
      <c r="K1090">
        <v>0</v>
      </c>
      <c r="L1090">
        <v>2400</v>
      </c>
      <c r="M1090">
        <v>2400</v>
      </c>
      <c r="N1090">
        <v>0</v>
      </c>
    </row>
    <row r="1091" spans="1:14" x14ac:dyDescent="0.25">
      <c r="A1091">
        <v>560.29904599999998</v>
      </c>
      <c r="B1091" s="1">
        <f>DATE(2011,11,12) + TIME(7,10,37)</f>
        <v>40859.299039351848</v>
      </c>
      <c r="C1091">
        <v>80</v>
      </c>
      <c r="D1091">
        <v>77.981864928999997</v>
      </c>
      <c r="E1091">
        <v>50</v>
      </c>
      <c r="F1091">
        <v>49.962406158</v>
      </c>
      <c r="G1091">
        <v>1301.3273925999999</v>
      </c>
      <c r="H1091">
        <v>1288.6042480000001</v>
      </c>
      <c r="I1091">
        <v>1398.854126</v>
      </c>
      <c r="J1091">
        <v>1379.0275879000001</v>
      </c>
      <c r="K1091">
        <v>0</v>
      </c>
      <c r="L1091">
        <v>2400</v>
      </c>
      <c r="M1091">
        <v>2400</v>
      </c>
      <c r="N1091">
        <v>0</v>
      </c>
    </row>
    <row r="1092" spans="1:14" x14ac:dyDescent="0.25">
      <c r="A1092">
        <v>560.87939100000006</v>
      </c>
      <c r="B1092" s="1">
        <f>DATE(2011,11,12) + TIME(21,6,19)</f>
        <v>40859.879386574074</v>
      </c>
      <c r="C1092">
        <v>80</v>
      </c>
      <c r="D1092">
        <v>77.903915405000006</v>
      </c>
      <c r="E1092">
        <v>50</v>
      </c>
      <c r="F1092">
        <v>49.962448119999998</v>
      </c>
      <c r="G1092">
        <v>1301.2834473</v>
      </c>
      <c r="H1092">
        <v>1288.5550536999999</v>
      </c>
      <c r="I1092">
        <v>1398.7681885</v>
      </c>
      <c r="J1092">
        <v>1378.9625243999999</v>
      </c>
      <c r="K1092">
        <v>0</v>
      </c>
      <c r="L1092">
        <v>2400</v>
      </c>
      <c r="M1092">
        <v>2400</v>
      </c>
      <c r="N1092">
        <v>0</v>
      </c>
    </row>
    <row r="1093" spans="1:14" x14ac:dyDescent="0.25">
      <c r="A1093">
        <v>561.47191999999995</v>
      </c>
      <c r="B1093" s="1">
        <f>DATE(2011,11,13) + TIME(11,19,33)</f>
        <v>40860.471909722219</v>
      </c>
      <c r="C1093">
        <v>80</v>
      </c>
      <c r="D1093">
        <v>77.825073242000002</v>
      </c>
      <c r="E1093">
        <v>50</v>
      </c>
      <c r="F1093">
        <v>49.962482452000003</v>
      </c>
      <c r="G1093">
        <v>1301.2408447</v>
      </c>
      <c r="H1093">
        <v>1288.5064697</v>
      </c>
      <c r="I1093">
        <v>1398.6850586</v>
      </c>
      <c r="J1093">
        <v>1378.8991699000001</v>
      </c>
      <c r="K1093">
        <v>0</v>
      </c>
      <c r="L1093">
        <v>2400</v>
      </c>
      <c r="M1093">
        <v>2400</v>
      </c>
      <c r="N1093">
        <v>0</v>
      </c>
    </row>
    <row r="1094" spans="1:14" x14ac:dyDescent="0.25">
      <c r="A1094">
        <v>562.08160799999996</v>
      </c>
      <c r="B1094" s="1">
        <f>DATE(2011,11,14) + TIME(1,57,30)</f>
        <v>40861.081597222219</v>
      </c>
      <c r="C1094">
        <v>80</v>
      </c>
      <c r="D1094">
        <v>77.745048522999994</v>
      </c>
      <c r="E1094">
        <v>50</v>
      </c>
      <c r="F1094">
        <v>49.962509154999999</v>
      </c>
      <c r="G1094">
        <v>1301.1986084</v>
      </c>
      <c r="H1094">
        <v>1288.4581298999999</v>
      </c>
      <c r="I1094">
        <v>1398.6040039</v>
      </c>
      <c r="J1094">
        <v>1378.8370361</v>
      </c>
      <c r="K1094">
        <v>0</v>
      </c>
      <c r="L1094">
        <v>2400</v>
      </c>
      <c r="M1094">
        <v>2400</v>
      </c>
      <c r="N1094">
        <v>0</v>
      </c>
    </row>
    <row r="1095" spans="1:14" x14ac:dyDescent="0.25">
      <c r="A1095">
        <v>562.71376799999996</v>
      </c>
      <c r="B1095" s="1">
        <f>DATE(2011,11,14) + TIME(17,7,49)</f>
        <v>40861.713761574072</v>
      </c>
      <c r="C1095">
        <v>80</v>
      </c>
      <c r="D1095">
        <v>77.663391113000003</v>
      </c>
      <c r="E1095">
        <v>50</v>
      </c>
      <c r="F1095">
        <v>49.962528229</v>
      </c>
      <c r="G1095">
        <v>1301.15625</v>
      </c>
      <c r="H1095">
        <v>1288.4091797000001</v>
      </c>
      <c r="I1095">
        <v>1398.5244141000001</v>
      </c>
      <c r="J1095">
        <v>1378.7757568</v>
      </c>
      <c r="K1095">
        <v>0</v>
      </c>
      <c r="L1095">
        <v>2400</v>
      </c>
      <c r="M1095">
        <v>2400</v>
      </c>
      <c r="N1095">
        <v>0</v>
      </c>
    </row>
    <row r="1096" spans="1:14" x14ac:dyDescent="0.25">
      <c r="A1096">
        <v>563.37043300000005</v>
      </c>
      <c r="B1096" s="1">
        <f>DATE(2011,11,15) + TIME(8,53,25)</f>
        <v>40862.370428240742</v>
      </c>
      <c r="C1096">
        <v>80</v>
      </c>
      <c r="D1096">
        <v>77.579826354999994</v>
      </c>
      <c r="E1096">
        <v>50</v>
      </c>
      <c r="F1096">
        <v>49.962547301999997</v>
      </c>
      <c r="G1096">
        <v>1301.1134033000001</v>
      </c>
      <c r="H1096">
        <v>1288.3590088000001</v>
      </c>
      <c r="I1096">
        <v>1398.4456786999999</v>
      </c>
      <c r="J1096">
        <v>1378.7149658000001</v>
      </c>
      <c r="K1096">
        <v>0</v>
      </c>
      <c r="L1096">
        <v>2400</v>
      </c>
      <c r="M1096">
        <v>2400</v>
      </c>
      <c r="N1096">
        <v>0</v>
      </c>
    </row>
    <row r="1097" spans="1:14" x14ac:dyDescent="0.25">
      <c r="A1097">
        <v>564.057142</v>
      </c>
      <c r="B1097" s="1">
        <f>DATE(2011,11,16) + TIME(1,22,17)</f>
        <v>40863.057141203702</v>
      </c>
      <c r="C1097">
        <v>80</v>
      </c>
      <c r="D1097">
        <v>77.493896484000004</v>
      </c>
      <c r="E1097">
        <v>50</v>
      </c>
      <c r="F1097">
        <v>49.962558745999999</v>
      </c>
      <c r="G1097">
        <v>1301.0694579999999</v>
      </c>
      <c r="H1097">
        <v>1288.307251</v>
      </c>
      <c r="I1097">
        <v>1398.3676757999999</v>
      </c>
      <c r="J1097">
        <v>1378.6546631000001</v>
      </c>
      <c r="K1097">
        <v>0</v>
      </c>
      <c r="L1097">
        <v>2400</v>
      </c>
      <c r="M1097">
        <v>2400</v>
      </c>
      <c r="N1097">
        <v>0</v>
      </c>
    </row>
    <row r="1098" spans="1:14" x14ac:dyDescent="0.25">
      <c r="A1098">
        <v>564.78086399999995</v>
      </c>
      <c r="B1098" s="1">
        <f>DATE(2011,11,16) + TIME(18,44,26)</f>
        <v>40863.780856481484</v>
      </c>
      <c r="C1098">
        <v>80</v>
      </c>
      <c r="D1098">
        <v>77.404983521000005</v>
      </c>
      <c r="E1098">
        <v>50</v>
      </c>
      <c r="F1098">
        <v>49.962574005</v>
      </c>
      <c r="G1098">
        <v>1301.0240478999999</v>
      </c>
      <c r="H1098">
        <v>1288.2532959</v>
      </c>
      <c r="I1098">
        <v>1398.2900391000001</v>
      </c>
      <c r="J1098">
        <v>1378.5942382999999</v>
      </c>
      <c r="K1098">
        <v>0</v>
      </c>
      <c r="L1098">
        <v>2400</v>
      </c>
      <c r="M1098">
        <v>2400</v>
      </c>
      <c r="N1098">
        <v>0</v>
      </c>
    </row>
    <row r="1099" spans="1:14" x14ac:dyDescent="0.25">
      <c r="A1099">
        <v>565.54301099999998</v>
      </c>
      <c r="B1099" s="1">
        <f>DATE(2011,11,17) + TIME(13,1,56)</f>
        <v>40864.543009259258</v>
      </c>
      <c r="C1099">
        <v>80</v>
      </c>
      <c r="D1099">
        <v>77.312789917000003</v>
      </c>
      <c r="E1099">
        <v>50</v>
      </c>
      <c r="F1099">
        <v>49.962585449000002</v>
      </c>
      <c r="G1099">
        <v>1300.9765625</v>
      </c>
      <c r="H1099">
        <v>1288.1962891000001</v>
      </c>
      <c r="I1099">
        <v>1398.2121582</v>
      </c>
      <c r="J1099">
        <v>1378.5335693</v>
      </c>
      <c r="K1099">
        <v>0</v>
      </c>
      <c r="L1099">
        <v>2400</v>
      </c>
      <c r="M1099">
        <v>2400</v>
      </c>
      <c r="N1099">
        <v>0</v>
      </c>
    </row>
    <row r="1100" spans="1:14" x14ac:dyDescent="0.25">
      <c r="A1100">
        <v>566.33445400000005</v>
      </c>
      <c r="B1100" s="1">
        <f>DATE(2011,11,18) + TIME(8,1,36)</f>
        <v>40865.334444444445</v>
      </c>
      <c r="C1100">
        <v>80</v>
      </c>
      <c r="D1100">
        <v>77.217735290999997</v>
      </c>
      <c r="E1100">
        <v>50</v>
      </c>
      <c r="F1100">
        <v>49.962596892999997</v>
      </c>
      <c r="G1100">
        <v>1300.9268798999999</v>
      </c>
      <c r="H1100">
        <v>1288.1362305</v>
      </c>
      <c r="I1100">
        <v>1398.1341553</v>
      </c>
      <c r="J1100">
        <v>1378.4725341999999</v>
      </c>
      <c r="K1100">
        <v>0</v>
      </c>
      <c r="L1100">
        <v>2400</v>
      </c>
      <c r="M1100">
        <v>2400</v>
      </c>
      <c r="N1100">
        <v>0</v>
      </c>
    </row>
    <row r="1101" spans="1:14" x14ac:dyDescent="0.25">
      <c r="A1101">
        <v>567.13270399999999</v>
      </c>
      <c r="B1101" s="1">
        <f>DATE(2011,11,19) + TIME(3,11,5)</f>
        <v>40866.132696759261</v>
      </c>
      <c r="C1101">
        <v>80</v>
      </c>
      <c r="D1101">
        <v>77.121429442999997</v>
      </c>
      <c r="E1101">
        <v>50</v>
      </c>
      <c r="F1101">
        <v>49.962604523000003</v>
      </c>
      <c r="G1101">
        <v>1300.8754882999999</v>
      </c>
      <c r="H1101">
        <v>1288.0737305</v>
      </c>
      <c r="I1101">
        <v>1398.0571289</v>
      </c>
      <c r="J1101">
        <v>1378.4121094</v>
      </c>
      <c r="K1101">
        <v>0</v>
      </c>
      <c r="L1101">
        <v>2400</v>
      </c>
      <c r="M1101">
        <v>2400</v>
      </c>
      <c r="N1101">
        <v>0</v>
      </c>
    </row>
    <row r="1102" spans="1:14" x14ac:dyDescent="0.25">
      <c r="A1102">
        <v>567.93922399999997</v>
      </c>
      <c r="B1102" s="1">
        <f>DATE(2011,11,19) + TIME(22,32,28)</f>
        <v>40866.939212962963</v>
      </c>
      <c r="C1102">
        <v>80</v>
      </c>
      <c r="D1102">
        <v>77.024612426999994</v>
      </c>
      <c r="E1102">
        <v>50</v>
      </c>
      <c r="F1102">
        <v>49.962612151999998</v>
      </c>
      <c r="G1102">
        <v>1300.8232422000001</v>
      </c>
      <c r="H1102">
        <v>1288.0093993999999</v>
      </c>
      <c r="I1102">
        <v>1397.9830322</v>
      </c>
      <c r="J1102">
        <v>1378.3537598</v>
      </c>
      <c r="K1102">
        <v>0</v>
      </c>
      <c r="L1102">
        <v>2400</v>
      </c>
      <c r="M1102">
        <v>2400</v>
      </c>
      <c r="N1102">
        <v>0</v>
      </c>
    </row>
    <row r="1103" spans="1:14" x14ac:dyDescent="0.25">
      <c r="A1103">
        <v>568.760538</v>
      </c>
      <c r="B1103" s="1">
        <f>DATE(2011,11,20) + TIME(18,15,10)</f>
        <v>40867.76053240741</v>
      </c>
      <c r="C1103">
        <v>80</v>
      </c>
      <c r="D1103">
        <v>76.927261353000006</v>
      </c>
      <c r="E1103">
        <v>50</v>
      </c>
      <c r="F1103">
        <v>49.962623596</v>
      </c>
      <c r="G1103">
        <v>1300.7697754000001</v>
      </c>
      <c r="H1103">
        <v>1287.9433594</v>
      </c>
      <c r="I1103">
        <v>1397.9113769999999</v>
      </c>
      <c r="J1103">
        <v>1378.2971190999999</v>
      </c>
      <c r="K1103">
        <v>0</v>
      </c>
      <c r="L1103">
        <v>2400</v>
      </c>
      <c r="M1103">
        <v>2400</v>
      </c>
      <c r="N1103">
        <v>0</v>
      </c>
    </row>
    <row r="1104" spans="1:14" x14ac:dyDescent="0.25">
      <c r="A1104">
        <v>569.60324600000001</v>
      </c>
      <c r="B1104" s="1">
        <f>DATE(2011,11,21) + TIME(14,28,40)</f>
        <v>40868.60324074074</v>
      </c>
      <c r="C1104">
        <v>80</v>
      </c>
      <c r="D1104">
        <v>76.829025268999999</v>
      </c>
      <c r="E1104">
        <v>50</v>
      </c>
      <c r="F1104">
        <v>49.962635040000002</v>
      </c>
      <c r="G1104">
        <v>1300.7149658000001</v>
      </c>
      <c r="H1104">
        <v>1287.8747559000001</v>
      </c>
      <c r="I1104">
        <v>1397.8416748</v>
      </c>
      <c r="J1104">
        <v>1378.2416992000001</v>
      </c>
      <c r="K1104">
        <v>0</v>
      </c>
      <c r="L1104">
        <v>2400</v>
      </c>
      <c r="M1104">
        <v>2400</v>
      </c>
      <c r="N1104">
        <v>0</v>
      </c>
    </row>
    <row r="1105" spans="1:14" x14ac:dyDescent="0.25">
      <c r="A1105">
        <v>570.47440700000004</v>
      </c>
      <c r="B1105" s="1">
        <f>DATE(2011,11,22) + TIME(11,23,8)</f>
        <v>40869.474398148152</v>
      </c>
      <c r="C1105">
        <v>80</v>
      </c>
      <c r="D1105">
        <v>76.729331970000004</v>
      </c>
      <c r="E1105">
        <v>50</v>
      </c>
      <c r="F1105">
        <v>49.962650299000003</v>
      </c>
      <c r="G1105">
        <v>1300.6579589999999</v>
      </c>
      <c r="H1105">
        <v>1287.8031006000001</v>
      </c>
      <c r="I1105">
        <v>1397.7730713000001</v>
      </c>
      <c r="J1105">
        <v>1378.1870117000001</v>
      </c>
      <c r="K1105">
        <v>0</v>
      </c>
      <c r="L1105">
        <v>2400</v>
      </c>
      <c r="M1105">
        <v>2400</v>
      </c>
      <c r="N1105">
        <v>0</v>
      </c>
    </row>
    <row r="1106" spans="1:14" x14ac:dyDescent="0.25">
      <c r="A1106">
        <v>571.38194999999996</v>
      </c>
      <c r="B1106" s="1">
        <f>DATE(2011,11,23) + TIME(9,10,0)</f>
        <v>40870.381944444445</v>
      </c>
      <c r="C1106">
        <v>80</v>
      </c>
      <c r="D1106">
        <v>76.627510071000003</v>
      </c>
      <c r="E1106">
        <v>50</v>
      </c>
      <c r="F1106">
        <v>49.962665557999998</v>
      </c>
      <c r="G1106">
        <v>1300.5983887</v>
      </c>
      <c r="H1106">
        <v>1287.7277832</v>
      </c>
      <c r="I1106">
        <v>1397.7050781</v>
      </c>
      <c r="J1106">
        <v>1378.1325684000001</v>
      </c>
      <c r="K1106">
        <v>0</v>
      </c>
      <c r="L1106">
        <v>2400</v>
      </c>
      <c r="M1106">
        <v>2400</v>
      </c>
      <c r="N1106">
        <v>0</v>
      </c>
    </row>
    <row r="1107" spans="1:14" x14ac:dyDescent="0.25">
      <c r="A1107">
        <v>572.33514500000001</v>
      </c>
      <c r="B1107" s="1">
        <f>DATE(2011,11,24) + TIME(8,2,36)</f>
        <v>40871.335138888891</v>
      </c>
      <c r="C1107">
        <v>80</v>
      </c>
      <c r="D1107">
        <v>76.522766113000003</v>
      </c>
      <c r="E1107">
        <v>50</v>
      </c>
      <c r="F1107">
        <v>49.962680816999999</v>
      </c>
      <c r="G1107">
        <v>1300.5356445</v>
      </c>
      <c r="H1107">
        <v>1287.6478271000001</v>
      </c>
      <c r="I1107">
        <v>1397.6370850000001</v>
      </c>
      <c r="J1107">
        <v>1378.0780029</v>
      </c>
      <c r="K1107">
        <v>0</v>
      </c>
      <c r="L1107">
        <v>2400</v>
      </c>
      <c r="M1107">
        <v>2400</v>
      </c>
      <c r="N1107">
        <v>0</v>
      </c>
    </row>
    <row r="1108" spans="1:14" x14ac:dyDescent="0.25">
      <c r="A1108">
        <v>573.34518100000003</v>
      </c>
      <c r="B1108" s="1">
        <f>DATE(2011,11,25) + TIME(8,17,3)</f>
        <v>40872.345173611109</v>
      </c>
      <c r="C1108">
        <v>80</v>
      </c>
      <c r="D1108">
        <v>76.414176940999994</v>
      </c>
      <c r="E1108">
        <v>50</v>
      </c>
      <c r="F1108">
        <v>49.962699890000003</v>
      </c>
      <c r="G1108">
        <v>1300.46875</v>
      </c>
      <c r="H1108">
        <v>1287.5621338000001</v>
      </c>
      <c r="I1108">
        <v>1397.5686035000001</v>
      </c>
      <c r="J1108">
        <v>1378.0228271000001</v>
      </c>
      <c r="K1108">
        <v>0</v>
      </c>
      <c r="L1108">
        <v>2400</v>
      </c>
      <c r="M1108">
        <v>2400</v>
      </c>
      <c r="N1108">
        <v>0</v>
      </c>
    </row>
    <row r="1109" spans="1:14" x14ac:dyDescent="0.25">
      <c r="A1109">
        <v>574.39303199999995</v>
      </c>
      <c r="B1109" s="1">
        <f>DATE(2011,11,26) + TIME(9,25,57)</f>
        <v>40873.393020833333</v>
      </c>
      <c r="C1109">
        <v>80</v>
      </c>
      <c r="D1109">
        <v>76.302146911999998</v>
      </c>
      <c r="E1109">
        <v>50</v>
      </c>
      <c r="F1109">
        <v>49.962722778</v>
      </c>
      <c r="G1109">
        <v>1300.3973389</v>
      </c>
      <c r="H1109">
        <v>1287.4700928</v>
      </c>
      <c r="I1109">
        <v>1397.4991454999999</v>
      </c>
      <c r="J1109">
        <v>1377.9665527</v>
      </c>
      <c r="K1109">
        <v>0</v>
      </c>
      <c r="L1109">
        <v>2400</v>
      </c>
      <c r="M1109">
        <v>2400</v>
      </c>
      <c r="N1109">
        <v>0</v>
      </c>
    </row>
    <row r="1110" spans="1:14" x14ac:dyDescent="0.25">
      <c r="A1110">
        <v>575.444839</v>
      </c>
      <c r="B1110" s="1">
        <f>DATE(2011,11,27) + TIME(10,40,34)</f>
        <v>40874.444837962961</v>
      </c>
      <c r="C1110">
        <v>80</v>
      </c>
      <c r="D1110">
        <v>76.188735961999996</v>
      </c>
      <c r="E1110">
        <v>50</v>
      </c>
      <c r="F1110">
        <v>49.962741852000001</v>
      </c>
      <c r="G1110">
        <v>1300.3223877</v>
      </c>
      <c r="H1110">
        <v>1287.3730469</v>
      </c>
      <c r="I1110">
        <v>1397.4301757999999</v>
      </c>
      <c r="J1110">
        <v>1377.9104004000001</v>
      </c>
      <c r="K1110">
        <v>0</v>
      </c>
      <c r="L1110">
        <v>2400</v>
      </c>
      <c r="M1110">
        <v>2400</v>
      </c>
      <c r="N1110">
        <v>0</v>
      </c>
    </row>
    <row r="1111" spans="1:14" x14ac:dyDescent="0.25">
      <c r="A1111">
        <v>576.507429</v>
      </c>
      <c r="B1111" s="1">
        <f>DATE(2011,11,28) + TIME(12,10,41)</f>
        <v>40875.507418981484</v>
      </c>
      <c r="C1111">
        <v>80</v>
      </c>
      <c r="D1111">
        <v>76.075042725000003</v>
      </c>
      <c r="E1111">
        <v>50</v>
      </c>
      <c r="F1111">
        <v>49.962764739999997</v>
      </c>
      <c r="G1111">
        <v>1300.2456055</v>
      </c>
      <c r="H1111">
        <v>1287.2728271000001</v>
      </c>
      <c r="I1111">
        <v>1397.3635254000001</v>
      </c>
      <c r="J1111">
        <v>1377.855957</v>
      </c>
      <c r="K1111">
        <v>0</v>
      </c>
      <c r="L1111">
        <v>2400</v>
      </c>
      <c r="M1111">
        <v>2400</v>
      </c>
      <c r="N1111">
        <v>0</v>
      </c>
    </row>
    <row r="1112" spans="1:14" x14ac:dyDescent="0.25">
      <c r="A1112">
        <v>577.58968400000003</v>
      </c>
      <c r="B1112" s="1">
        <f>DATE(2011,11,29) + TIME(14,9,8)</f>
        <v>40876.589675925927</v>
      </c>
      <c r="C1112">
        <v>80</v>
      </c>
      <c r="D1112">
        <v>75.961051940999994</v>
      </c>
      <c r="E1112">
        <v>50</v>
      </c>
      <c r="F1112">
        <v>49.962791443</v>
      </c>
      <c r="G1112">
        <v>1300.166626</v>
      </c>
      <c r="H1112">
        <v>1287.1690673999999</v>
      </c>
      <c r="I1112">
        <v>1397.2987060999999</v>
      </c>
      <c r="J1112">
        <v>1377.8027344</v>
      </c>
      <c r="K1112">
        <v>0</v>
      </c>
      <c r="L1112">
        <v>2400</v>
      </c>
      <c r="M1112">
        <v>2400</v>
      </c>
      <c r="N1112">
        <v>0</v>
      </c>
    </row>
    <row r="1113" spans="1:14" x14ac:dyDescent="0.25">
      <c r="A1113">
        <v>578.70070999999996</v>
      </c>
      <c r="B1113" s="1">
        <f>DATE(2011,11,30) + TIME(16,49,1)</f>
        <v>40877.700706018521</v>
      </c>
      <c r="C1113">
        <v>80</v>
      </c>
      <c r="D1113">
        <v>75.846214294000006</v>
      </c>
      <c r="E1113">
        <v>50</v>
      </c>
      <c r="F1113">
        <v>49.962818145999996</v>
      </c>
      <c r="G1113">
        <v>1300.0848389</v>
      </c>
      <c r="H1113">
        <v>1287.0611572</v>
      </c>
      <c r="I1113">
        <v>1397.2351074000001</v>
      </c>
      <c r="J1113">
        <v>1377.7503661999999</v>
      </c>
      <c r="K1113">
        <v>0</v>
      </c>
      <c r="L1113">
        <v>2400</v>
      </c>
      <c r="M1113">
        <v>2400</v>
      </c>
      <c r="N1113">
        <v>0</v>
      </c>
    </row>
    <row r="1114" spans="1:14" x14ac:dyDescent="0.25">
      <c r="A1114">
        <v>579</v>
      </c>
      <c r="B1114" s="1">
        <f>DATE(2011,12,1) + TIME(0,0,0)</f>
        <v>40878</v>
      </c>
      <c r="C1114">
        <v>80</v>
      </c>
      <c r="D1114">
        <v>75.792449950999995</v>
      </c>
      <c r="E1114">
        <v>50</v>
      </c>
      <c r="F1114">
        <v>49.962787628000001</v>
      </c>
      <c r="G1114">
        <v>1300.0185547000001</v>
      </c>
      <c r="H1114">
        <v>1286.9768065999999</v>
      </c>
      <c r="I1114">
        <v>1397.1831055</v>
      </c>
      <c r="J1114">
        <v>1377.708374</v>
      </c>
      <c r="K1114">
        <v>0</v>
      </c>
      <c r="L1114">
        <v>2400</v>
      </c>
      <c r="M1114">
        <v>2400</v>
      </c>
      <c r="N1114">
        <v>0</v>
      </c>
    </row>
    <row r="1115" spans="1:14" x14ac:dyDescent="0.25">
      <c r="A1115">
        <v>580.14967300000001</v>
      </c>
      <c r="B1115" s="1">
        <f>DATE(2011,12,2) + TIME(3,35,31)</f>
        <v>40879.149664351855</v>
      </c>
      <c r="C1115">
        <v>80</v>
      </c>
      <c r="D1115">
        <v>75.689674377000003</v>
      </c>
      <c r="E1115">
        <v>50</v>
      </c>
      <c r="F1115">
        <v>49.962856293000002</v>
      </c>
      <c r="G1115">
        <v>1299.9724120999999</v>
      </c>
      <c r="H1115">
        <v>1286.9106445</v>
      </c>
      <c r="I1115">
        <v>1397.1534423999999</v>
      </c>
      <c r="J1115">
        <v>1377.6824951000001</v>
      </c>
      <c r="K1115">
        <v>0</v>
      </c>
      <c r="L1115">
        <v>2400</v>
      </c>
      <c r="M1115">
        <v>2400</v>
      </c>
      <c r="N1115">
        <v>0</v>
      </c>
    </row>
    <row r="1116" spans="1:14" x14ac:dyDescent="0.25">
      <c r="A1116">
        <v>581.363337</v>
      </c>
      <c r="B1116" s="1">
        <f>DATE(2011,12,3) + TIME(8,43,12)</f>
        <v>40880.363333333335</v>
      </c>
      <c r="C1116">
        <v>80</v>
      </c>
      <c r="D1116">
        <v>75.576171875</v>
      </c>
      <c r="E1116">
        <v>50</v>
      </c>
      <c r="F1116">
        <v>49.962890625</v>
      </c>
      <c r="G1116">
        <v>1299.8851318</v>
      </c>
      <c r="H1116">
        <v>1286.7945557</v>
      </c>
      <c r="I1116">
        <v>1397.0935059000001</v>
      </c>
      <c r="J1116">
        <v>1377.6328125</v>
      </c>
      <c r="K1116">
        <v>0</v>
      </c>
      <c r="L1116">
        <v>2400</v>
      </c>
      <c r="M1116">
        <v>2400</v>
      </c>
      <c r="N1116">
        <v>0</v>
      </c>
    </row>
    <row r="1117" spans="1:14" x14ac:dyDescent="0.25">
      <c r="A1117">
        <v>582.62627999999995</v>
      </c>
      <c r="B1117" s="1">
        <f>DATE(2011,12,4) + TIME(15,1,50)</f>
        <v>40881.626273148147</v>
      </c>
      <c r="C1117">
        <v>80</v>
      </c>
      <c r="D1117">
        <v>75.455871582</v>
      </c>
      <c r="E1117">
        <v>50</v>
      </c>
      <c r="F1117">
        <v>49.962924956999998</v>
      </c>
      <c r="G1117">
        <v>1299.7899170000001</v>
      </c>
      <c r="H1117">
        <v>1286.6672363</v>
      </c>
      <c r="I1117">
        <v>1397.0306396000001</v>
      </c>
      <c r="J1117">
        <v>1377.5802002</v>
      </c>
      <c r="K1117">
        <v>0</v>
      </c>
      <c r="L1117">
        <v>2400</v>
      </c>
      <c r="M1117">
        <v>2400</v>
      </c>
      <c r="N1117">
        <v>0</v>
      </c>
    </row>
    <row r="1118" spans="1:14" x14ac:dyDescent="0.25">
      <c r="A1118">
        <v>583.92920300000003</v>
      </c>
      <c r="B1118" s="1">
        <f>DATE(2011,12,5) + TIME(22,18,3)</f>
        <v>40882.929201388892</v>
      </c>
      <c r="C1118">
        <v>80</v>
      </c>
      <c r="D1118">
        <v>75.331253051999994</v>
      </c>
      <c r="E1118">
        <v>50</v>
      </c>
      <c r="F1118">
        <v>49.962959290000001</v>
      </c>
      <c r="G1118">
        <v>1299.6888428</v>
      </c>
      <c r="H1118">
        <v>1286.5313721</v>
      </c>
      <c r="I1118">
        <v>1396.9672852000001</v>
      </c>
      <c r="J1118">
        <v>1377.5270995999999</v>
      </c>
      <c r="K1118">
        <v>0</v>
      </c>
      <c r="L1118">
        <v>2400</v>
      </c>
      <c r="M1118">
        <v>2400</v>
      </c>
      <c r="N1118">
        <v>0</v>
      </c>
    </row>
    <row r="1119" spans="1:14" x14ac:dyDescent="0.25">
      <c r="A1119">
        <v>585.24853399999995</v>
      </c>
      <c r="B1119" s="1">
        <f>DATE(2011,12,7) + TIME(5,57,53)</f>
        <v>40884.248530092591</v>
      </c>
      <c r="C1119">
        <v>80</v>
      </c>
      <c r="D1119">
        <v>75.204452515</v>
      </c>
      <c r="E1119">
        <v>50</v>
      </c>
      <c r="F1119">
        <v>49.962997436999999</v>
      </c>
      <c r="G1119">
        <v>1299.5830077999999</v>
      </c>
      <c r="H1119">
        <v>1286.3884277</v>
      </c>
      <c r="I1119">
        <v>1396.9042969</v>
      </c>
      <c r="J1119">
        <v>1377.473999</v>
      </c>
      <c r="K1119">
        <v>0</v>
      </c>
      <c r="L1119">
        <v>2400</v>
      </c>
      <c r="M1119">
        <v>2400</v>
      </c>
      <c r="N1119">
        <v>0</v>
      </c>
    </row>
    <row r="1120" spans="1:14" x14ac:dyDescent="0.25">
      <c r="A1120">
        <v>586.59470899999997</v>
      </c>
      <c r="B1120" s="1">
        <f>DATE(2011,12,8) + TIME(14,16,22)</f>
        <v>40885.594699074078</v>
      </c>
      <c r="C1120">
        <v>80</v>
      </c>
      <c r="D1120">
        <v>75.076545714999995</v>
      </c>
      <c r="E1120">
        <v>50</v>
      </c>
      <c r="F1120">
        <v>49.963035583</v>
      </c>
      <c r="G1120">
        <v>1299.4738769999999</v>
      </c>
      <c r="H1120">
        <v>1286.2401123</v>
      </c>
      <c r="I1120">
        <v>1396.8427733999999</v>
      </c>
      <c r="J1120">
        <v>1377.421875</v>
      </c>
      <c r="K1120">
        <v>0</v>
      </c>
      <c r="L1120">
        <v>2400</v>
      </c>
      <c r="M1120">
        <v>2400</v>
      </c>
      <c r="N1120">
        <v>0</v>
      </c>
    </row>
    <row r="1121" spans="1:14" x14ac:dyDescent="0.25">
      <c r="A1121">
        <v>587.97118499999999</v>
      </c>
      <c r="B1121" s="1">
        <f>DATE(2011,12,9) + TIME(23,18,30)</f>
        <v>40886.971180555556</v>
      </c>
      <c r="C1121">
        <v>80</v>
      </c>
      <c r="D1121">
        <v>74.947555542000003</v>
      </c>
      <c r="E1121">
        <v>50</v>
      </c>
      <c r="F1121">
        <v>49.963077544999997</v>
      </c>
      <c r="G1121">
        <v>1299.3608397999999</v>
      </c>
      <c r="H1121">
        <v>1286.0859375</v>
      </c>
      <c r="I1121">
        <v>1396.7821045000001</v>
      </c>
      <c r="J1121">
        <v>1377.3703613</v>
      </c>
      <c r="K1121">
        <v>0</v>
      </c>
      <c r="L1121">
        <v>2400</v>
      </c>
      <c r="M1121">
        <v>2400</v>
      </c>
      <c r="N1121">
        <v>0</v>
      </c>
    </row>
    <row r="1122" spans="1:14" x14ac:dyDescent="0.25">
      <c r="A1122">
        <v>589.37327500000004</v>
      </c>
      <c r="B1122" s="1">
        <f>DATE(2011,12,11) + TIME(8,57,30)</f>
        <v>40888.373263888891</v>
      </c>
      <c r="C1122">
        <v>80</v>
      </c>
      <c r="D1122">
        <v>74.817558289000004</v>
      </c>
      <c r="E1122">
        <v>50</v>
      </c>
      <c r="F1122">
        <v>49.963123322000001</v>
      </c>
      <c r="G1122">
        <v>1299.2437743999999</v>
      </c>
      <c r="H1122">
        <v>1285.9256591999999</v>
      </c>
      <c r="I1122">
        <v>1396.7222899999999</v>
      </c>
      <c r="J1122">
        <v>1377.3193358999999</v>
      </c>
      <c r="K1122">
        <v>0</v>
      </c>
      <c r="L1122">
        <v>2400</v>
      </c>
      <c r="M1122">
        <v>2400</v>
      </c>
      <c r="N1122">
        <v>0</v>
      </c>
    </row>
    <row r="1123" spans="1:14" x14ac:dyDescent="0.25">
      <c r="A1123">
        <v>590.81005500000003</v>
      </c>
      <c r="B1123" s="1">
        <f>DATE(2011,12,12) + TIME(19,26,28)</f>
        <v>40889.810046296298</v>
      </c>
      <c r="C1123">
        <v>80</v>
      </c>
      <c r="D1123">
        <v>74.686439514</v>
      </c>
      <c r="E1123">
        <v>50</v>
      </c>
      <c r="F1123">
        <v>49.963169098000002</v>
      </c>
      <c r="G1123">
        <v>1299.1226807</v>
      </c>
      <c r="H1123">
        <v>1285.7592772999999</v>
      </c>
      <c r="I1123">
        <v>1396.6633300999999</v>
      </c>
      <c r="J1123">
        <v>1377.2687988</v>
      </c>
      <c r="K1123">
        <v>0</v>
      </c>
      <c r="L1123">
        <v>2400</v>
      </c>
      <c r="M1123">
        <v>2400</v>
      </c>
      <c r="N1123">
        <v>0</v>
      </c>
    </row>
    <row r="1124" spans="1:14" x14ac:dyDescent="0.25">
      <c r="A1124">
        <v>592.27762199999995</v>
      </c>
      <c r="B1124" s="1">
        <f>DATE(2011,12,14) + TIME(6,39,46)</f>
        <v>40891.277615740742</v>
      </c>
      <c r="C1124">
        <v>80</v>
      </c>
      <c r="D1124">
        <v>74.554054260000001</v>
      </c>
      <c r="E1124">
        <v>50</v>
      </c>
      <c r="F1124">
        <v>49.963214874000002</v>
      </c>
      <c r="G1124">
        <v>1298.9971923999999</v>
      </c>
      <c r="H1124">
        <v>1285.5861815999999</v>
      </c>
      <c r="I1124">
        <v>1396.6048584</v>
      </c>
      <c r="J1124">
        <v>1377.2185059000001</v>
      </c>
      <c r="K1124">
        <v>0</v>
      </c>
      <c r="L1124">
        <v>2400</v>
      </c>
      <c r="M1124">
        <v>2400</v>
      </c>
      <c r="N1124">
        <v>0</v>
      </c>
    </row>
    <row r="1125" spans="1:14" x14ac:dyDescent="0.25">
      <c r="A1125">
        <v>593.77927299999999</v>
      </c>
      <c r="B1125" s="1">
        <f>DATE(2011,12,15) + TIME(18,42,9)</f>
        <v>40892.779270833336</v>
      </c>
      <c r="C1125">
        <v>80</v>
      </c>
      <c r="D1125">
        <v>74.420349121000001</v>
      </c>
      <c r="E1125">
        <v>50</v>
      </c>
      <c r="F1125">
        <v>49.963264465000002</v>
      </c>
      <c r="G1125">
        <v>1298.8674315999999</v>
      </c>
      <c r="H1125">
        <v>1285.4066161999999</v>
      </c>
      <c r="I1125">
        <v>1396.5471190999999</v>
      </c>
      <c r="J1125">
        <v>1377.1685791</v>
      </c>
      <c r="K1125">
        <v>0</v>
      </c>
      <c r="L1125">
        <v>2400</v>
      </c>
      <c r="M1125">
        <v>2400</v>
      </c>
      <c r="N1125">
        <v>0</v>
      </c>
    </row>
    <row r="1126" spans="1:14" x14ac:dyDescent="0.25">
      <c r="A1126">
        <v>595.31818699999997</v>
      </c>
      <c r="B1126" s="1">
        <f>DATE(2011,12,17) + TIME(7,38,11)</f>
        <v>40894.318182870367</v>
      </c>
      <c r="C1126">
        <v>80</v>
      </c>
      <c r="D1126">
        <v>74.285148621000005</v>
      </c>
      <c r="E1126">
        <v>50</v>
      </c>
      <c r="F1126">
        <v>49.963314056000002</v>
      </c>
      <c r="G1126">
        <v>1298.7329102000001</v>
      </c>
      <c r="H1126">
        <v>1285.2200928</v>
      </c>
      <c r="I1126">
        <v>1396.4898682</v>
      </c>
      <c r="J1126">
        <v>1377.1190185999999</v>
      </c>
      <c r="K1126">
        <v>0</v>
      </c>
      <c r="L1126">
        <v>2400</v>
      </c>
      <c r="M1126">
        <v>2400</v>
      </c>
      <c r="N1126">
        <v>0</v>
      </c>
    </row>
    <row r="1127" spans="1:14" x14ac:dyDescent="0.25">
      <c r="A1127">
        <v>596.89760000000001</v>
      </c>
      <c r="B1127" s="1">
        <f>DATE(2011,12,18) + TIME(21,32,32)</f>
        <v>40895.897592592592</v>
      </c>
      <c r="C1127">
        <v>80</v>
      </c>
      <c r="D1127">
        <v>74.148200989000003</v>
      </c>
      <c r="E1127">
        <v>50</v>
      </c>
      <c r="F1127">
        <v>49.963367462000001</v>
      </c>
      <c r="G1127">
        <v>1298.5935059000001</v>
      </c>
      <c r="H1127">
        <v>1285.0261230000001</v>
      </c>
      <c r="I1127">
        <v>1396.4331055</v>
      </c>
      <c r="J1127">
        <v>1377.0695800999999</v>
      </c>
      <c r="K1127">
        <v>0</v>
      </c>
      <c r="L1127">
        <v>2400</v>
      </c>
      <c r="M1127">
        <v>2400</v>
      </c>
      <c r="N1127">
        <v>0</v>
      </c>
    </row>
    <row r="1128" spans="1:14" x14ac:dyDescent="0.25">
      <c r="A1128">
        <v>598.520847</v>
      </c>
      <c r="B1128" s="1">
        <f>DATE(2011,12,20) + TIME(12,30,1)</f>
        <v>40897.520844907405</v>
      </c>
      <c r="C1128">
        <v>80</v>
      </c>
      <c r="D1128">
        <v>74.009246825999995</v>
      </c>
      <c r="E1128">
        <v>50</v>
      </c>
      <c r="F1128">
        <v>49.963420868</v>
      </c>
      <c r="G1128">
        <v>1298.4488524999999</v>
      </c>
      <c r="H1128">
        <v>1284.8243408000001</v>
      </c>
      <c r="I1128">
        <v>1396.3765868999999</v>
      </c>
      <c r="J1128">
        <v>1377.0202637</v>
      </c>
      <c r="K1128">
        <v>0</v>
      </c>
      <c r="L1128">
        <v>2400</v>
      </c>
      <c r="M1128">
        <v>2400</v>
      </c>
      <c r="N1128">
        <v>0</v>
      </c>
    </row>
    <row r="1129" spans="1:14" x14ac:dyDescent="0.25">
      <c r="A1129">
        <v>600.19154900000001</v>
      </c>
      <c r="B1129" s="1">
        <f>DATE(2011,12,22) + TIME(4,35,49)</f>
        <v>40899.19153935185</v>
      </c>
      <c r="C1129">
        <v>80</v>
      </c>
      <c r="D1129">
        <v>73.868019103999998</v>
      </c>
      <c r="E1129">
        <v>50</v>
      </c>
      <c r="F1129">
        <v>49.963478088000002</v>
      </c>
      <c r="G1129">
        <v>1298.2985839999999</v>
      </c>
      <c r="H1129">
        <v>1284.6142577999999</v>
      </c>
      <c r="I1129">
        <v>1396.3203125</v>
      </c>
      <c r="J1129">
        <v>1376.9708252</v>
      </c>
      <c r="K1129">
        <v>0</v>
      </c>
      <c r="L1129">
        <v>2400</v>
      </c>
      <c r="M1129">
        <v>2400</v>
      </c>
      <c r="N1129">
        <v>0</v>
      </c>
    </row>
    <row r="1130" spans="1:14" x14ac:dyDescent="0.25">
      <c r="A1130">
        <v>601.90396799999996</v>
      </c>
      <c r="B1130" s="1">
        <f>DATE(2011,12,23) + TIME(21,41,42)</f>
        <v>40900.903958333336</v>
      </c>
      <c r="C1130">
        <v>80</v>
      </c>
      <c r="D1130">
        <v>73.724472046000002</v>
      </c>
      <c r="E1130">
        <v>50</v>
      </c>
      <c r="F1130">
        <v>49.963535309000001</v>
      </c>
      <c r="G1130">
        <v>1298.1424560999999</v>
      </c>
      <c r="H1130">
        <v>1284.3953856999999</v>
      </c>
      <c r="I1130">
        <v>1396.2642822</v>
      </c>
      <c r="J1130">
        <v>1376.9215088000001</v>
      </c>
      <c r="K1130">
        <v>0</v>
      </c>
      <c r="L1130">
        <v>2400</v>
      </c>
      <c r="M1130">
        <v>2400</v>
      </c>
      <c r="N1130">
        <v>0</v>
      </c>
    </row>
    <row r="1131" spans="1:14" x14ac:dyDescent="0.25">
      <c r="A1131">
        <v>603.66551400000003</v>
      </c>
      <c r="B1131" s="1">
        <f>DATE(2011,12,25) + TIME(15,58,20)</f>
        <v>40902.665509259263</v>
      </c>
      <c r="C1131">
        <v>80</v>
      </c>
      <c r="D1131">
        <v>73.578590392999999</v>
      </c>
      <c r="E1131">
        <v>50</v>
      </c>
      <c r="F1131">
        <v>49.963596344000003</v>
      </c>
      <c r="G1131">
        <v>1297.9807129000001</v>
      </c>
      <c r="H1131">
        <v>1284.1680908000001</v>
      </c>
      <c r="I1131">
        <v>1396.208374</v>
      </c>
      <c r="J1131">
        <v>1376.8721923999999</v>
      </c>
      <c r="K1131">
        <v>0</v>
      </c>
      <c r="L1131">
        <v>2400</v>
      </c>
      <c r="M1131">
        <v>2400</v>
      </c>
      <c r="N1131">
        <v>0</v>
      </c>
    </row>
    <row r="1132" spans="1:14" x14ac:dyDescent="0.25">
      <c r="A1132">
        <v>605.478612</v>
      </c>
      <c r="B1132" s="1">
        <f>DATE(2011,12,27) + TIME(11,29,12)</f>
        <v>40904.47861111111</v>
      </c>
      <c r="C1132">
        <v>80</v>
      </c>
      <c r="D1132">
        <v>73.430061339999995</v>
      </c>
      <c r="E1132">
        <v>50</v>
      </c>
      <c r="F1132">
        <v>49.963661193999997</v>
      </c>
      <c r="G1132">
        <v>1297.8127440999999</v>
      </c>
      <c r="H1132">
        <v>1283.9316406</v>
      </c>
      <c r="I1132">
        <v>1396.1527100000001</v>
      </c>
      <c r="J1132">
        <v>1376.8227539</v>
      </c>
      <c r="K1132">
        <v>0</v>
      </c>
      <c r="L1132">
        <v>2400</v>
      </c>
      <c r="M1132">
        <v>2400</v>
      </c>
      <c r="N1132">
        <v>0</v>
      </c>
    </row>
    <row r="1133" spans="1:14" x14ac:dyDescent="0.25">
      <c r="A1133">
        <v>607.33377399999995</v>
      </c>
      <c r="B1133" s="1">
        <f>DATE(2011,12,29) + TIME(8,0,38)</f>
        <v>40906.333773148152</v>
      </c>
      <c r="C1133">
        <v>80</v>
      </c>
      <c r="D1133">
        <v>73.278938292999996</v>
      </c>
      <c r="E1133">
        <v>50</v>
      </c>
      <c r="F1133">
        <v>49.963726043999998</v>
      </c>
      <c r="G1133">
        <v>1297.6384277</v>
      </c>
      <c r="H1133">
        <v>1283.6856689000001</v>
      </c>
      <c r="I1133">
        <v>1396.0970459</v>
      </c>
      <c r="J1133">
        <v>1376.7733154</v>
      </c>
      <c r="K1133">
        <v>0</v>
      </c>
      <c r="L1133">
        <v>2400</v>
      </c>
      <c r="M1133">
        <v>2400</v>
      </c>
      <c r="N1133">
        <v>0</v>
      </c>
    </row>
    <row r="1134" spans="1:14" x14ac:dyDescent="0.25">
      <c r="A1134">
        <v>609.22505000000001</v>
      </c>
      <c r="B1134" s="1">
        <f>DATE(2011,12,31) + TIME(5,24,4)</f>
        <v>40908.225046296298</v>
      </c>
      <c r="C1134">
        <v>80</v>
      </c>
      <c r="D1134">
        <v>73.125663756999998</v>
      </c>
      <c r="E1134">
        <v>50</v>
      </c>
      <c r="F1134">
        <v>49.963790893999999</v>
      </c>
      <c r="G1134">
        <v>1297.458374</v>
      </c>
      <c r="H1134">
        <v>1283.4312743999999</v>
      </c>
      <c r="I1134">
        <v>1396.0418701000001</v>
      </c>
      <c r="J1134">
        <v>1376.723999</v>
      </c>
      <c r="K1134">
        <v>0</v>
      </c>
      <c r="L1134">
        <v>2400</v>
      </c>
      <c r="M1134">
        <v>2400</v>
      </c>
      <c r="N1134">
        <v>0</v>
      </c>
    </row>
    <row r="1135" spans="1:14" x14ac:dyDescent="0.25">
      <c r="A1135">
        <v>610</v>
      </c>
      <c r="B1135" s="1">
        <f>DATE(2012,1,1) + TIME(0,0,0)</f>
        <v>40909</v>
      </c>
      <c r="C1135">
        <v>80</v>
      </c>
      <c r="D1135">
        <v>73.016830443999993</v>
      </c>
      <c r="E1135">
        <v>50</v>
      </c>
      <c r="F1135">
        <v>49.963794708000002</v>
      </c>
      <c r="G1135">
        <v>1297.2938231999999</v>
      </c>
      <c r="H1135">
        <v>1283.2042236</v>
      </c>
      <c r="I1135">
        <v>1395.9929199000001</v>
      </c>
      <c r="J1135">
        <v>1376.6805420000001</v>
      </c>
      <c r="K1135">
        <v>0</v>
      </c>
      <c r="L1135">
        <v>2400</v>
      </c>
      <c r="M1135">
        <v>2400</v>
      </c>
      <c r="N1135">
        <v>0</v>
      </c>
    </row>
    <row r="1136" spans="1:14" x14ac:dyDescent="0.25">
      <c r="A1136">
        <v>611.92540599999995</v>
      </c>
      <c r="B1136" s="1">
        <f>DATE(2012,1,2) + TIME(22,12,35)</f>
        <v>40910.925405092596</v>
      </c>
      <c r="C1136">
        <v>80</v>
      </c>
      <c r="D1136">
        <v>72.894332886000001</v>
      </c>
      <c r="E1136">
        <v>50</v>
      </c>
      <c r="F1136">
        <v>49.963890075999998</v>
      </c>
      <c r="G1136">
        <v>1297.1868896000001</v>
      </c>
      <c r="H1136">
        <v>1283.0422363</v>
      </c>
      <c r="I1136">
        <v>1395.9633789</v>
      </c>
      <c r="J1136">
        <v>1376.6534423999999</v>
      </c>
      <c r="K1136">
        <v>0</v>
      </c>
      <c r="L1136">
        <v>2400</v>
      </c>
      <c r="M1136">
        <v>2400</v>
      </c>
      <c r="N1136">
        <v>0</v>
      </c>
    </row>
    <row r="1137" spans="1:14" x14ac:dyDescent="0.25">
      <c r="A1137">
        <v>613.92228399999999</v>
      </c>
      <c r="B1137" s="1">
        <f>DATE(2012,1,4) + TIME(22,8,5)</f>
        <v>40912.922280092593</v>
      </c>
      <c r="C1137">
        <v>80</v>
      </c>
      <c r="D1137">
        <v>72.746658324999999</v>
      </c>
      <c r="E1137">
        <v>50</v>
      </c>
      <c r="F1137">
        <v>49.963958740000002</v>
      </c>
      <c r="G1137">
        <v>1297.0025635</v>
      </c>
      <c r="H1137">
        <v>1282.7832031</v>
      </c>
      <c r="I1137">
        <v>1395.9113769999999</v>
      </c>
      <c r="J1137">
        <v>1376.6068115</v>
      </c>
      <c r="K1137">
        <v>0</v>
      </c>
      <c r="L1137">
        <v>2400</v>
      </c>
      <c r="M1137">
        <v>2400</v>
      </c>
      <c r="N1137">
        <v>0</v>
      </c>
    </row>
    <row r="1138" spans="1:14" x14ac:dyDescent="0.25">
      <c r="A1138">
        <v>615.97726</v>
      </c>
      <c r="B1138" s="1">
        <f>DATE(2012,1,6) + TIME(23,27,15)</f>
        <v>40914.977256944447</v>
      </c>
      <c r="C1138">
        <v>80</v>
      </c>
      <c r="D1138">
        <v>72.588409424000005</v>
      </c>
      <c r="E1138">
        <v>50</v>
      </c>
      <c r="F1138">
        <v>49.964031218999999</v>
      </c>
      <c r="G1138">
        <v>1296.8050536999999</v>
      </c>
      <c r="H1138">
        <v>1282.5035399999999</v>
      </c>
      <c r="I1138">
        <v>1395.8574219</v>
      </c>
      <c r="J1138">
        <v>1376.5582274999999</v>
      </c>
      <c r="K1138">
        <v>0</v>
      </c>
      <c r="L1138">
        <v>2400</v>
      </c>
      <c r="M1138">
        <v>2400</v>
      </c>
      <c r="N1138">
        <v>0</v>
      </c>
    </row>
    <row r="1139" spans="1:14" x14ac:dyDescent="0.25">
      <c r="A1139">
        <v>618.06664599999999</v>
      </c>
      <c r="B1139" s="1">
        <f>DATE(2012,1,9) + TIME(1,35,58)</f>
        <v>40917.066643518519</v>
      </c>
      <c r="C1139">
        <v>80</v>
      </c>
      <c r="D1139">
        <v>72.425041199000006</v>
      </c>
      <c r="E1139">
        <v>50</v>
      </c>
      <c r="F1139">
        <v>49.964103698999999</v>
      </c>
      <c r="G1139">
        <v>1296.5991211</v>
      </c>
      <c r="H1139">
        <v>1282.2106934000001</v>
      </c>
      <c r="I1139">
        <v>1395.8034668</v>
      </c>
      <c r="J1139">
        <v>1376.5092772999999</v>
      </c>
      <c r="K1139">
        <v>0</v>
      </c>
      <c r="L1139">
        <v>2400</v>
      </c>
      <c r="M1139">
        <v>2400</v>
      </c>
      <c r="N1139">
        <v>0</v>
      </c>
    </row>
    <row r="1140" spans="1:14" x14ac:dyDescent="0.25">
      <c r="A1140">
        <v>620.19432300000005</v>
      </c>
      <c r="B1140" s="1">
        <f>DATE(2012,1,11) + TIME(4,39,49)</f>
        <v>40919.19431712963</v>
      </c>
      <c r="C1140">
        <v>80</v>
      </c>
      <c r="D1140">
        <v>72.258811950999998</v>
      </c>
      <c r="E1140">
        <v>50</v>
      </c>
      <c r="F1140">
        <v>49.964179993000002</v>
      </c>
      <c r="G1140">
        <v>1296.3874512</v>
      </c>
      <c r="H1140">
        <v>1281.9090576000001</v>
      </c>
      <c r="I1140">
        <v>1395.75</v>
      </c>
      <c r="J1140">
        <v>1376.4606934000001</v>
      </c>
      <c r="K1140">
        <v>0</v>
      </c>
      <c r="L1140">
        <v>2400</v>
      </c>
      <c r="M1140">
        <v>2400</v>
      </c>
      <c r="N1140">
        <v>0</v>
      </c>
    </row>
    <row r="1141" spans="1:14" x14ac:dyDescent="0.25">
      <c r="A1141">
        <v>622.36273000000006</v>
      </c>
      <c r="B1141" s="1">
        <f>DATE(2012,1,13) + TIME(8,42,19)</f>
        <v>40921.362719907411</v>
      </c>
      <c r="C1141">
        <v>80</v>
      </c>
      <c r="D1141">
        <v>72.090057372999993</v>
      </c>
      <c r="E1141">
        <v>50</v>
      </c>
      <c r="F1141">
        <v>49.964256286999998</v>
      </c>
      <c r="G1141">
        <v>1296.1701660000001</v>
      </c>
      <c r="H1141">
        <v>1281.5988769999999</v>
      </c>
      <c r="I1141">
        <v>1395.6968993999999</v>
      </c>
      <c r="J1141">
        <v>1376.4123535000001</v>
      </c>
      <c r="K1141">
        <v>0</v>
      </c>
      <c r="L1141">
        <v>2400</v>
      </c>
      <c r="M1141">
        <v>2400</v>
      </c>
      <c r="N1141">
        <v>0</v>
      </c>
    </row>
    <row r="1142" spans="1:14" x14ac:dyDescent="0.25">
      <c r="A1142">
        <v>624.56529599999999</v>
      </c>
      <c r="B1142" s="1">
        <f>DATE(2012,1,15) + TIME(13,34,1)</f>
        <v>40923.565289351849</v>
      </c>
      <c r="C1142">
        <v>80</v>
      </c>
      <c r="D1142">
        <v>71.918830872000001</v>
      </c>
      <c r="E1142">
        <v>50</v>
      </c>
      <c r="F1142">
        <v>49.964336394999997</v>
      </c>
      <c r="G1142">
        <v>1295.9472656</v>
      </c>
      <c r="H1142">
        <v>1281.2801514</v>
      </c>
      <c r="I1142">
        <v>1395.6442870999999</v>
      </c>
      <c r="J1142">
        <v>1376.3641356999999</v>
      </c>
      <c r="K1142">
        <v>0</v>
      </c>
      <c r="L1142">
        <v>2400</v>
      </c>
      <c r="M1142">
        <v>2400</v>
      </c>
      <c r="N1142">
        <v>0</v>
      </c>
    </row>
    <row r="1143" spans="1:14" x14ac:dyDescent="0.25">
      <c r="A1143">
        <v>626.80750499999999</v>
      </c>
      <c r="B1143" s="1">
        <f>DATE(2012,1,17) + TIME(19,22,48)</f>
        <v>40925.807500000003</v>
      </c>
      <c r="C1143">
        <v>80</v>
      </c>
      <c r="D1143">
        <v>71.745178222999996</v>
      </c>
      <c r="E1143">
        <v>50</v>
      </c>
      <c r="F1143">
        <v>49.964416503999999</v>
      </c>
      <c r="G1143">
        <v>1295.7191161999999</v>
      </c>
      <c r="H1143">
        <v>1280.9534911999999</v>
      </c>
      <c r="I1143">
        <v>1395.5921631000001</v>
      </c>
      <c r="J1143">
        <v>1376.3162841999999</v>
      </c>
      <c r="K1143">
        <v>0</v>
      </c>
      <c r="L1143">
        <v>2400</v>
      </c>
      <c r="M1143">
        <v>2400</v>
      </c>
      <c r="N1143">
        <v>0</v>
      </c>
    </row>
    <row r="1144" spans="1:14" x14ac:dyDescent="0.25">
      <c r="A1144">
        <v>629.09003900000005</v>
      </c>
      <c r="B1144" s="1">
        <f>DATE(2012,1,20) + TIME(2,9,39)</f>
        <v>40928.09003472222</v>
      </c>
      <c r="C1144">
        <v>80</v>
      </c>
      <c r="D1144">
        <v>71.568771362000007</v>
      </c>
      <c r="E1144">
        <v>50</v>
      </c>
      <c r="F1144">
        <v>49.964496613000001</v>
      </c>
      <c r="G1144">
        <v>1295.4853516000001</v>
      </c>
      <c r="H1144">
        <v>1280.6184082</v>
      </c>
      <c r="I1144">
        <v>1395.5402832</v>
      </c>
      <c r="J1144">
        <v>1376.2686768000001</v>
      </c>
      <c r="K1144">
        <v>0</v>
      </c>
      <c r="L1144">
        <v>2400</v>
      </c>
      <c r="M1144">
        <v>2400</v>
      </c>
      <c r="N1144">
        <v>0</v>
      </c>
    </row>
    <row r="1145" spans="1:14" x14ac:dyDescent="0.25">
      <c r="A1145">
        <v>631.41684399999997</v>
      </c>
      <c r="B1145" s="1">
        <f>DATE(2012,1,22) + TIME(10,0,15)</f>
        <v>40930.41684027778</v>
      </c>
      <c r="C1145">
        <v>80</v>
      </c>
      <c r="D1145">
        <v>71.389343261999997</v>
      </c>
      <c r="E1145">
        <v>50</v>
      </c>
      <c r="F1145">
        <v>49.964576721</v>
      </c>
      <c r="G1145">
        <v>1295.2458495999999</v>
      </c>
      <c r="H1145">
        <v>1280.2746582</v>
      </c>
      <c r="I1145">
        <v>1395.4888916</v>
      </c>
      <c r="J1145">
        <v>1376.2211914</v>
      </c>
      <c r="K1145">
        <v>0</v>
      </c>
      <c r="L1145">
        <v>2400</v>
      </c>
      <c r="M1145">
        <v>2400</v>
      </c>
      <c r="N1145">
        <v>0</v>
      </c>
    </row>
    <row r="1146" spans="1:14" x14ac:dyDescent="0.25">
      <c r="A1146">
        <v>633.79185900000004</v>
      </c>
      <c r="B1146" s="1">
        <f>DATE(2012,1,24) + TIME(19,0,16)</f>
        <v>40932.791851851849</v>
      </c>
      <c r="C1146">
        <v>80</v>
      </c>
      <c r="D1146">
        <v>71.206459045000003</v>
      </c>
      <c r="E1146">
        <v>50</v>
      </c>
      <c r="F1146">
        <v>49.964660645000002</v>
      </c>
      <c r="G1146">
        <v>1295.0001221</v>
      </c>
      <c r="H1146">
        <v>1279.9216309000001</v>
      </c>
      <c r="I1146">
        <v>1395.4376221</v>
      </c>
      <c r="J1146">
        <v>1376.1738281</v>
      </c>
      <c r="K1146">
        <v>0</v>
      </c>
      <c r="L1146">
        <v>2400</v>
      </c>
      <c r="M1146">
        <v>2400</v>
      </c>
      <c r="N1146">
        <v>0</v>
      </c>
    </row>
    <row r="1147" spans="1:14" x14ac:dyDescent="0.25">
      <c r="A1147">
        <v>636.218887</v>
      </c>
      <c r="B1147" s="1">
        <f>DATE(2012,1,27) + TIME(5,15,11)</f>
        <v>40935.218877314815</v>
      </c>
      <c r="C1147">
        <v>80</v>
      </c>
      <c r="D1147">
        <v>71.019584656000006</v>
      </c>
      <c r="E1147">
        <v>50</v>
      </c>
      <c r="F1147">
        <v>49.964748383</v>
      </c>
      <c r="G1147">
        <v>1294.7478027</v>
      </c>
      <c r="H1147">
        <v>1279.5587158000001</v>
      </c>
      <c r="I1147">
        <v>1395.3864745999999</v>
      </c>
      <c r="J1147">
        <v>1376.1263428</v>
      </c>
      <c r="K1147">
        <v>0</v>
      </c>
      <c r="L1147">
        <v>2400</v>
      </c>
      <c r="M1147">
        <v>2400</v>
      </c>
      <c r="N1147">
        <v>0</v>
      </c>
    </row>
    <row r="1148" spans="1:14" x14ac:dyDescent="0.25">
      <c r="A1148">
        <v>638.70195000000001</v>
      </c>
      <c r="B1148" s="1">
        <f>DATE(2012,1,29) + TIME(16,50,48)</f>
        <v>40937.701944444445</v>
      </c>
      <c r="C1148">
        <v>80</v>
      </c>
      <c r="D1148">
        <v>70.828224182</v>
      </c>
      <c r="E1148">
        <v>50</v>
      </c>
      <c r="F1148">
        <v>49.964836120999998</v>
      </c>
      <c r="G1148">
        <v>1294.4884033000001</v>
      </c>
      <c r="H1148">
        <v>1279.1851807</v>
      </c>
      <c r="I1148">
        <v>1395.3354492000001</v>
      </c>
      <c r="J1148">
        <v>1376.0788574000001</v>
      </c>
      <c r="K1148">
        <v>0</v>
      </c>
      <c r="L1148">
        <v>2400</v>
      </c>
      <c r="M1148">
        <v>2400</v>
      </c>
      <c r="N1148">
        <v>0</v>
      </c>
    </row>
    <row r="1149" spans="1:14" x14ac:dyDescent="0.25">
      <c r="A1149">
        <v>641</v>
      </c>
      <c r="B1149" s="1">
        <f>DATE(2012,2,1) + TIME(0,0,0)</f>
        <v>40940</v>
      </c>
      <c r="C1149">
        <v>80</v>
      </c>
      <c r="D1149">
        <v>70.636367797999995</v>
      </c>
      <c r="E1149">
        <v>50</v>
      </c>
      <c r="F1149">
        <v>49.964916229000004</v>
      </c>
      <c r="G1149">
        <v>1294.2238769999999</v>
      </c>
      <c r="H1149">
        <v>1278.8048096</v>
      </c>
      <c r="I1149">
        <v>1395.2850341999999</v>
      </c>
      <c r="J1149">
        <v>1376.0318603999999</v>
      </c>
      <c r="K1149">
        <v>0</v>
      </c>
      <c r="L1149">
        <v>2400</v>
      </c>
      <c r="M1149">
        <v>2400</v>
      </c>
      <c r="N1149">
        <v>0</v>
      </c>
    </row>
    <row r="1150" spans="1:14" x14ac:dyDescent="0.25">
      <c r="A1150">
        <v>643.54311099999995</v>
      </c>
      <c r="B1150" s="1">
        <f>DATE(2012,2,3) + TIME(13,2,4)</f>
        <v>40942.54310185185</v>
      </c>
      <c r="C1150">
        <v>80</v>
      </c>
      <c r="D1150">
        <v>70.446975707999997</v>
      </c>
      <c r="E1150">
        <v>50</v>
      </c>
      <c r="F1150">
        <v>49.965007782000001</v>
      </c>
      <c r="G1150">
        <v>1293.9704589999999</v>
      </c>
      <c r="H1150">
        <v>1278.4366454999999</v>
      </c>
      <c r="I1150">
        <v>1395.2379149999999</v>
      </c>
      <c r="J1150">
        <v>1375.987793</v>
      </c>
      <c r="K1150">
        <v>0</v>
      </c>
      <c r="L1150">
        <v>2400</v>
      </c>
      <c r="M1150">
        <v>2400</v>
      </c>
      <c r="N1150">
        <v>0</v>
      </c>
    </row>
    <row r="1151" spans="1:14" x14ac:dyDescent="0.25">
      <c r="A1151">
        <v>646.21013900000003</v>
      </c>
      <c r="B1151" s="1">
        <f>DATE(2012,2,6) + TIME(5,2,36)</f>
        <v>40945.210138888891</v>
      </c>
      <c r="C1151">
        <v>80</v>
      </c>
      <c r="D1151">
        <v>70.244834900000001</v>
      </c>
      <c r="E1151">
        <v>50</v>
      </c>
      <c r="F1151">
        <v>49.965099334999998</v>
      </c>
      <c r="G1151">
        <v>1293.6949463000001</v>
      </c>
      <c r="H1151">
        <v>1278.0393065999999</v>
      </c>
      <c r="I1151">
        <v>1395.1877440999999</v>
      </c>
      <c r="J1151">
        <v>1375.9407959</v>
      </c>
      <c r="K1151">
        <v>0</v>
      </c>
      <c r="L1151">
        <v>2400</v>
      </c>
      <c r="M1151">
        <v>2400</v>
      </c>
      <c r="N1151">
        <v>0</v>
      </c>
    </row>
    <row r="1152" spans="1:14" x14ac:dyDescent="0.25">
      <c r="A1152">
        <v>648.93915200000004</v>
      </c>
      <c r="B1152" s="1">
        <f>DATE(2012,2,8) + TIME(22,32,22)</f>
        <v>40947.939143518517</v>
      </c>
      <c r="C1152">
        <v>80</v>
      </c>
      <c r="D1152">
        <v>70.031921386999997</v>
      </c>
      <c r="E1152">
        <v>50</v>
      </c>
      <c r="F1152">
        <v>49.965194701999998</v>
      </c>
      <c r="G1152">
        <v>1293.4042969</v>
      </c>
      <c r="H1152">
        <v>1277.6196289</v>
      </c>
      <c r="I1152">
        <v>1395.1363524999999</v>
      </c>
      <c r="J1152">
        <v>1375.8925781</v>
      </c>
      <c r="K1152">
        <v>0</v>
      </c>
      <c r="L1152">
        <v>2400</v>
      </c>
      <c r="M1152">
        <v>2400</v>
      </c>
      <c r="N1152">
        <v>0</v>
      </c>
    </row>
    <row r="1153" spans="1:14" x14ac:dyDescent="0.25">
      <c r="A1153">
        <v>651.71774500000004</v>
      </c>
      <c r="B1153" s="1">
        <f>DATE(2012,2,11) + TIME(17,13,33)</f>
        <v>40950.717743055553</v>
      </c>
      <c r="C1153">
        <v>80</v>
      </c>
      <c r="D1153">
        <v>69.811401367000002</v>
      </c>
      <c r="E1153">
        <v>50</v>
      </c>
      <c r="F1153">
        <v>49.965290070000002</v>
      </c>
      <c r="G1153">
        <v>1293.1042480000001</v>
      </c>
      <c r="H1153">
        <v>1277.1853027</v>
      </c>
      <c r="I1153">
        <v>1395.0848389</v>
      </c>
      <c r="J1153">
        <v>1375.8439940999999</v>
      </c>
      <c r="K1153">
        <v>0</v>
      </c>
      <c r="L1153">
        <v>2400</v>
      </c>
      <c r="M1153">
        <v>2400</v>
      </c>
      <c r="N1153">
        <v>0</v>
      </c>
    </row>
    <row r="1154" spans="1:14" x14ac:dyDescent="0.25">
      <c r="A1154">
        <v>654.543316</v>
      </c>
      <c r="B1154" s="1">
        <f>DATE(2012,2,14) + TIME(13,2,22)</f>
        <v>40953.543310185189</v>
      </c>
      <c r="C1154">
        <v>80</v>
      </c>
      <c r="D1154">
        <v>69.584327697999996</v>
      </c>
      <c r="E1154">
        <v>50</v>
      </c>
      <c r="F1154">
        <v>49.965385437000002</v>
      </c>
      <c r="G1154">
        <v>1292.7965088000001</v>
      </c>
      <c r="H1154">
        <v>1276.7391356999999</v>
      </c>
      <c r="I1154">
        <v>1395.0333252</v>
      </c>
      <c r="J1154">
        <v>1375.7954102000001</v>
      </c>
      <c r="K1154">
        <v>0</v>
      </c>
      <c r="L1154">
        <v>2400</v>
      </c>
      <c r="M1154">
        <v>2400</v>
      </c>
      <c r="N1154">
        <v>0</v>
      </c>
    </row>
    <row r="1155" spans="1:14" x14ac:dyDescent="0.25">
      <c r="A1155">
        <v>657.42139299999997</v>
      </c>
      <c r="B1155" s="1">
        <f>DATE(2012,2,17) + TIME(10,6,48)</f>
        <v>40956.421388888892</v>
      </c>
      <c r="C1155">
        <v>80</v>
      </c>
      <c r="D1155">
        <v>69.350646972999996</v>
      </c>
      <c r="E1155">
        <v>50</v>
      </c>
      <c r="F1155">
        <v>49.965484619000001</v>
      </c>
      <c r="G1155">
        <v>1292.4813231999999</v>
      </c>
      <c r="H1155">
        <v>1276.2814940999999</v>
      </c>
      <c r="I1155">
        <v>1394.9819336</v>
      </c>
      <c r="J1155">
        <v>1375.7468262</v>
      </c>
      <c r="K1155">
        <v>0</v>
      </c>
      <c r="L1155">
        <v>2400</v>
      </c>
      <c r="M1155">
        <v>2400</v>
      </c>
      <c r="N1155">
        <v>0</v>
      </c>
    </row>
    <row r="1156" spans="1:14" x14ac:dyDescent="0.25">
      <c r="A1156">
        <v>660.35164699999996</v>
      </c>
      <c r="B1156" s="1">
        <f>DATE(2012,2,20) + TIME(8,26,22)</f>
        <v>40959.351643518516</v>
      </c>
      <c r="C1156">
        <v>80</v>
      </c>
      <c r="D1156">
        <v>69.109642029</v>
      </c>
      <c r="E1156">
        <v>50</v>
      </c>
      <c r="F1156">
        <v>49.965583801000001</v>
      </c>
      <c r="G1156">
        <v>1292.1584473</v>
      </c>
      <c r="H1156">
        <v>1275.8118896000001</v>
      </c>
      <c r="I1156">
        <v>1394.9306641000001</v>
      </c>
      <c r="J1156">
        <v>1375.6981201000001</v>
      </c>
      <c r="K1156">
        <v>0</v>
      </c>
      <c r="L1156">
        <v>2400</v>
      </c>
      <c r="M1156">
        <v>2400</v>
      </c>
      <c r="N1156">
        <v>0</v>
      </c>
    </row>
    <row r="1157" spans="1:14" x14ac:dyDescent="0.25">
      <c r="A1157">
        <v>663.35015099999998</v>
      </c>
      <c r="B1157" s="1">
        <f>DATE(2012,2,23) + TIME(8,24,13)</f>
        <v>40962.35015046296</v>
      </c>
      <c r="C1157">
        <v>80</v>
      </c>
      <c r="D1157">
        <v>68.860511779999996</v>
      </c>
      <c r="E1157">
        <v>50</v>
      </c>
      <c r="F1157">
        <v>49.965686798</v>
      </c>
      <c r="G1157">
        <v>1291.8275146000001</v>
      </c>
      <c r="H1157">
        <v>1275.3298339999999</v>
      </c>
      <c r="I1157">
        <v>1394.8792725000001</v>
      </c>
      <c r="J1157">
        <v>1375.6494141000001</v>
      </c>
      <c r="K1157">
        <v>0</v>
      </c>
      <c r="L1157">
        <v>2400</v>
      </c>
      <c r="M1157">
        <v>2400</v>
      </c>
      <c r="N1157">
        <v>0</v>
      </c>
    </row>
    <row r="1158" spans="1:14" x14ac:dyDescent="0.25">
      <c r="A1158">
        <v>666.43321000000003</v>
      </c>
      <c r="B1158" s="1">
        <f>DATE(2012,2,26) + TIME(10,23,49)</f>
        <v>40965.433206018519</v>
      </c>
      <c r="C1158">
        <v>80</v>
      </c>
      <c r="D1158">
        <v>68.601531981999997</v>
      </c>
      <c r="E1158">
        <v>50</v>
      </c>
      <c r="F1158">
        <v>49.965789794999999</v>
      </c>
      <c r="G1158">
        <v>1291.4869385</v>
      </c>
      <c r="H1158">
        <v>1274.8327637</v>
      </c>
      <c r="I1158">
        <v>1394.8276367000001</v>
      </c>
      <c r="J1158">
        <v>1375.6002197</v>
      </c>
      <c r="K1158">
        <v>0</v>
      </c>
      <c r="L1158">
        <v>2400</v>
      </c>
      <c r="M1158">
        <v>2400</v>
      </c>
      <c r="N1158">
        <v>0</v>
      </c>
    </row>
    <row r="1159" spans="1:14" x14ac:dyDescent="0.25">
      <c r="A1159">
        <v>669.56898100000001</v>
      </c>
      <c r="B1159" s="1">
        <f>DATE(2012,2,29) + TIME(13,39,19)</f>
        <v>40968.568969907406</v>
      </c>
      <c r="C1159">
        <v>80</v>
      </c>
      <c r="D1159">
        <v>68.331413268999995</v>
      </c>
      <c r="E1159">
        <v>50</v>
      </c>
      <c r="F1159">
        <v>49.965896606000001</v>
      </c>
      <c r="G1159">
        <v>1291.1350098</v>
      </c>
      <c r="H1159">
        <v>1274.3188477000001</v>
      </c>
      <c r="I1159">
        <v>1394.7755127</v>
      </c>
      <c r="J1159">
        <v>1375.5505370999999</v>
      </c>
      <c r="K1159">
        <v>0</v>
      </c>
      <c r="L1159">
        <v>2400</v>
      </c>
      <c r="M1159">
        <v>2400</v>
      </c>
      <c r="N1159">
        <v>0</v>
      </c>
    </row>
    <row r="1160" spans="1:14" x14ac:dyDescent="0.25">
      <c r="A1160">
        <v>670</v>
      </c>
      <c r="B1160" s="1">
        <f>DATE(2012,3,1) + TIME(0,0,0)</f>
        <v>40969</v>
      </c>
      <c r="C1160">
        <v>80</v>
      </c>
      <c r="D1160">
        <v>68.198806762999993</v>
      </c>
      <c r="E1160">
        <v>50</v>
      </c>
      <c r="F1160">
        <v>49.965885161999999</v>
      </c>
      <c r="G1160">
        <v>1290.8425293</v>
      </c>
      <c r="H1160">
        <v>1273.9238281</v>
      </c>
      <c r="I1160">
        <v>1394.7434082</v>
      </c>
      <c r="J1160">
        <v>1375.5205077999999</v>
      </c>
      <c r="K1160">
        <v>0</v>
      </c>
      <c r="L1160">
        <v>2400</v>
      </c>
      <c r="M1160">
        <v>2400</v>
      </c>
      <c r="N1160">
        <v>0</v>
      </c>
    </row>
    <row r="1161" spans="1:14" x14ac:dyDescent="0.25">
      <c r="A1161">
        <v>673.18575699999997</v>
      </c>
      <c r="B1161" s="1">
        <f>DATE(2012,3,4) + TIME(4,27,29)</f>
        <v>40972.185752314814</v>
      </c>
      <c r="C1161">
        <v>80</v>
      </c>
      <c r="D1161">
        <v>67.994400024000001</v>
      </c>
      <c r="E1161">
        <v>50</v>
      </c>
      <c r="F1161">
        <v>49.966018677000001</v>
      </c>
      <c r="G1161">
        <v>1290.7092285000001</v>
      </c>
      <c r="H1161">
        <v>1273.6849365</v>
      </c>
      <c r="I1161">
        <v>1394.7142334</v>
      </c>
      <c r="J1161">
        <v>1375.4918213000001</v>
      </c>
      <c r="K1161">
        <v>0</v>
      </c>
      <c r="L1161">
        <v>2400</v>
      </c>
      <c r="M1161">
        <v>2400</v>
      </c>
      <c r="N1161">
        <v>0</v>
      </c>
    </row>
    <row r="1162" spans="1:14" x14ac:dyDescent="0.25">
      <c r="A1162">
        <v>676.42532700000004</v>
      </c>
      <c r="B1162" s="1">
        <f>DATE(2012,3,7) + TIME(10,12,28)</f>
        <v>40975.425324074073</v>
      </c>
      <c r="C1162">
        <v>80</v>
      </c>
      <c r="D1162">
        <v>67.717544556000007</v>
      </c>
      <c r="E1162">
        <v>50</v>
      </c>
      <c r="F1162">
        <v>49.966121674</v>
      </c>
      <c r="G1162">
        <v>1290.3529053</v>
      </c>
      <c r="H1162">
        <v>1273.1701660000001</v>
      </c>
      <c r="I1162">
        <v>1394.6639404</v>
      </c>
      <c r="J1162">
        <v>1375.4437256000001</v>
      </c>
      <c r="K1162">
        <v>0</v>
      </c>
      <c r="L1162">
        <v>2400</v>
      </c>
      <c r="M1162">
        <v>2400</v>
      </c>
      <c r="N1162">
        <v>0</v>
      </c>
    </row>
    <row r="1163" spans="1:14" x14ac:dyDescent="0.25">
      <c r="A1163">
        <v>679.72301900000002</v>
      </c>
      <c r="B1163" s="1">
        <f>DATE(2012,3,10) + TIME(17,21,8)</f>
        <v>40978.723009259258</v>
      </c>
      <c r="C1163">
        <v>80</v>
      </c>
      <c r="D1163">
        <v>67.416130065999994</v>
      </c>
      <c r="E1163">
        <v>50</v>
      </c>
      <c r="F1163">
        <v>49.966228485000002</v>
      </c>
      <c r="G1163">
        <v>1289.9780272999999</v>
      </c>
      <c r="H1163">
        <v>1272.6207274999999</v>
      </c>
      <c r="I1163">
        <v>1394.6120605000001</v>
      </c>
      <c r="J1163">
        <v>1375.3939209</v>
      </c>
      <c r="K1163">
        <v>0</v>
      </c>
      <c r="L1163">
        <v>2400</v>
      </c>
      <c r="M1163">
        <v>2400</v>
      </c>
      <c r="N1163">
        <v>0</v>
      </c>
    </row>
    <row r="1164" spans="1:14" x14ac:dyDescent="0.25">
      <c r="A1164">
        <v>683.10081200000002</v>
      </c>
      <c r="B1164" s="1">
        <f>DATE(2012,3,14) + TIME(2,25,10)</f>
        <v>40982.100810185184</v>
      </c>
      <c r="C1164">
        <v>80</v>
      </c>
      <c r="D1164">
        <v>67.099670410000002</v>
      </c>
      <c r="E1164">
        <v>50</v>
      </c>
      <c r="F1164">
        <v>49.966339111000003</v>
      </c>
      <c r="G1164">
        <v>1289.5925293</v>
      </c>
      <c r="H1164">
        <v>1272.0528564000001</v>
      </c>
      <c r="I1164">
        <v>1394.5598144999999</v>
      </c>
      <c r="J1164">
        <v>1375.3436279</v>
      </c>
      <c r="K1164">
        <v>0</v>
      </c>
      <c r="L1164">
        <v>2400</v>
      </c>
      <c r="M1164">
        <v>2400</v>
      </c>
      <c r="N1164">
        <v>0</v>
      </c>
    </row>
    <row r="1165" spans="1:14" x14ac:dyDescent="0.25">
      <c r="A1165">
        <v>686.52845100000002</v>
      </c>
      <c r="B1165" s="1">
        <f>DATE(2012,3,17) + TIME(12,40,58)</f>
        <v>40985.528449074074</v>
      </c>
      <c r="C1165">
        <v>80</v>
      </c>
      <c r="D1165">
        <v>66.767898560000006</v>
      </c>
      <c r="E1165">
        <v>50</v>
      </c>
      <c r="F1165">
        <v>49.966449738000001</v>
      </c>
      <c r="G1165">
        <v>1289.1959228999999</v>
      </c>
      <c r="H1165">
        <v>1271.4672852000001</v>
      </c>
      <c r="I1165">
        <v>1394.5070800999999</v>
      </c>
      <c r="J1165">
        <v>1375.2928466999999</v>
      </c>
      <c r="K1165">
        <v>0</v>
      </c>
      <c r="L1165">
        <v>2400</v>
      </c>
      <c r="M1165">
        <v>2400</v>
      </c>
      <c r="N1165">
        <v>0</v>
      </c>
    </row>
    <row r="1166" spans="1:14" x14ac:dyDescent="0.25">
      <c r="A1166">
        <v>690.00459499999999</v>
      </c>
      <c r="B1166" s="1">
        <f>DATE(2012,3,21) + TIME(0,6,36)</f>
        <v>40989.004583333335</v>
      </c>
      <c r="C1166">
        <v>80</v>
      </c>
      <c r="D1166">
        <v>66.422744750999996</v>
      </c>
      <c r="E1166">
        <v>50</v>
      </c>
      <c r="F1166">
        <v>49.966560364000003</v>
      </c>
      <c r="G1166">
        <v>1288.7912598</v>
      </c>
      <c r="H1166">
        <v>1270.8680420000001</v>
      </c>
      <c r="I1166">
        <v>1394.4541016000001</v>
      </c>
      <c r="J1166">
        <v>1375.2416992000001</v>
      </c>
      <c r="K1166">
        <v>0</v>
      </c>
      <c r="L1166">
        <v>2400</v>
      </c>
      <c r="M1166">
        <v>2400</v>
      </c>
      <c r="N1166">
        <v>0</v>
      </c>
    </row>
    <row r="1167" spans="1:14" x14ac:dyDescent="0.25">
      <c r="A1167">
        <v>693.53753800000004</v>
      </c>
      <c r="B1167" s="1">
        <f>DATE(2012,3,24) + TIME(12,54,3)</f>
        <v>40992.537534722222</v>
      </c>
      <c r="C1167">
        <v>80</v>
      </c>
      <c r="D1167">
        <v>66.062484741000006</v>
      </c>
      <c r="E1167">
        <v>50</v>
      </c>
      <c r="F1167">
        <v>49.966674804999997</v>
      </c>
      <c r="G1167">
        <v>1288.3790283000001</v>
      </c>
      <c r="H1167">
        <v>1270.2559814000001</v>
      </c>
      <c r="I1167">
        <v>1394.4011230000001</v>
      </c>
      <c r="J1167">
        <v>1375.1904297000001</v>
      </c>
      <c r="K1167">
        <v>0</v>
      </c>
      <c r="L1167">
        <v>2400</v>
      </c>
      <c r="M1167">
        <v>2400</v>
      </c>
      <c r="N1167">
        <v>0</v>
      </c>
    </row>
    <row r="1168" spans="1:14" x14ac:dyDescent="0.25">
      <c r="A1168">
        <v>697.13079100000004</v>
      </c>
      <c r="B1168" s="1">
        <f>DATE(2012,3,28) + TIME(3,8,20)</f>
        <v>40996.130787037036</v>
      </c>
      <c r="C1168">
        <v>80</v>
      </c>
      <c r="D1168">
        <v>65.686561584000003</v>
      </c>
      <c r="E1168">
        <v>50</v>
      </c>
      <c r="F1168">
        <v>49.966785430999998</v>
      </c>
      <c r="G1168">
        <v>1287.9588623</v>
      </c>
      <c r="H1168">
        <v>1269.6303711</v>
      </c>
      <c r="I1168">
        <v>1394.3477783000001</v>
      </c>
      <c r="J1168">
        <v>1375.1387939000001</v>
      </c>
      <c r="K1168">
        <v>0</v>
      </c>
      <c r="L1168">
        <v>2400</v>
      </c>
      <c r="M1168">
        <v>2400</v>
      </c>
      <c r="N1168">
        <v>0</v>
      </c>
    </row>
    <row r="1169" spans="1:14" x14ac:dyDescent="0.25">
      <c r="A1169">
        <v>700.78787899999998</v>
      </c>
      <c r="B1169" s="1">
        <f>DATE(2012,3,31) + TIME(18,54,32)</f>
        <v>40999.787870370368</v>
      </c>
      <c r="C1169">
        <v>80</v>
      </c>
      <c r="D1169">
        <v>65.293045043999996</v>
      </c>
      <c r="E1169">
        <v>50</v>
      </c>
      <c r="F1169">
        <v>49.966899871999999</v>
      </c>
      <c r="G1169">
        <v>1287.5303954999999</v>
      </c>
      <c r="H1169">
        <v>1268.9907227000001</v>
      </c>
      <c r="I1169">
        <v>1394.2940673999999</v>
      </c>
      <c r="J1169">
        <v>1375.0866699000001</v>
      </c>
      <c r="K1169">
        <v>0</v>
      </c>
      <c r="L1169">
        <v>2400</v>
      </c>
      <c r="M1169">
        <v>2400</v>
      </c>
      <c r="N1169">
        <v>0</v>
      </c>
    </row>
    <row r="1170" spans="1:14" x14ac:dyDescent="0.25">
      <c r="A1170">
        <v>701</v>
      </c>
      <c r="B1170" s="1">
        <f>DATE(2012,4,1) + TIME(0,0,0)</f>
        <v>41000</v>
      </c>
      <c r="C1170">
        <v>80</v>
      </c>
      <c r="D1170">
        <v>65.172615050999994</v>
      </c>
      <c r="E1170">
        <v>50</v>
      </c>
      <c r="F1170">
        <v>49.966888427999997</v>
      </c>
      <c r="G1170">
        <v>1287.2004394999999</v>
      </c>
      <c r="H1170">
        <v>1268.5651855000001</v>
      </c>
      <c r="I1170">
        <v>1394.2750243999999</v>
      </c>
      <c r="J1170">
        <v>1375.0688477000001</v>
      </c>
      <c r="K1170">
        <v>0</v>
      </c>
      <c r="L1170">
        <v>2400</v>
      </c>
      <c r="M1170">
        <v>2400</v>
      </c>
      <c r="N1170">
        <v>0</v>
      </c>
    </row>
    <row r="1171" spans="1:14" x14ac:dyDescent="0.25">
      <c r="A1171">
        <v>704.70618000000002</v>
      </c>
      <c r="B1171" s="1">
        <f>DATE(2012,4,4) + TIME(16,56,53)</f>
        <v>41003.70616898148</v>
      </c>
      <c r="C1171">
        <v>80</v>
      </c>
      <c r="D1171">
        <v>64.842453003000003</v>
      </c>
      <c r="E1171">
        <v>50</v>
      </c>
      <c r="F1171">
        <v>49.967021942000002</v>
      </c>
      <c r="G1171">
        <v>1287.0570068</v>
      </c>
      <c r="H1171">
        <v>1268.2727050999999</v>
      </c>
      <c r="I1171">
        <v>1394.2352295000001</v>
      </c>
      <c r="J1171">
        <v>1375.0295410000001</v>
      </c>
      <c r="K1171">
        <v>0</v>
      </c>
      <c r="L1171">
        <v>2400</v>
      </c>
      <c r="M1171">
        <v>2400</v>
      </c>
      <c r="N1171">
        <v>0</v>
      </c>
    </row>
    <row r="1172" spans="1:14" x14ac:dyDescent="0.25">
      <c r="A1172">
        <v>708.46454900000003</v>
      </c>
      <c r="B1172" s="1">
        <f>DATE(2012,4,8) + TIME(11,8,57)</f>
        <v>41007.464548611111</v>
      </c>
      <c r="C1172">
        <v>80</v>
      </c>
      <c r="D1172">
        <v>64.426971436000002</v>
      </c>
      <c r="E1172">
        <v>50</v>
      </c>
      <c r="F1172">
        <v>49.967136383000003</v>
      </c>
      <c r="G1172">
        <v>1286.6239014</v>
      </c>
      <c r="H1172">
        <v>1267.6291504000001</v>
      </c>
      <c r="I1172">
        <v>1394.1821289</v>
      </c>
      <c r="J1172">
        <v>1374.9779053</v>
      </c>
      <c r="K1172">
        <v>0</v>
      </c>
      <c r="L1172">
        <v>2400</v>
      </c>
      <c r="M1172">
        <v>2400</v>
      </c>
      <c r="N1172">
        <v>0</v>
      </c>
    </row>
    <row r="1173" spans="1:14" x14ac:dyDescent="0.25">
      <c r="A1173">
        <v>712.30014500000004</v>
      </c>
      <c r="B1173" s="1">
        <f>DATE(2012,4,12) + TIME(7,12,12)</f>
        <v>41011.300138888888</v>
      </c>
      <c r="C1173">
        <v>80</v>
      </c>
      <c r="D1173">
        <v>63.980701447000001</v>
      </c>
      <c r="E1173">
        <v>50</v>
      </c>
      <c r="F1173">
        <v>49.967254638999997</v>
      </c>
      <c r="G1173">
        <v>1286.1766356999999</v>
      </c>
      <c r="H1173">
        <v>1266.9560547000001</v>
      </c>
      <c r="I1173">
        <v>1394.1274414</v>
      </c>
      <c r="J1173">
        <v>1374.9246826000001</v>
      </c>
      <c r="K1173">
        <v>0</v>
      </c>
      <c r="L1173">
        <v>2400</v>
      </c>
      <c r="M1173">
        <v>2400</v>
      </c>
      <c r="N1173">
        <v>0</v>
      </c>
    </row>
    <row r="1174" spans="1:14" x14ac:dyDescent="0.25">
      <c r="A1174">
        <v>716.18002999999999</v>
      </c>
      <c r="B1174" s="1">
        <f>DATE(2012,4,16) + TIME(4,19,14)</f>
        <v>41015.180023148147</v>
      </c>
      <c r="C1174">
        <v>80</v>
      </c>
      <c r="D1174">
        <v>63.513725280999999</v>
      </c>
      <c r="E1174">
        <v>50</v>
      </c>
      <c r="F1174">
        <v>49.967369079999997</v>
      </c>
      <c r="G1174">
        <v>1285.7207031</v>
      </c>
      <c r="H1174">
        <v>1266.2668457</v>
      </c>
      <c r="I1174">
        <v>1394.0720214999999</v>
      </c>
      <c r="J1174">
        <v>1374.8706055</v>
      </c>
      <c r="K1174">
        <v>0</v>
      </c>
      <c r="L1174">
        <v>2400</v>
      </c>
      <c r="M1174">
        <v>2400</v>
      </c>
      <c r="N1174">
        <v>0</v>
      </c>
    </row>
    <row r="1175" spans="1:14" x14ac:dyDescent="0.25">
      <c r="A1175">
        <v>720.10832300000004</v>
      </c>
      <c r="B1175" s="1">
        <f>DATE(2012,4,20) + TIME(2,35,59)</f>
        <v>41019.10832175926</v>
      </c>
      <c r="C1175">
        <v>80</v>
      </c>
      <c r="D1175">
        <v>63.028018951</v>
      </c>
      <c r="E1175">
        <v>50</v>
      </c>
      <c r="F1175">
        <v>49.967487335000001</v>
      </c>
      <c r="G1175">
        <v>1285.2606201000001</v>
      </c>
      <c r="H1175">
        <v>1265.5684814000001</v>
      </c>
      <c r="I1175">
        <v>1394.0162353999999</v>
      </c>
      <c r="J1175">
        <v>1374.8160399999999</v>
      </c>
      <c r="K1175">
        <v>0</v>
      </c>
      <c r="L1175">
        <v>2400</v>
      </c>
      <c r="M1175">
        <v>2400</v>
      </c>
      <c r="N1175">
        <v>0</v>
      </c>
    </row>
    <row r="1176" spans="1:14" x14ac:dyDescent="0.25">
      <c r="A1176">
        <v>724.10252200000002</v>
      </c>
      <c r="B1176" s="1">
        <f>DATE(2012,4,24) + TIME(2,27,37)</f>
        <v>41023.102511574078</v>
      </c>
      <c r="C1176">
        <v>80</v>
      </c>
      <c r="D1176">
        <v>62.525863647000001</v>
      </c>
      <c r="E1176">
        <v>50</v>
      </c>
      <c r="F1176">
        <v>49.967605591000002</v>
      </c>
      <c r="G1176">
        <v>1284.7972411999999</v>
      </c>
      <c r="H1176">
        <v>1264.8624268000001</v>
      </c>
      <c r="I1176">
        <v>1393.9599608999999</v>
      </c>
      <c r="J1176">
        <v>1374.7609863</v>
      </c>
      <c r="K1176">
        <v>0</v>
      </c>
      <c r="L1176">
        <v>2400</v>
      </c>
      <c r="M1176">
        <v>2400</v>
      </c>
      <c r="N1176">
        <v>0</v>
      </c>
    </row>
    <row r="1177" spans="1:14" x14ac:dyDescent="0.25">
      <c r="A1177">
        <v>728.15737899999999</v>
      </c>
      <c r="B1177" s="1">
        <f>DATE(2012,4,28) + TIME(3,46,37)</f>
        <v>41027.157372685186</v>
      </c>
      <c r="C1177">
        <v>80</v>
      </c>
      <c r="D1177">
        <v>62.003707886000001</v>
      </c>
      <c r="E1177">
        <v>50</v>
      </c>
      <c r="F1177">
        <v>49.967723845999998</v>
      </c>
      <c r="G1177">
        <v>1284.3297118999999</v>
      </c>
      <c r="H1177">
        <v>1264.1474608999999</v>
      </c>
      <c r="I1177">
        <v>1393.902832</v>
      </c>
      <c r="J1177">
        <v>1374.7050781</v>
      </c>
      <c r="K1177">
        <v>0</v>
      </c>
      <c r="L1177">
        <v>2400</v>
      </c>
      <c r="M1177">
        <v>2400</v>
      </c>
      <c r="N1177">
        <v>0</v>
      </c>
    </row>
    <row r="1178" spans="1:14" x14ac:dyDescent="0.25">
      <c r="A1178">
        <v>731</v>
      </c>
      <c r="B1178" s="1">
        <f>DATE(2012,5,1) + TIME(0,0,0)</f>
        <v>41030</v>
      </c>
      <c r="C1178">
        <v>80</v>
      </c>
      <c r="D1178">
        <v>61.495193481000001</v>
      </c>
      <c r="E1178">
        <v>50</v>
      </c>
      <c r="F1178">
        <v>49.967800140000001</v>
      </c>
      <c r="G1178">
        <v>1283.8681641000001</v>
      </c>
      <c r="H1178">
        <v>1263.4482422000001</v>
      </c>
      <c r="I1178">
        <v>1393.8494873</v>
      </c>
      <c r="J1178">
        <v>1374.652832</v>
      </c>
      <c r="K1178">
        <v>0</v>
      </c>
      <c r="L1178">
        <v>2400</v>
      </c>
      <c r="M1178">
        <v>2400</v>
      </c>
      <c r="N1178">
        <v>0</v>
      </c>
    </row>
    <row r="1179" spans="1:14" x14ac:dyDescent="0.25">
      <c r="A1179">
        <v>731.000001</v>
      </c>
      <c r="B1179" s="1">
        <f>DATE(2012,5,1) + TIME(0,0,0)</f>
        <v>41030</v>
      </c>
      <c r="C1179">
        <v>80</v>
      </c>
      <c r="D1179">
        <v>61.495250702</v>
      </c>
      <c r="E1179">
        <v>50</v>
      </c>
      <c r="F1179">
        <v>49.967784881999997</v>
      </c>
      <c r="G1179">
        <v>1304.3625488</v>
      </c>
      <c r="H1179">
        <v>1283.8807373</v>
      </c>
      <c r="I1179">
        <v>1374.6430664</v>
      </c>
      <c r="J1179">
        <v>1355.4981689000001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731.00000399999999</v>
      </c>
      <c r="B1180" s="1">
        <f>DATE(2012,5,1) + TIME(0,0,0)</f>
        <v>41030</v>
      </c>
      <c r="C1180">
        <v>80</v>
      </c>
      <c r="D1180">
        <v>61.495422363000003</v>
      </c>
      <c r="E1180">
        <v>50</v>
      </c>
      <c r="F1180">
        <v>49.967739105</v>
      </c>
      <c r="G1180">
        <v>1304.3937988</v>
      </c>
      <c r="H1180">
        <v>1283.9183350000001</v>
      </c>
      <c r="I1180">
        <v>1374.6136475000001</v>
      </c>
      <c r="J1180">
        <v>1355.46875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731.00001299999997</v>
      </c>
      <c r="B1181" s="1">
        <f>DATE(2012,5,1) + TIME(0,0,1)</f>
        <v>41030.000011574077</v>
      </c>
      <c r="C1181">
        <v>80</v>
      </c>
      <c r="D1181">
        <v>61.495933532999999</v>
      </c>
      <c r="E1181">
        <v>50</v>
      </c>
      <c r="F1181">
        <v>49.967597961000003</v>
      </c>
      <c r="G1181">
        <v>1304.4869385</v>
      </c>
      <c r="H1181">
        <v>1284.0306396000001</v>
      </c>
      <c r="I1181">
        <v>1374.5256348</v>
      </c>
      <c r="J1181">
        <v>1355.3807373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731.00004000000001</v>
      </c>
      <c r="B1182" s="1">
        <f>DATE(2012,5,1) + TIME(0,0,3)</f>
        <v>41030.000034722223</v>
      </c>
      <c r="C1182">
        <v>80</v>
      </c>
      <c r="D1182">
        <v>61.497447968000003</v>
      </c>
      <c r="E1182">
        <v>50</v>
      </c>
      <c r="F1182">
        <v>49.967185974000003</v>
      </c>
      <c r="G1182">
        <v>1304.7625731999999</v>
      </c>
      <c r="H1182">
        <v>1284.3621826000001</v>
      </c>
      <c r="I1182">
        <v>1374.2652588000001</v>
      </c>
      <c r="J1182">
        <v>1355.1199951000001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731.00012100000004</v>
      </c>
      <c r="B1183" s="1">
        <f>DATE(2012,5,1) + TIME(0,0,10)</f>
        <v>41030.000115740739</v>
      </c>
      <c r="C1183">
        <v>80</v>
      </c>
      <c r="D1183">
        <v>61.501884459999999</v>
      </c>
      <c r="E1183">
        <v>50</v>
      </c>
      <c r="F1183">
        <v>49.965991973999998</v>
      </c>
      <c r="G1183">
        <v>1305.5578613</v>
      </c>
      <c r="H1183">
        <v>1285.3121338000001</v>
      </c>
      <c r="I1183">
        <v>1373.512207</v>
      </c>
      <c r="J1183">
        <v>1354.3663329999999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731.00036399999999</v>
      </c>
      <c r="B1184" s="1">
        <f>DATE(2012,5,1) + TIME(0,0,31)</f>
        <v>41030.000358796293</v>
      </c>
      <c r="C1184">
        <v>80</v>
      </c>
      <c r="D1184">
        <v>61.514350890999999</v>
      </c>
      <c r="E1184">
        <v>50</v>
      </c>
      <c r="F1184">
        <v>49.962757111000002</v>
      </c>
      <c r="G1184">
        <v>1307.6988524999999</v>
      </c>
      <c r="H1184">
        <v>1287.8205565999999</v>
      </c>
      <c r="I1184">
        <v>1371.4747314000001</v>
      </c>
      <c r="J1184">
        <v>1352.3271483999999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731.00109299999997</v>
      </c>
      <c r="B1185" s="1">
        <f>DATE(2012,5,1) + TIME(0,1,34)</f>
        <v>41030.001087962963</v>
      </c>
      <c r="C1185">
        <v>80</v>
      </c>
      <c r="D1185">
        <v>61.546897887999997</v>
      </c>
      <c r="E1185">
        <v>50</v>
      </c>
      <c r="F1185">
        <v>49.955276488999999</v>
      </c>
      <c r="G1185">
        <v>1312.6191406</v>
      </c>
      <c r="H1185">
        <v>1293.3250731999999</v>
      </c>
      <c r="I1185">
        <v>1366.7635498</v>
      </c>
      <c r="J1185">
        <v>1347.6129149999999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731.00328000000002</v>
      </c>
      <c r="B1186" s="1">
        <f>DATE(2012,5,1) + TIME(0,4,43)</f>
        <v>41030.003275462965</v>
      </c>
      <c r="C1186">
        <v>80</v>
      </c>
      <c r="D1186">
        <v>61.627014160000002</v>
      </c>
      <c r="E1186">
        <v>50</v>
      </c>
      <c r="F1186">
        <v>49.942119597999998</v>
      </c>
      <c r="G1186">
        <v>1321.2199707</v>
      </c>
      <c r="H1186">
        <v>1302.2900391000001</v>
      </c>
      <c r="I1186">
        <v>1358.5300293</v>
      </c>
      <c r="J1186">
        <v>1339.3759766000001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731.00984100000005</v>
      </c>
      <c r="B1187" s="1">
        <f>DATE(2012,5,1) + TIME(0,14,10)</f>
        <v>41030.009837962964</v>
      </c>
      <c r="C1187">
        <v>80</v>
      </c>
      <c r="D1187">
        <v>61.831348419000001</v>
      </c>
      <c r="E1187">
        <v>50</v>
      </c>
      <c r="F1187">
        <v>49.924995422000002</v>
      </c>
      <c r="G1187">
        <v>1332.2111815999999</v>
      </c>
      <c r="H1187">
        <v>1313.1568603999999</v>
      </c>
      <c r="I1187">
        <v>1348.0786132999999</v>
      </c>
      <c r="J1187">
        <v>1328.9228516000001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731.02952400000004</v>
      </c>
      <c r="B1188" s="1">
        <f>DATE(2012,5,1) + TIME(0,42,30)</f>
        <v>41030.029513888891</v>
      </c>
      <c r="C1188">
        <v>80</v>
      </c>
      <c r="D1188">
        <v>62.390007019000002</v>
      </c>
      <c r="E1188">
        <v>50</v>
      </c>
      <c r="F1188">
        <v>49.905815124999997</v>
      </c>
      <c r="G1188">
        <v>1343.6625977000001</v>
      </c>
      <c r="H1188">
        <v>1324.3907471</v>
      </c>
      <c r="I1188">
        <v>1337.1409911999999</v>
      </c>
      <c r="J1188">
        <v>1317.9833983999999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731.05201799999998</v>
      </c>
      <c r="B1189" s="1">
        <f>DATE(2012,5,1) + TIME(1,14,54)</f>
        <v>41030.05201388889</v>
      </c>
      <c r="C1189">
        <v>80</v>
      </c>
      <c r="D1189">
        <v>62.998851776000002</v>
      </c>
      <c r="E1189">
        <v>50</v>
      </c>
      <c r="F1189">
        <v>49.893611907999997</v>
      </c>
      <c r="G1189">
        <v>1350.1375731999999</v>
      </c>
      <c r="H1189">
        <v>1330.8107910000001</v>
      </c>
      <c r="I1189">
        <v>1330.8831786999999</v>
      </c>
      <c r="J1189">
        <v>1311.7238769999999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731.07544199999995</v>
      </c>
      <c r="B1190" s="1">
        <f>DATE(2012,5,1) + TIME(1,48,38)</f>
        <v>41030.075439814813</v>
      </c>
      <c r="C1190">
        <v>80</v>
      </c>
      <c r="D1190">
        <v>63.608814240000001</v>
      </c>
      <c r="E1190">
        <v>50</v>
      </c>
      <c r="F1190">
        <v>49.884620667</v>
      </c>
      <c r="G1190">
        <v>1354.3343506000001</v>
      </c>
      <c r="H1190">
        <v>1335.0413818</v>
      </c>
      <c r="I1190">
        <v>1326.7695312000001</v>
      </c>
      <c r="J1190">
        <v>1307.6082764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731.09959400000002</v>
      </c>
      <c r="B1191" s="1">
        <f>DATE(2012,5,1) + TIME(2,23,24)</f>
        <v>41030.099583333336</v>
      </c>
      <c r="C1191">
        <v>80</v>
      </c>
      <c r="D1191">
        <v>64.214530945000007</v>
      </c>
      <c r="E1191">
        <v>50</v>
      </c>
      <c r="F1191">
        <v>49.877208709999998</v>
      </c>
      <c r="G1191">
        <v>1357.3929443</v>
      </c>
      <c r="H1191">
        <v>1338.1815185999999</v>
      </c>
      <c r="I1191">
        <v>1323.7293701000001</v>
      </c>
      <c r="J1191">
        <v>1304.5662841999999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731.12439300000005</v>
      </c>
      <c r="B1192" s="1">
        <f>DATE(2012,5,1) + TIME(2,59,7)</f>
        <v>41030.124386574076</v>
      </c>
      <c r="C1192">
        <v>80</v>
      </c>
      <c r="D1192">
        <v>64.813049316000004</v>
      </c>
      <c r="E1192">
        <v>50</v>
      </c>
      <c r="F1192">
        <v>49.870700835999997</v>
      </c>
      <c r="G1192">
        <v>1359.7874756000001</v>
      </c>
      <c r="H1192">
        <v>1340.6844481999999</v>
      </c>
      <c r="I1192">
        <v>1321.3168945</v>
      </c>
      <c r="J1192">
        <v>1302.1517334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731.14980000000003</v>
      </c>
      <c r="B1193" s="1">
        <f>DATE(2012,5,1) + TIME(3,35,42)</f>
        <v>41030.149791666663</v>
      </c>
      <c r="C1193">
        <v>80</v>
      </c>
      <c r="D1193">
        <v>65.402648925999998</v>
      </c>
      <c r="E1193">
        <v>50</v>
      </c>
      <c r="F1193">
        <v>49.864761352999999</v>
      </c>
      <c r="G1193">
        <v>1361.7523193</v>
      </c>
      <c r="H1193">
        <v>1342.7731934000001</v>
      </c>
      <c r="I1193">
        <v>1319.3104248</v>
      </c>
      <c r="J1193">
        <v>1300.1433105000001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731.17579999999998</v>
      </c>
      <c r="B1194" s="1">
        <f>DATE(2012,5,1) + TIME(4,13,9)</f>
        <v>41030.175798611112</v>
      </c>
      <c r="C1194">
        <v>80</v>
      </c>
      <c r="D1194">
        <v>65.982131957999997</v>
      </c>
      <c r="E1194">
        <v>50</v>
      </c>
      <c r="F1194">
        <v>49.859199523999997</v>
      </c>
      <c r="G1194">
        <v>1363.4182129000001</v>
      </c>
      <c r="H1194">
        <v>1344.5716553</v>
      </c>
      <c r="I1194">
        <v>1317.5858154</v>
      </c>
      <c r="J1194">
        <v>1298.4167480000001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731.20239200000003</v>
      </c>
      <c r="B1195" s="1">
        <f>DATE(2012,5,1) + TIME(4,51,26)</f>
        <v>41030.202384259261</v>
      </c>
      <c r="C1195">
        <v>80</v>
      </c>
      <c r="D1195">
        <v>66.550651549999998</v>
      </c>
      <c r="E1195">
        <v>50</v>
      </c>
      <c r="F1195">
        <v>49.853897095000001</v>
      </c>
      <c r="G1195">
        <v>1364.8648682</v>
      </c>
      <c r="H1195">
        <v>1346.1550293</v>
      </c>
      <c r="I1195">
        <v>1316.0672606999999</v>
      </c>
      <c r="J1195">
        <v>1296.8963623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731.229555</v>
      </c>
      <c r="B1196" s="1">
        <f>DATE(2012,5,1) + TIME(5,30,33)</f>
        <v>41030.229548611111</v>
      </c>
      <c r="C1196">
        <v>80</v>
      </c>
      <c r="D1196">
        <v>67.107185364000003</v>
      </c>
      <c r="E1196">
        <v>50</v>
      </c>
      <c r="F1196">
        <v>49.848789214999996</v>
      </c>
      <c r="G1196">
        <v>1366.1431885</v>
      </c>
      <c r="H1196">
        <v>1347.5714111</v>
      </c>
      <c r="I1196">
        <v>1314.7067870999999</v>
      </c>
      <c r="J1196">
        <v>1295.5341797000001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731.25725799999998</v>
      </c>
      <c r="B1197" s="1">
        <f>DATE(2012,5,1) + TIME(6,10,27)</f>
        <v>41030.257256944446</v>
      </c>
      <c r="C1197">
        <v>80</v>
      </c>
      <c r="D1197">
        <v>67.650642395000006</v>
      </c>
      <c r="E1197">
        <v>50</v>
      </c>
      <c r="F1197">
        <v>49.843826294000003</v>
      </c>
      <c r="G1197">
        <v>1367.2875977000001</v>
      </c>
      <c r="H1197">
        <v>1348.8531493999999</v>
      </c>
      <c r="I1197">
        <v>1313.472168</v>
      </c>
      <c r="J1197">
        <v>1294.2978516000001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731.28551500000003</v>
      </c>
      <c r="B1198" s="1">
        <f>DATE(2012,5,1) + TIME(6,51,8)</f>
        <v>41030.285509259258</v>
      </c>
      <c r="C1198">
        <v>80</v>
      </c>
      <c r="D1198">
        <v>68.180900574000006</v>
      </c>
      <c r="E1198">
        <v>50</v>
      </c>
      <c r="F1198">
        <v>49.838970183999997</v>
      </c>
      <c r="G1198">
        <v>1368.3238524999999</v>
      </c>
      <c r="H1198">
        <v>1350.0249022999999</v>
      </c>
      <c r="I1198">
        <v>1312.3391113</v>
      </c>
      <c r="J1198">
        <v>1293.1633300999999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731.31434400000001</v>
      </c>
      <c r="B1199" s="1">
        <f>DATE(2012,5,1) + TIME(7,32,39)</f>
        <v>41030.314340277779</v>
      </c>
      <c r="C1199">
        <v>80</v>
      </c>
      <c r="D1199">
        <v>68.697929381999998</v>
      </c>
      <c r="E1199">
        <v>50</v>
      </c>
      <c r="F1199">
        <v>49.834194183000001</v>
      </c>
      <c r="G1199">
        <v>1369.2711182</v>
      </c>
      <c r="H1199">
        <v>1351.1051024999999</v>
      </c>
      <c r="I1199">
        <v>1311.2896728999999</v>
      </c>
      <c r="J1199">
        <v>1292.1126709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731.34376599999996</v>
      </c>
      <c r="B1200" s="1">
        <f>DATE(2012,5,1) + TIME(8,15,1)</f>
        <v>41030.343761574077</v>
      </c>
      <c r="C1200">
        <v>80</v>
      </c>
      <c r="D1200">
        <v>69.201759338000002</v>
      </c>
      <c r="E1200">
        <v>50</v>
      </c>
      <c r="F1200">
        <v>49.829475403000004</v>
      </c>
      <c r="G1200">
        <v>1370.1437988</v>
      </c>
      <c r="H1200">
        <v>1352.1077881000001</v>
      </c>
      <c r="I1200">
        <v>1310.3107910000001</v>
      </c>
      <c r="J1200">
        <v>1291.1325684000001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731.37380599999995</v>
      </c>
      <c r="B1201" s="1">
        <f>DATE(2012,5,1) + TIME(8,58,16)</f>
        <v>41030.373796296299</v>
      </c>
      <c r="C1201">
        <v>80</v>
      </c>
      <c r="D1201">
        <v>69.692466736</v>
      </c>
      <c r="E1201">
        <v>50</v>
      </c>
      <c r="F1201">
        <v>49.824790954999997</v>
      </c>
      <c r="G1201">
        <v>1370.953125</v>
      </c>
      <c r="H1201">
        <v>1353.0437012</v>
      </c>
      <c r="I1201">
        <v>1309.3919678</v>
      </c>
      <c r="J1201">
        <v>1290.2126464999999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731.40449000000001</v>
      </c>
      <c r="B1202" s="1">
        <f>DATE(2012,5,1) + TIME(9,42,27)</f>
        <v>41030.404479166667</v>
      </c>
      <c r="C1202">
        <v>80</v>
      </c>
      <c r="D1202">
        <v>70.169990540000001</v>
      </c>
      <c r="E1202">
        <v>50</v>
      </c>
      <c r="F1202">
        <v>49.820133208999998</v>
      </c>
      <c r="G1202">
        <v>1371.7077637</v>
      </c>
      <c r="H1202">
        <v>1353.9215088000001</v>
      </c>
      <c r="I1202">
        <v>1308.5253906</v>
      </c>
      <c r="J1202">
        <v>1289.3449707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731.43584599999997</v>
      </c>
      <c r="B1203" s="1">
        <f>DATE(2012,5,1) + TIME(10,27,37)</f>
        <v>41030.435844907406</v>
      </c>
      <c r="C1203">
        <v>80</v>
      </c>
      <c r="D1203">
        <v>70.634330750000004</v>
      </c>
      <c r="E1203">
        <v>50</v>
      </c>
      <c r="F1203">
        <v>49.815486907999997</v>
      </c>
      <c r="G1203">
        <v>1372.4147949000001</v>
      </c>
      <c r="H1203">
        <v>1354.7481689000001</v>
      </c>
      <c r="I1203">
        <v>1307.7044678</v>
      </c>
      <c r="J1203">
        <v>1288.5230713000001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731.46790299999998</v>
      </c>
      <c r="B1204" s="1">
        <f>DATE(2012,5,1) + TIME(11,13,46)</f>
        <v>41030.467893518522</v>
      </c>
      <c r="C1204">
        <v>80</v>
      </c>
      <c r="D1204">
        <v>71.085754394999995</v>
      </c>
      <c r="E1204">
        <v>50</v>
      </c>
      <c r="F1204">
        <v>49.810844420999999</v>
      </c>
      <c r="G1204">
        <v>1373.0799560999999</v>
      </c>
      <c r="H1204">
        <v>1355.5295410000001</v>
      </c>
      <c r="I1204">
        <v>1306.9240723</v>
      </c>
      <c r="J1204">
        <v>1287.7418213000001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731.50064299999997</v>
      </c>
      <c r="B1205" s="1">
        <f>DATE(2012,5,1) + TIME(12,0,55)</f>
        <v>41030.500636574077</v>
      </c>
      <c r="C1205">
        <v>80</v>
      </c>
      <c r="D1205">
        <v>71.523750304999993</v>
      </c>
      <c r="E1205">
        <v>50</v>
      </c>
      <c r="F1205">
        <v>49.806198119999998</v>
      </c>
      <c r="G1205">
        <v>1373.7072754000001</v>
      </c>
      <c r="H1205">
        <v>1356.2694091999999</v>
      </c>
      <c r="I1205">
        <v>1306.1807861</v>
      </c>
      <c r="J1205">
        <v>1286.9976807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731.53410099999996</v>
      </c>
      <c r="B1206" s="1">
        <f>DATE(2012,5,1) + TIME(12,49,6)</f>
        <v>41030.534097222226</v>
      </c>
      <c r="C1206">
        <v>80</v>
      </c>
      <c r="D1206">
        <v>71.948493958</v>
      </c>
      <c r="E1206">
        <v>50</v>
      </c>
      <c r="F1206">
        <v>49.801540375000002</v>
      </c>
      <c r="G1206">
        <v>1374.3007812000001</v>
      </c>
      <c r="H1206">
        <v>1356.9720459</v>
      </c>
      <c r="I1206">
        <v>1305.4709473</v>
      </c>
      <c r="J1206">
        <v>1286.2871094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731.56831799999998</v>
      </c>
      <c r="B1207" s="1">
        <f>DATE(2012,5,1) + TIME(13,38,22)</f>
        <v>41030.568310185183</v>
      </c>
      <c r="C1207">
        <v>80</v>
      </c>
      <c r="D1207">
        <v>72.360229492000002</v>
      </c>
      <c r="E1207">
        <v>50</v>
      </c>
      <c r="F1207">
        <v>49.796867370999998</v>
      </c>
      <c r="G1207">
        <v>1374.8642577999999</v>
      </c>
      <c r="H1207">
        <v>1357.6409911999999</v>
      </c>
      <c r="I1207">
        <v>1304.7911377</v>
      </c>
      <c r="J1207">
        <v>1285.6064452999999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731.60333500000002</v>
      </c>
      <c r="B1208" s="1">
        <f>DATE(2012,5,1) + TIME(14,28,48)</f>
        <v>41030.603333333333</v>
      </c>
      <c r="C1208">
        <v>80</v>
      </c>
      <c r="D1208">
        <v>72.759155273000005</v>
      </c>
      <c r="E1208">
        <v>50</v>
      </c>
      <c r="F1208">
        <v>49.792163848999998</v>
      </c>
      <c r="G1208">
        <v>1375.4007568</v>
      </c>
      <c r="H1208">
        <v>1358.2796631000001</v>
      </c>
      <c r="I1208">
        <v>1304.1384277</v>
      </c>
      <c r="J1208">
        <v>1284.953125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731.63919499999997</v>
      </c>
      <c r="B1209" s="1">
        <f>DATE(2012,5,1) + TIME(15,20,26)</f>
        <v>41030.639189814814</v>
      </c>
      <c r="C1209">
        <v>80</v>
      </c>
      <c r="D1209">
        <v>73.145439147999994</v>
      </c>
      <c r="E1209">
        <v>50</v>
      </c>
      <c r="F1209">
        <v>49.787425995</v>
      </c>
      <c r="G1209">
        <v>1375.9127197</v>
      </c>
      <c r="H1209">
        <v>1358.8905029</v>
      </c>
      <c r="I1209">
        <v>1303.5104980000001</v>
      </c>
      <c r="J1209">
        <v>1284.3244629000001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731.67594599999995</v>
      </c>
      <c r="B1210" s="1">
        <f>DATE(2012,5,1) + TIME(16,13,21)</f>
        <v>41030.675937499997</v>
      </c>
      <c r="C1210">
        <v>80</v>
      </c>
      <c r="D1210">
        <v>73.519279479999994</v>
      </c>
      <c r="E1210">
        <v>50</v>
      </c>
      <c r="F1210">
        <v>49.782649994000003</v>
      </c>
      <c r="G1210">
        <v>1376.4025879000001</v>
      </c>
      <c r="H1210">
        <v>1359.4761963000001</v>
      </c>
      <c r="I1210">
        <v>1302.9053954999999</v>
      </c>
      <c r="J1210">
        <v>1283.7186279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731.71363899999994</v>
      </c>
      <c r="B1211" s="1">
        <f>DATE(2012,5,1) + TIME(17,7,38)</f>
        <v>41030.713634259257</v>
      </c>
      <c r="C1211">
        <v>80</v>
      </c>
      <c r="D1211">
        <v>73.880859375</v>
      </c>
      <c r="E1211">
        <v>50</v>
      </c>
      <c r="F1211">
        <v>49.777820587000001</v>
      </c>
      <c r="G1211">
        <v>1376.8723144999999</v>
      </c>
      <c r="H1211">
        <v>1360.0386963000001</v>
      </c>
      <c r="I1211">
        <v>1302.3209228999999</v>
      </c>
      <c r="J1211">
        <v>1283.1335449000001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731.75233100000003</v>
      </c>
      <c r="B1212" s="1">
        <f>DATE(2012,5,1) + TIME(18,3,21)</f>
        <v>41030.752326388887</v>
      </c>
      <c r="C1212">
        <v>80</v>
      </c>
      <c r="D1212">
        <v>74.230346679999997</v>
      </c>
      <c r="E1212">
        <v>50</v>
      </c>
      <c r="F1212">
        <v>49.772937775000003</v>
      </c>
      <c r="G1212">
        <v>1377.3236084</v>
      </c>
      <c r="H1212">
        <v>1360.5799560999999</v>
      </c>
      <c r="I1212">
        <v>1301.7556152</v>
      </c>
      <c r="J1212">
        <v>1282.567749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731.79208300000005</v>
      </c>
      <c r="B1213" s="1">
        <f>DATE(2012,5,1) + TIME(19,0,35)</f>
        <v>41030.792071759257</v>
      </c>
      <c r="C1213">
        <v>80</v>
      </c>
      <c r="D1213">
        <v>74.567924500000004</v>
      </c>
      <c r="E1213">
        <v>50</v>
      </c>
      <c r="F1213">
        <v>49.767986297999997</v>
      </c>
      <c r="G1213">
        <v>1377.7581786999999</v>
      </c>
      <c r="H1213">
        <v>1361.1016846</v>
      </c>
      <c r="I1213">
        <v>1301.2080077999999</v>
      </c>
      <c r="J1213">
        <v>1282.0195312000001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731.83296099999995</v>
      </c>
      <c r="B1214" s="1">
        <f>DATE(2012,5,1) + TIME(19,59,27)</f>
        <v>41030.832951388889</v>
      </c>
      <c r="C1214">
        <v>80</v>
      </c>
      <c r="D1214">
        <v>74.893753051999994</v>
      </c>
      <c r="E1214">
        <v>50</v>
      </c>
      <c r="F1214">
        <v>49.762966155999997</v>
      </c>
      <c r="G1214">
        <v>1378.1772461</v>
      </c>
      <c r="H1214">
        <v>1361.6052245999999</v>
      </c>
      <c r="I1214">
        <v>1300.6767577999999</v>
      </c>
      <c r="J1214">
        <v>1281.4876709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731.875044</v>
      </c>
      <c r="B1215" s="1">
        <f>DATE(2012,5,1) + TIME(21,0,3)</f>
        <v>41030.875034722223</v>
      </c>
      <c r="C1215">
        <v>80</v>
      </c>
      <c r="D1215">
        <v>75.207901000999996</v>
      </c>
      <c r="E1215">
        <v>50</v>
      </c>
      <c r="F1215">
        <v>49.757862091</v>
      </c>
      <c r="G1215">
        <v>1378.5822754000001</v>
      </c>
      <c r="H1215">
        <v>1362.0921631000001</v>
      </c>
      <c r="I1215">
        <v>1300.1605225000001</v>
      </c>
      <c r="J1215">
        <v>1280.9708252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731.91842499999996</v>
      </c>
      <c r="B1216" s="1">
        <f>DATE(2012,5,1) + TIME(22,2,31)</f>
        <v>41030.918414351851</v>
      </c>
      <c r="C1216">
        <v>80</v>
      </c>
      <c r="D1216">
        <v>75.510665893999999</v>
      </c>
      <c r="E1216">
        <v>50</v>
      </c>
      <c r="F1216">
        <v>49.752670287999997</v>
      </c>
      <c r="G1216">
        <v>1378.9744873</v>
      </c>
      <c r="H1216">
        <v>1362.5637207</v>
      </c>
      <c r="I1216">
        <v>1299.6582031</v>
      </c>
      <c r="J1216">
        <v>1280.4678954999999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731.96317699999997</v>
      </c>
      <c r="B1217" s="1">
        <f>DATE(2012,5,1) + TIME(23,6,58)</f>
        <v>41030.963171296295</v>
      </c>
      <c r="C1217">
        <v>80</v>
      </c>
      <c r="D1217">
        <v>75.802162170000003</v>
      </c>
      <c r="E1217">
        <v>50</v>
      </c>
      <c r="F1217">
        <v>49.747379303000002</v>
      </c>
      <c r="G1217">
        <v>1379.3544922000001</v>
      </c>
      <c r="H1217">
        <v>1363.020874</v>
      </c>
      <c r="I1217">
        <v>1299.1688231999999</v>
      </c>
      <c r="J1217">
        <v>1279.9781493999999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732.00939800000003</v>
      </c>
      <c r="B1218" s="1">
        <f>DATE(2012,5,2) + TIME(0,13,32)</f>
        <v>41031.009398148148</v>
      </c>
      <c r="C1218">
        <v>80</v>
      </c>
      <c r="D1218">
        <v>76.082542419000006</v>
      </c>
      <c r="E1218">
        <v>50</v>
      </c>
      <c r="F1218">
        <v>49.741981506000002</v>
      </c>
      <c r="G1218">
        <v>1379.7235106999999</v>
      </c>
      <c r="H1218">
        <v>1363.4647216999999</v>
      </c>
      <c r="I1218">
        <v>1298.6917725000001</v>
      </c>
      <c r="J1218">
        <v>1279.5003661999999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732.05719599999998</v>
      </c>
      <c r="B1219" s="1">
        <f>DATE(2012,5,2) + TIME(1,22,21)</f>
        <v>41031.057187500002</v>
      </c>
      <c r="C1219">
        <v>80</v>
      </c>
      <c r="D1219">
        <v>76.351966857999997</v>
      </c>
      <c r="E1219">
        <v>50</v>
      </c>
      <c r="F1219">
        <v>49.736461638999998</v>
      </c>
      <c r="G1219">
        <v>1380.0822754000001</v>
      </c>
      <c r="H1219">
        <v>1363.8961182</v>
      </c>
      <c r="I1219">
        <v>1298.2258300999999</v>
      </c>
      <c r="J1219">
        <v>1279.0340576000001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732.10669199999995</v>
      </c>
      <c r="B1220" s="1">
        <f>DATE(2012,5,2) + TIME(2,33,38)</f>
        <v>41031.106689814813</v>
      </c>
      <c r="C1220">
        <v>80</v>
      </c>
      <c r="D1220">
        <v>76.610572814999998</v>
      </c>
      <c r="E1220">
        <v>50</v>
      </c>
      <c r="F1220">
        <v>49.730815886999999</v>
      </c>
      <c r="G1220">
        <v>1380.4315185999999</v>
      </c>
      <c r="H1220">
        <v>1364.3160399999999</v>
      </c>
      <c r="I1220">
        <v>1297.7705077999999</v>
      </c>
      <c r="J1220">
        <v>1278.578125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732.15801899999997</v>
      </c>
      <c r="B1221" s="1">
        <f>DATE(2012,5,2) + TIME(3,47,32)</f>
        <v>41031.158009259256</v>
      </c>
      <c r="C1221">
        <v>80</v>
      </c>
      <c r="D1221">
        <v>76.858505249000004</v>
      </c>
      <c r="E1221">
        <v>50</v>
      </c>
      <c r="F1221">
        <v>49.725025176999999</v>
      </c>
      <c r="G1221">
        <v>1380.7719727000001</v>
      </c>
      <c r="H1221">
        <v>1364.7252197</v>
      </c>
      <c r="I1221">
        <v>1297.3249512</v>
      </c>
      <c r="J1221">
        <v>1278.1320800999999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732.21132899999998</v>
      </c>
      <c r="B1222" s="1">
        <f>DATE(2012,5,2) + TIME(5,4,18)</f>
        <v>41031.211319444446</v>
      </c>
      <c r="C1222">
        <v>80</v>
      </c>
      <c r="D1222">
        <v>77.095909118999998</v>
      </c>
      <c r="E1222">
        <v>50</v>
      </c>
      <c r="F1222">
        <v>49.719078064000001</v>
      </c>
      <c r="G1222">
        <v>1381.1043701000001</v>
      </c>
      <c r="H1222">
        <v>1365.1245117000001</v>
      </c>
      <c r="I1222">
        <v>1296.8885498</v>
      </c>
      <c r="J1222">
        <v>1277.6950684000001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732.26679000000001</v>
      </c>
      <c r="B1223" s="1">
        <f>DATE(2012,5,2) + TIME(6,24,10)</f>
        <v>41031.266782407409</v>
      </c>
      <c r="C1223">
        <v>80</v>
      </c>
      <c r="D1223">
        <v>77.322914123999993</v>
      </c>
      <c r="E1223">
        <v>50</v>
      </c>
      <c r="F1223">
        <v>49.712963104000004</v>
      </c>
      <c r="G1223">
        <v>1381.4291992000001</v>
      </c>
      <c r="H1223">
        <v>1365.5145264</v>
      </c>
      <c r="I1223">
        <v>1296.4605713000001</v>
      </c>
      <c r="J1223">
        <v>1277.2666016000001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732.32459400000005</v>
      </c>
      <c r="B1224" s="1">
        <f>DATE(2012,5,2) + TIME(7,47,24)</f>
        <v>41031.324583333335</v>
      </c>
      <c r="C1224">
        <v>80</v>
      </c>
      <c r="D1224">
        <v>77.539657593000001</v>
      </c>
      <c r="E1224">
        <v>50</v>
      </c>
      <c r="F1224">
        <v>49.706657409999998</v>
      </c>
      <c r="G1224">
        <v>1381.7471923999999</v>
      </c>
      <c r="H1224">
        <v>1365.895874</v>
      </c>
      <c r="I1224">
        <v>1296.0405272999999</v>
      </c>
      <c r="J1224">
        <v>1276.8460693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732.38495899999998</v>
      </c>
      <c r="B1225" s="1">
        <f>DATE(2012,5,2) + TIME(9,14,20)</f>
        <v>41031.384953703702</v>
      </c>
      <c r="C1225">
        <v>80</v>
      </c>
      <c r="D1225">
        <v>77.746269225999995</v>
      </c>
      <c r="E1225">
        <v>50</v>
      </c>
      <c r="F1225">
        <v>49.700141907000003</v>
      </c>
      <c r="G1225">
        <v>1382.0588379000001</v>
      </c>
      <c r="H1225">
        <v>1366.2694091999999</v>
      </c>
      <c r="I1225">
        <v>1295.6278076000001</v>
      </c>
      <c r="J1225">
        <v>1276.4327393000001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732.44817699999999</v>
      </c>
      <c r="B1226" s="1">
        <f>DATE(2012,5,2) + TIME(10,45,22)</f>
        <v>41031.448171296295</v>
      </c>
      <c r="C1226">
        <v>80</v>
      </c>
      <c r="D1226">
        <v>77.942985535000005</v>
      </c>
      <c r="E1226">
        <v>50</v>
      </c>
      <c r="F1226">
        <v>49.693397521999998</v>
      </c>
      <c r="G1226">
        <v>1382.3647461</v>
      </c>
      <c r="H1226">
        <v>1366.6358643000001</v>
      </c>
      <c r="I1226">
        <v>1295.2215576000001</v>
      </c>
      <c r="J1226">
        <v>1276.026001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732.51450299999999</v>
      </c>
      <c r="B1227" s="1">
        <f>DATE(2012,5,2) + TIME(12,20,53)</f>
        <v>41031.514502314814</v>
      </c>
      <c r="C1227">
        <v>80</v>
      </c>
      <c r="D1227">
        <v>78.129829407000003</v>
      </c>
      <c r="E1227">
        <v>50</v>
      </c>
      <c r="F1227">
        <v>49.686397552000003</v>
      </c>
      <c r="G1227">
        <v>1382.6654053</v>
      </c>
      <c r="H1227">
        <v>1366.9956055</v>
      </c>
      <c r="I1227">
        <v>1294.8216553</v>
      </c>
      <c r="J1227">
        <v>1275.6254882999999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732.58426399999996</v>
      </c>
      <c r="B1228" s="1">
        <f>DATE(2012,5,2) + TIME(14,1,20)</f>
        <v>41031.58425925926</v>
      </c>
      <c r="C1228">
        <v>80</v>
      </c>
      <c r="D1228">
        <v>78.306892395000006</v>
      </c>
      <c r="E1228">
        <v>50</v>
      </c>
      <c r="F1228">
        <v>49.679115295000003</v>
      </c>
      <c r="G1228">
        <v>1382.9610596</v>
      </c>
      <c r="H1228">
        <v>1367.3491211</v>
      </c>
      <c r="I1228">
        <v>1294.4274902</v>
      </c>
      <c r="J1228">
        <v>1275.2307129000001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732.65784799999994</v>
      </c>
      <c r="B1229" s="1">
        <f>DATE(2012,5,2) + TIME(15,47,18)</f>
        <v>41031.657847222225</v>
      </c>
      <c r="C1229">
        <v>80</v>
      </c>
      <c r="D1229">
        <v>78.474296570000007</v>
      </c>
      <c r="E1229">
        <v>50</v>
      </c>
      <c r="F1229">
        <v>49.671520233000003</v>
      </c>
      <c r="G1229">
        <v>1383.2521973</v>
      </c>
      <c r="H1229">
        <v>1367.6970214999999</v>
      </c>
      <c r="I1229">
        <v>1294.0385742000001</v>
      </c>
      <c r="J1229">
        <v>1274.8413086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732.73570900000004</v>
      </c>
      <c r="B1230" s="1">
        <f>DATE(2012,5,2) + TIME(17,39,25)</f>
        <v>41031.735706018517</v>
      </c>
      <c r="C1230">
        <v>80</v>
      </c>
      <c r="D1230">
        <v>78.632148743000002</v>
      </c>
      <c r="E1230">
        <v>50</v>
      </c>
      <c r="F1230">
        <v>49.663574218999997</v>
      </c>
      <c r="G1230">
        <v>1383.5393065999999</v>
      </c>
      <c r="H1230">
        <v>1368.0399170000001</v>
      </c>
      <c r="I1230">
        <v>1293.6547852000001</v>
      </c>
      <c r="J1230">
        <v>1274.4567870999999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732.81837599999994</v>
      </c>
      <c r="B1231" s="1">
        <f>DATE(2012,5,2) + TIME(19,38,27)</f>
        <v>41031.818368055552</v>
      </c>
      <c r="C1231">
        <v>80</v>
      </c>
      <c r="D1231">
        <v>78.780540466000005</v>
      </c>
      <c r="E1231">
        <v>50</v>
      </c>
      <c r="F1231">
        <v>49.655235290999997</v>
      </c>
      <c r="G1231">
        <v>1383.8227539</v>
      </c>
      <c r="H1231">
        <v>1368.3780518000001</v>
      </c>
      <c r="I1231">
        <v>1293.2753906</v>
      </c>
      <c r="J1231">
        <v>1274.0769043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732.90649800000006</v>
      </c>
      <c r="B1232" s="1">
        <f>DATE(2012,5,2) + TIME(21,45,21)</f>
        <v>41031.906493055554</v>
      </c>
      <c r="C1232">
        <v>80</v>
      </c>
      <c r="D1232">
        <v>78.919578552000004</v>
      </c>
      <c r="E1232">
        <v>50</v>
      </c>
      <c r="F1232">
        <v>49.646450043000002</v>
      </c>
      <c r="G1232">
        <v>1384.1030272999999</v>
      </c>
      <c r="H1232">
        <v>1368.7122803</v>
      </c>
      <c r="I1232">
        <v>1292.9002685999999</v>
      </c>
      <c r="J1232">
        <v>1273.7010498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733.00086599999997</v>
      </c>
      <c r="B1233" s="1">
        <f>DATE(2012,5,3) + TIME(0,1,14)</f>
        <v>41032.000856481478</v>
      </c>
      <c r="C1233">
        <v>80</v>
      </c>
      <c r="D1233">
        <v>79.049377441000004</v>
      </c>
      <c r="E1233">
        <v>50</v>
      </c>
      <c r="F1233">
        <v>49.637153625000003</v>
      </c>
      <c r="G1233">
        <v>1384.3803711</v>
      </c>
      <c r="H1233">
        <v>1369.0428466999999</v>
      </c>
      <c r="I1233">
        <v>1292.5289307</v>
      </c>
      <c r="J1233">
        <v>1273.3291016000001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733.09977100000003</v>
      </c>
      <c r="B1234" s="1">
        <f>DATE(2012,5,3) + TIME(2,23,40)</f>
        <v>41032.099768518521</v>
      </c>
      <c r="C1234">
        <v>80</v>
      </c>
      <c r="D1234">
        <v>79.167289733999993</v>
      </c>
      <c r="E1234">
        <v>50</v>
      </c>
      <c r="F1234">
        <v>49.627502440999997</v>
      </c>
      <c r="G1234">
        <v>1384.6480713000001</v>
      </c>
      <c r="H1234">
        <v>1369.3620605000001</v>
      </c>
      <c r="I1234">
        <v>1292.1699219</v>
      </c>
      <c r="J1234">
        <v>1272.9693603999999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733.19872599999997</v>
      </c>
      <c r="B1235" s="1">
        <f>DATE(2012,5,3) + TIME(4,46,9)</f>
        <v>41032.19871527778</v>
      </c>
      <c r="C1235">
        <v>80</v>
      </c>
      <c r="D1235">
        <v>79.269561768000003</v>
      </c>
      <c r="E1235">
        <v>50</v>
      </c>
      <c r="F1235">
        <v>49.617889404000003</v>
      </c>
      <c r="G1235">
        <v>1384.8942870999999</v>
      </c>
      <c r="H1235">
        <v>1369.6561279</v>
      </c>
      <c r="I1235">
        <v>1291.8382568</v>
      </c>
      <c r="J1235">
        <v>1272.6369629000001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733.29811800000004</v>
      </c>
      <c r="B1236" s="1">
        <f>DATE(2012,5,3) + TIME(7,9,17)</f>
        <v>41032.298113425924</v>
      </c>
      <c r="C1236">
        <v>80</v>
      </c>
      <c r="D1236">
        <v>79.358596801999994</v>
      </c>
      <c r="E1236">
        <v>50</v>
      </c>
      <c r="F1236">
        <v>49.608272552000003</v>
      </c>
      <c r="G1236">
        <v>1385.1221923999999</v>
      </c>
      <c r="H1236">
        <v>1369.9289550999999</v>
      </c>
      <c r="I1236">
        <v>1291.5303954999999</v>
      </c>
      <c r="J1236">
        <v>1272.3284911999999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733.39814999999999</v>
      </c>
      <c r="B1237" s="1">
        <f>DATE(2012,5,3) + TIME(9,33,20)</f>
        <v>41032.398148148146</v>
      </c>
      <c r="C1237">
        <v>80</v>
      </c>
      <c r="D1237">
        <v>79.436218261999997</v>
      </c>
      <c r="E1237">
        <v>50</v>
      </c>
      <c r="F1237">
        <v>49.598636626999998</v>
      </c>
      <c r="G1237">
        <v>1385.3339844</v>
      </c>
      <c r="H1237">
        <v>1370.1828613</v>
      </c>
      <c r="I1237">
        <v>1291.2438964999999</v>
      </c>
      <c r="J1237">
        <v>1272.0413818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733.49901999999997</v>
      </c>
      <c r="B1238" s="1">
        <f>DATE(2012,5,3) + TIME(11,58,35)</f>
        <v>41032.499016203707</v>
      </c>
      <c r="C1238">
        <v>80</v>
      </c>
      <c r="D1238">
        <v>79.503982543999996</v>
      </c>
      <c r="E1238">
        <v>50</v>
      </c>
      <c r="F1238">
        <v>49.588970183999997</v>
      </c>
      <c r="G1238">
        <v>1385.53125</v>
      </c>
      <c r="H1238">
        <v>1370.4199219</v>
      </c>
      <c r="I1238">
        <v>1290.9768065999999</v>
      </c>
      <c r="J1238">
        <v>1271.7736815999999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733.60091999999997</v>
      </c>
      <c r="B1239" s="1">
        <f>DATE(2012,5,3) + TIME(14,25,19)</f>
        <v>41032.600914351853</v>
      </c>
      <c r="C1239">
        <v>80</v>
      </c>
      <c r="D1239">
        <v>79.563171386999997</v>
      </c>
      <c r="E1239">
        <v>50</v>
      </c>
      <c r="F1239">
        <v>49.579250336000001</v>
      </c>
      <c r="G1239">
        <v>1385.7152100000001</v>
      </c>
      <c r="H1239">
        <v>1370.6417236</v>
      </c>
      <c r="I1239">
        <v>1290.7275391000001</v>
      </c>
      <c r="J1239">
        <v>1271.5236815999999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733.70404199999996</v>
      </c>
      <c r="B1240" s="1">
        <f>DATE(2012,5,3) + TIME(16,53,49)</f>
        <v>41032.704039351855</v>
      </c>
      <c r="C1240">
        <v>80</v>
      </c>
      <c r="D1240">
        <v>79.614906310999999</v>
      </c>
      <c r="E1240">
        <v>50</v>
      </c>
      <c r="F1240">
        <v>49.569465637</v>
      </c>
      <c r="G1240">
        <v>1385.887207</v>
      </c>
      <c r="H1240">
        <v>1370.8496094</v>
      </c>
      <c r="I1240">
        <v>1290.4943848</v>
      </c>
      <c r="J1240">
        <v>1271.2899170000001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733.80857800000001</v>
      </c>
      <c r="B1241" s="1">
        <f>DATE(2012,5,3) + TIME(19,24,21)</f>
        <v>41032.808576388888</v>
      </c>
      <c r="C1241">
        <v>80</v>
      </c>
      <c r="D1241">
        <v>79.660133361999996</v>
      </c>
      <c r="E1241">
        <v>50</v>
      </c>
      <c r="F1241">
        <v>49.559600830000001</v>
      </c>
      <c r="G1241">
        <v>1386.0479736</v>
      </c>
      <c r="H1241">
        <v>1371.0447998</v>
      </c>
      <c r="I1241">
        <v>1290.2762451000001</v>
      </c>
      <c r="J1241">
        <v>1271.0710449000001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733.91472399999998</v>
      </c>
      <c r="B1242" s="1">
        <f>DATE(2012,5,3) + TIME(21,57,12)</f>
        <v>41032.914722222224</v>
      </c>
      <c r="C1242">
        <v>80</v>
      </c>
      <c r="D1242">
        <v>79.699668884000005</v>
      </c>
      <c r="E1242">
        <v>50</v>
      </c>
      <c r="F1242">
        <v>49.549633026000002</v>
      </c>
      <c r="G1242">
        <v>1386.1984863</v>
      </c>
      <c r="H1242">
        <v>1371.2282714999999</v>
      </c>
      <c r="I1242">
        <v>1290.0718993999999</v>
      </c>
      <c r="J1242">
        <v>1270.8660889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734.02268200000003</v>
      </c>
      <c r="B1243" s="1">
        <f>DATE(2012,5,4) + TIME(0,32,39)</f>
        <v>41033.022673611114</v>
      </c>
      <c r="C1243">
        <v>80</v>
      </c>
      <c r="D1243">
        <v>79.734214782999999</v>
      </c>
      <c r="E1243">
        <v>50</v>
      </c>
      <c r="F1243">
        <v>49.539550781000003</v>
      </c>
      <c r="G1243">
        <v>1386.3394774999999</v>
      </c>
      <c r="H1243">
        <v>1371.4008789</v>
      </c>
      <c r="I1243">
        <v>1289.8803711</v>
      </c>
      <c r="J1243">
        <v>1270.6738281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734.13266499999997</v>
      </c>
      <c r="B1244" s="1">
        <f>DATE(2012,5,4) + TIME(3,11,2)</f>
        <v>41033.132662037038</v>
      </c>
      <c r="C1244">
        <v>80</v>
      </c>
      <c r="D1244">
        <v>79.764389038000004</v>
      </c>
      <c r="E1244">
        <v>50</v>
      </c>
      <c r="F1244">
        <v>49.529335021999998</v>
      </c>
      <c r="G1244">
        <v>1386.4714355000001</v>
      </c>
      <c r="H1244">
        <v>1371.5633545000001</v>
      </c>
      <c r="I1244">
        <v>1289.7008057</v>
      </c>
      <c r="J1244">
        <v>1270.4936522999999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734.24478299999998</v>
      </c>
      <c r="B1245" s="1">
        <f>DATE(2012,5,4) + TIME(5,52,29)</f>
        <v>41033.244780092595</v>
      </c>
      <c r="C1245">
        <v>80</v>
      </c>
      <c r="D1245">
        <v>79.790695189999994</v>
      </c>
      <c r="E1245">
        <v>50</v>
      </c>
      <c r="F1245">
        <v>49.518978119000003</v>
      </c>
      <c r="G1245">
        <v>1386.5948486</v>
      </c>
      <c r="H1245">
        <v>1371.7163086</v>
      </c>
      <c r="I1245">
        <v>1289.5325928</v>
      </c>
      <c r="J1245">
        <v>1270.324707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734.35874899999999</v>
      </c>
      <c r="B1246" s="1">
        <f>DATE(2012,5,4) + TIME(8,36,35)</f>
        <v>41033.358738425923</v>
      </c>
      <c r="C1246">
        <v>80</v>
      </c>
      <c r="D1246">
        <v>79.813514709000003</v>
      </c>
      <c r="E1246">
        <v>50</v>
      </c>
      <c r="F1246">
        <v>49.508502960000001</v>
      </c>
      <c r="G1246">
        <v>1386.7094727000001</v>
      </c>
      <c r="H1246">
        <v>1371.8594971</v>
      </c>
      <c r="I1246">
        <v>1289.3757324000001</v>
      </c>
      <c r="J1246">
        <v>1270.1671143000001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734.47477600000002</v>
      </c>
      <c r="B1247" s="1">
        <f>DATE(2012,5,4) + TIME(11,23,40)</f>
        <v>41033.474768518521</v>
      </c>
      <c r="C1247">
        <v>80</v>
      </c>
      <c r="D1247">
        <v>79.833305358999993</v>
      </c>
      <c r="E1247">
        <v>50</v>
      </c>
      <c r="F1247">
        <v>49.497890472000002</v>
      </c>
      <c r="G1247">
        <v>1386.8161620999999</v>
      </c>
      <c r="H1247">
        <v>1371.9938964999999</v>
      </c>
      <c r="I1247">
        <v>1289.2293701000001</v>
      </c>
      <c r="J1247">
        <v>1270.0201416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734.59307100000001</v>
      </c>
      <c r="B1248" s="1">
        <f>DATE(2012,5,4) + TIME(14,14,1)</f>
        <v>41033.59306712963</v>
      </c>
      <c r="C1248">
        <v>80</v>
      </c>
      <c r="D1248">
        <v>79.850456238000007</v>
      </c>
      <c r="E1248">
        <v>50</v>
      </c>
      <c r="F1248">
        <v>49.487129211000003</v>
      </c>
      <c r="G1248">
        <v>1386.9151611</v>
      </c>
      <c r="H1248">
        <v>1372.1198730000001</v>
      </c>
      <c r="I1248">
        <v>1289.0928954999999</v>
      </c>
      <c r="J1248">
        <v>1269.8829346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734.71390899999994</v>
      </c>
      <c r="B1249" s="1">
        <f>DATE(2012,5,4) + TIME(17,8,1)</f>
        <v>41033.713900462964</v>
      </c>
      <c r="C1249">
        <v>80</v>
      </c>
      <c r="D1249">
        <v>79.865295410000002</v>
      </c>
      <c r="E1249">
        <v>50</v>
      </c>
      <c r="F1249">
        <v>49.476192474000001</v>
      </c>
      <c r="G1249">
        <v>1387.0070800999999</v>
      </c>
      <c r="H1249">
        <v>1372.2380370999999</v>
      </c>
      <c r="I1249">
        <v>1288.9656981999999</v>
      </c>
      <c r="J1249">
        <v>1269.7551269999999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734.83748300000002</v>
      </c>
      <c r="B1250" s="1">
        <f>DATE(2012,5,4) + TIME(20,5,58)</f>
        <v>41033.837476851855</v>
      </c>
      <c r="C1250">
        <v>80</v>
      </c>
      <c r="D1250">
        <v>79.878112793</v>
      </c>
      <c r="E1250">
        <v>50</v>
      </c>
      <c r="F1250">
        <v>49.465065002000003</v>
      </c>
      <c r="G1250">
        <v>1387.0921631000001</v>
      </c>
      <c r="H1250">
        <v>1372.3487548999999</v>
      </c>
      <c r="I1250">
        <v>1288.8472899999999</v>
      </c>
      <c r="J1250">
        <v>1269.6359863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734.96404399999994</v>
      </c>
      <c r="B1251" s="1">
        <f>DATE(2012,5,4) + TIME(23,8,13)</f>
        <v>41033.964039351849</v>
      </c>
      <c r="C1251">
        <v>80</v>
      </c>
      <c r="D1251">
        <v>79.889175414999997</v>
      </c>
      <c r="E1251">
        <v>50</v>
      </c>
      <c r="F1251">
        <v>49.453731537000003</v>
      </c>
      <c r="G1251">
        <v>1387.1706543</v>
      </c>
      <c r="H1251">
        <v>1372.4523925999999</v>
      </c>
      <c r="I1251">
        <v>1288.7371826000001</v>
      </c>
      <c r="J1251">
        <v>1269.5251464999999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735.09387100000004</v>
      </c>
      <c r="B1252" s="1">
        <f>DATE(2012,5,5) + TIME(2,15,10)</f>
        <v>41034.093865740739</v>
      </c>
      <c r="C1252">
        <v>80</v>
      </c>
      <c r="D1252">
        <v>79.898696899000001</v>
      </c>
      <c r="E1252">
        <v>50</v>
      </c>
      <c r="F1252">
        <v>49.442169188999998</v>
      </c>
      <c r="G1252">
        <v>1387.2429199000001</v>
      </c>
      <c r="H1252">
        <v>1372.5493164</v>
      </c>
      <c r="I1252">
        <v>1288.6348877</v>
      </c>
      <c r="J1252">
        <v>1269.4221190999999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735.22726799999998</v>
      </c>
      <c r="B1253" s="1">
        <f>DATE(2012,5,5) + TIME(5,27,15)</f>
        <v>41034.227256944447</v>
      </c>
      <c r="C1253">
        <v>80</v>
      </c>
      <c r="D1253">
        <v>79.90687561</v>
      </c>
      <c r="E1253">
        <v>50</v>
      </c>
      <c r="F1253">
        <v>49.430351256999998</v>
      </c>
      <c r="G1253">
        <v>1387.3092041</v>
      </c>
      <c r="H1253">
        <v>1372.6397704999999</v>
      </c>
      <c r="I1253">
        <v>1288.5401611</v>
      </c>
      <c r="J1253">
        <v>1269.3265381000001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735.36456999999996</v>
      </c>
      <c r="B1254" s="1">
        <f>DATE(2012,5,5) + TIME(8,44,58)</f>
        <v>41034.364560185182</v>
      </c>
      <c r="C1254">
        <v>80</v>
      </c>
      <c r="D1254">
        <v>79.913887024000005</v>
      </c>
      <c r="E1254">
        <v>50</v>
      </c>
      <c r="F1254">
        <v>49.418258667000003</v>
      </c>
      <c r="G1254">
        <v>1387.3696289</v>
      </c>
      <c r="H1254">
        <v>1372.7242432</v>
      </c>
      <c r="I1254">
        <v>1288.4523925999999</v>
      </c>
      <c r="J1254">
        <v>1269.2380370999999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735.50614700000006</v>
      </c>
      <c r="B1255" s="1">
        <f>DATE(2012,5,5) + TIME(12,8,51)</f>
        <v>41034.506145833337</v>
      </c>
      <c r="C1255">
        <v>80</v>
      </c>
      <c r="D1255">
        <v>79.919883728000002</v>
      </c>
      <c r="E1255">
        <v>50</v>
      </c>
      <c r="F1255">
        <v>49.405857085999997</v>
      </c>
      <c r="G1255">
        <v>1387.4243164</v>
      </c>
      <c r="H1255">
        <v>1372.8027344</v>
      </c>
      <c r="I1255">
        <v>1288.3714600000001</v>
      </c>
      <c r="J1255">
        <v>1269.15625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735.65240900000003</v>
      </c>
      <c r="B1256" s="1">
        <f>DATE(2012,5,5) + TIME(15,39,28)</f>
        <v>41034.652407407404</v>
      </c>
      <c r="C1256">
        <v>80</v>
      </c>
      <c r="D1256">
        <v>79.924995421999995</v>
      </c>
      <c r="E1256">
        <v>50</v>
      </c>
      <c r="F1256">
        <v>49.393119812000002</v>
      </c>
      <c r="G1256">
        <v>1387.4736327999999</v>
      </c>
      <c r="H1256">
        <v>1372.8754882999999</v>
      </c>
      <c r="I1256">
        <v>1288.296875</v>
      </c>
      <c r="J1256">
        <v>1269.0808105000001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735.80381699999998</v>
      </c>
      <c r="B1257" s="1">
        <f>DATE(2012,5,5) + TIME(19,17,29)</f>
        <v>41034.803807870368</v>
      </c>
      <c r="C1257">
        <v>80</v>
      </c>
      <c r="D1257">
        <v>79.929336547999995</v>
      </c>
      <c r="E1257">
        <v>50</v>
      </c>
      <c r="F1257">
        <v>49.380012512</v>
      </c>
      <c r="G1257">
        <v>1387.5174560999999</v>
      </c>
      <c r="H1257">
        <v>1372.942749</v>
      </c>
      <c r="I1257">
        <v>1288.2283935999999</v>
      </c>
      <c r="J1257">
        <v>1269.0115966999999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735.96088899999995</v>
      </c>
      <c r="B1258" s="1">
        <f>DATE(2012,5,5) + TIME(23,3,40)</f>
        <v>41034.960879629631</v>
      </c>
      <c r="C1258">
        <v>80</v>
      </c>
      <c r="D1258">
        <v>79.933013915999993</v>
      </c>
      <c r="E1258">
        <v>50</v>
      </c>
      <c r="F1258">
        <v>49.366497039999999</v>
      </c>
      <c r="G1258">
        <v>1387.5560303</v>
      </c>
      <c r="H1258">
        <v>1373.0047606999999</v>
      </c>
      <c r="I1258">
        <v>1288.1658935999999</v>
      </c>
      <c r="J1258">
        <v>1268.9481201000001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736.12428699999998</v>
      </c>
      <c r="B1259" s="1">
        <f>DATE(2012,5,6) + TIME(2,58,58)</f>
        <v>41035.124282407407</v>
      </c>
      <c r="C1259">
        <v>80</v>
      </c>
      <c r="D1259">
        <v>79.936111449999999</v>
      </c>
      <c r="E1259">
        <v>50</v>
      </c>
      <c r="F1259">
        <v>49.352523804</v>
      </c>
      <c r="G1259">
        <v>1387.5893555</v>
      </c>
      <c r="H1259">
        <v>1373.0614014</v>
      </c>
      <c r="I1259">
        <v>1288.1088867000001</v>
      </c>
      <c r="J1259">
        <v>1268.8902588000001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736.29466000000002</v>
      </c>
      <c r="B1260" s="1">
        <f>DATE(2012,5,6) + TIME(7,4,18)</f>
        <v>41035.294652777775</v>
      </c>
      <c r="C1260">
        <v>80</v>
      </c>
      <c r="D1260">
        <v>79.938720703000001</v>
      </c>
      <c r="E1260">
        <v>50</v>
      </c>
      <c r="F1260">
        <v>49.338050842000001</v>
      </c>
      <c r="G1260">
        <v>1387.6175536999999</v>
      </c>
      <c r="H1260">
        <v>1373.1130370999999</v>
      </c>
      <c r="I1260">
        <v>1288.057251</v>
      </c>
      <c r="J1260">
        <v>1268.8376464999999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736.47087999999997</v>
      </c>
      <c r="B1261" s="1">
        <f>DATE(2012,5,6) + TIME(11,18,4)</f>
        <v>41035.470879629633</v>
      </c>
      <c r="C1261">
        <v>80</v>
      </c>
      <c r="D1261">
        <v>79.940879821999999</v>
      </c>
      <c r="E1261">
        <v>50</v>
      </c>
      <c r="F1261">
        <v>49.323146819999998</v>
      </c>
      <c r="G1261">
        <v>1387.6398925999999</v>
      </c>
      <c r="H1261">
        <v>1373.1589355000001</v>
      </c>
      <c r="I1261">
        <v>1288.0112305</v>
      </c>
      <c r="J1261">
        <v>1268.7906493999999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736.65307499999994</v>
      </c>
      <c r="B1262" s="1">
        <f>DATE(2012,5,6) + TIME(15,40,25)</f>
        <v>41035.653067129628</v>
      </c>
      <c r="C1262">
        <v>80</v>
      </c>
      <c r="D1262">
        <v>79.942657471000004</v>
      </c>
      <c r="E1262">
        <v>50</v>
      </c>
      <c r="F1262">
        <v>49.307811737000002</v>
      </c>
      <c r="G1262">
        <v>1387.6567382999999</v>
      </c>
      <c r="H1262">
        <v>1373.1992187999999</v>
      </c>
      <c r="I1262">
        <v>1287.9704589999999</v>
      </c>
      <c r="J1262">
        <v>1268.7489014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736.84182599999997</v>
      </c>
      <c r="B1263" s="1">
        <f>DATE(2012,5,6) + TIME(20,12,13)</f>
        <v>41035.841817129629</v>
      </c>
      <c r="C1263">
        <v>80</v>
      </c>
      <c r="D1263">
        <v>79.944114685000002</v>
      </c>
      <c r="E1263">
        <v>50</v>
      </c>
      <c r="F1263">
        <v>49.291996001999998</v>
      </c>
      <c r="G1263">
        <v>1387.668457</v>
      </c>
      <c r="H1263">
        <v>1373.234375</v>
      </c>
      <c r="I1263">
        <v>1287.9346923999999</v>
      </c>
      <c r="J1263">
        <v>1268.7121582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737.03776900000003</v>
      </c>
      <c r="B1264" s="1">
        <f>DATE(2012,5,7) + TIME(0,54,23)</f>
        <v>41036.037766203706</v>
      </c>
      <c r="C1264">
        <v>80</v>
      </c>
      <c r="D1264">
        <v>79.9453125</v>
      </c>
      <c r="E1264">
        <v>50</v>
      </c>
      <c r="F1264">
        <v>49.275669098000002</v>
      </c>
      <c r="G1264">
        <v>1387.6750488</v>
      </c>
      <c r="H1264">
        <v>1373.2645264</v>
      </c>
      <c r="I1264">
        <v>1287.9035644999999</v>
      </c>
      <c r="J1264">
        <v>1268.6799315999999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737.24111300000004</v>
      </c>
      <c r="B1265" s="1">
        <f>DATE(2012,5,7) + TIME(5,47,12)</f>
        <v>41036.241111111114</v>
      </c>
      <c r="C1265">
        <v>80</v>
      </c>
      <c r="D1265">
        <v>79.946281432999996</v>
      </c>
      <c r="E1265">
        <v>50</v>
      </c>
      <c r="F1265">
        <v>49.258808135999999</v>
      </c>
      <c r="G1265">
        <v>1387.6766356999999</v>
      </c>
      <c r="H1265">
        <v>1373.2896728999999</v>
      </c>
      <c r="I1265">
        <v>1287.8767089999999</v>
      </c>
      <c r="J1265">
        <v>1268.6520995999999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737.445018</v>
      </c>
      <c r="B1266" s="1">
        <f>DATE(2012,5,7) + TIME(10,40,49)</f>
        <v>41036.445011574076</v>
      </c>
      <c r="C1266">
        <v>80</v>
      </c>
      <c r="D1266">
        <v>79.947036742999998</v>
      </c>
      <c r="E1266">
        <v>50</v>
      </c>
      <c r="F1266">
        <v>49.241863250999998</v>
      </c>
      <c r="G1266">
        <v>1387.6716309000001</v>
      </c>
      <c r="H1266">
        <v>1373.3081055</v>
      </c>
      <c r="I1266">
        <v>1287.8544922000001</v>
      </c>
      <c r="J1266">
        <v>1268.6287841999999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737.64995399999998</v>
      </c>
      <c r="B1267" s="1">
        <f>DATE(2012,5,7) + TIME(15,35,56)</f>
        <v>41036.649953703702</v>
      </c>
      <c r="C1267">
        <v>80</v>
      </c>
      <c r="D1267">
        <v>79.947631835999999</v>
      </c>
      <c r="E1267">
        <v>50</v>
      </c>
      <c r="F1267">
        <v>49.224822998</v>
      </c>
      <c r="G1267">
        <v>1387.6624756000001</v>
      </c>
      <c r="H1267">
        <v>1373.3217772999999</v>
      </c>
      <c r="I1267">
        <v>1287.8363036999999</v>
      </c>
      <c r="J1267">
        <v>1268.6094971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737.85636299999999</v>
      </c>
      <c r="B1268" s="1">
        <f>DATE(2012,5,7) + TIME(20,33,9)</f>
        <v>41036.856354166666</v>
      </c>
      <c r="C1268">
        <v>80</v>
      </c>
      <c r="D1268">
        <v>79.948104857999994</v>
      </c>
      <c r="E1268">
        <v>50</v>
      </c>
      <c r="F1268">
        <v>49.207675934000001</v>
      </c>
      <c r="G1268">
        <v>1387.6495361</v>
      </c>
      <c r="H1268">
        <v>1373.3311768000001</v>
      </c>
      <c r="I1268">
        <v>1287.8215332</v>
      </c>
      <c r="J1268">
        <v>1268.5936279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738.06467299999997</v>
      </c>
      <c r="B1269" s="1">
        <f>DATE(2012,5,8) + TIME(1,33,7)</f>
        <v>41037.064664351848</v>
      </c>
      <c r="C1269">
        <v>80</v>
      </c>
      <c r="D1269">
        <v>79.948471068999993</v>
      </c>
      <c r="E1269">
        <v>50</v>
      </c>
      <c r="F1269">
        <v>49.190402984999999</v>
      </c>
      <c r="G1269">
        <v>1387.6335449000001</v>
      </c>
      <c r="H1269">
        <v>1373.3367920000001</v>
      </c>
      <c r="I1269">
        <v>1287.8096923999999</v>
      </c>
      <c r="J1269">
        <v>1268.5806885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738.27531299999998</v>
      </c>
      <c r="B1270" s="1">
        <f>DATE(2012,5,8) + TIME(6,36,27)</f>
        <v>41037.275312500002</v>
      </c>
      <c r="C1270">
        <v>80</v>
      </c>
      <c r="D1270">
        <v>79.948768615999995</v>
      </c>
      <c r="E1270">
        <v>50</v>
      </c>
      <c r="F1270">
        <v>49.172985077</v>
      </c>
      <c r="G1270">
        <v>1387.6145019999999</v>
      </c>
      <c r="H1270">
        <v>1373.3391113</v>
      </c>
      <c r="I1270">
        <v>1287.8004149999999</v>
      </c>
      <c r="J1270">
        <v>1268.5701904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738.48877900000002</v>
      </c>
      <c r="B1271" s="1">
        <f>DATE(2012,5,8) + TIME(11,43,50)</f>
        <v>41037.48877314815</v>
      </c>
      <c r="C1271">
        <v>80</v>
      </c>
      <c r="D1271">
        <v>79.948997497999997</v>
      </c>
      <c r="E1271">
        <v>50</v>
      </c>
      <c r="F1271">
        <v>49.155391692999999</v>
      </c>
      <c r="G1271">
        <v>1387.5927733999999</v>
      </c>
      <c r="H1271">
        <v>1373.3381348</v>
      </c>
      <c r="I1271">
        <v>1287.7933350000001</v>
      </c>
      <c r="J1271">
        <v>1268.5618896000001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738.70549800000003</v>
      </c>
      <c r="B1272" s="1">
        <f>DATE(2012,5,8) + TIME(16,55,54)</f>
        <v>41037.70548611111</v>
      </c>
      <c r="C1272">
        <v>80</v>
      </c>
      <c r="D1272">
        <v>79.949172974000007</v>
      </c>
      <c r="E1272">
        <v>50</v>
      </c>
      <c r="F1272">
        <v>49.137596129999999</v>
      </c>
      <c r="G1272">
        <v>1387.5684814000001</v>
      </c>
      <c r="H1272">
        <v>1373.3344727000001</v>
      </c>
      <c r="I1272">
        <v>1287.7879639</v>
      </c>
      <c r="J1272">
        <v>1268.5554199000001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738.92589499999997</v>
      </c>
      <c r="B1273" s="1">
        <f>DATE(2012,5,8) + TIME(22,13,17)</f>
        <v>41037.925891203704</v>
      </c>
      <c r="C1273">
        <v>80</v>
      </c>
      <c r="D1273">
        <v>79.949310303000004</v>
      </c>
      <c r="E1273">
        <v>50</v>
      </c>
      <c r="F1273">
        <v>49.119575500000003</v>
      </c>
      <c r="G1273">
        <v>1387.5418701000001</v>
      </c>
      <c r="H1273">
        <v>1373.3280029</v>
      </c>
      <c r="I1273">
        <v>1287.7843018000001</v>
      </c>
      <c r="J1273">
        <v>1268.5505370999999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739.15045899999996</v>
      </c>
      <c r="B1274" s="1">
        <f>DATE(2012,5,9) + TIME(3,36,39)</f>
        <v>41038.150451388887</v>
      </c>
      <c r="C1274">
        <v>80</v>
      </c>
      <c r="D1274">
        <v>79.949417113999999</v>
      </c>
      <c r="E1274">
        <v>50</v>
      </c>
      <c r="F1274">
        <v>49.101299286</v>
      </c>
      <c r="G1274">
        <v>1387.5130615</v>
      </c>
      <c r="H1274">
        <v>1373.3192139</v>
      </c>
      <c r="I1274">
        <v>1287.7818603999999</v>
      </c>
      <c r="J1274">
        <v>1268.546875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739.37970800000005</v>
      </c>
      <c r="B1275" s="1">
        <f>DATE(2012,5,9) + TIME(9,6,46)</f>
        <v>41038.379699074074</v>
      </c>
      <c r="C1275">
        <v>80</v>
      </c>
      <c r="D1275">
        <v>79.949501037999994</v>
      </c>
      <c r="E1275">
        <v>50</v>
      </c>
      <c r="F1275">
        <v>49.08272934</v>
      </c>
      <c r="G1275">
        <v>1387.4819336</v>
      </c>
      <c r="H1275">
        <v>1373.3079834</v>
      </c>
      <c r="I1275">
        <v>1287.7805175999999</v>
      </c>
      <c r="J1275">
        <v>1268.5443115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739.61257000000001</v>
      </c>
      <c r="B1276" s="1">
        <f>DATE(2012,5,9) + TIME(14,42,6)</f>
        <v>41038.612569444442</v>
      </c>
      <c r="C1276">
        <v>80</v>
      </c>
      <c r="D1276">
        <v>79.949554442999997</v>
      </c>
      <c r="E1276">
        <v>50</v>
      </c>
      <c r="F1276">
        <v>49.063934326000002</v>
      </c>
      <c r="G1276">
        <v>1387.4488524999999</v>
      </c>
      <c r="H1276">
        <v>1373.2944336</v>
      </c>
      <c r="I1276">
        <v>1287.7801514</v>
      </c>
      <c r="J1276">
        <v>1268.5426024999999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739.84880999999996</v>
      </c>
      <c r="B1277" s="1">
        <f>DATE(2012,5,9) + TIME(20,22,17)</f>
        <v>41038.848807870374</v>
      </c>
      <c r="C1277">
        <v>80</v>
      </c>
      <c r="D1277">
        <v>79.949600219999994</v>
      </c>
      <c r="E1277">
        <v>50</v>
      </c>
      <c r="F1277">
        <v>49.044925689999999</v>
      </c>
      <c r="G1277">
        <v>1387.4138184000001</v>
      </c>
      <c r="H1277">
        <v>1373.2788086</v>
      </c>
      <c r="I1277">
        <v>1287.7803954999999</v>
      </c>
      <c r="J1277">
        <v>1268.541626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740.08878400000003</v>
      </c>
      <c r="B1278" s="1">
        <f>DATE(2012,5,10) + TIME(2,7,50)</f>
        <v>41039.088773148149</v>
      </c>
      <c r="C1278">
        <v>80</v>
      </c>
      <c r="D1278">
        <v>79.949623107999997</v>
      </c>
      <c r="E1278">
        <v>50</v>
      </c>
      <c r="F1278">
        <v>49.025695800999998</v>
      </c>
      <c r="G1278">
        <v>1387.3773193</v>
      </c>
      <c r="H1278">
        <v>1373.2613524999999</v>
      </c>
      <c r="I1278">
        <v>1287.78125</v>
      </c>
      <c r="J1278">
        <v>1268.5411377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740.332942</v>
      </c>
      <c r="B1279" s="1">
        <f>DATE(2012,5,10) + TIME(7,59,26)</f>
        <v>41039.332939814813</v>
      </c>
      <c r="C1279">
        <v>80</v>
      </c>
      <c r="D1279">
        <v>79.949638367000006</v>
      </c>
      <c r="E1279">
        <v>50</v>
      </c>
      <c r="F1279">
        <v>49.006206511999999</v>
      </c>
      <c r="G1279">
        <v>1387.3392334</v>
      </c>
      <c r="H1279">
        <v>1373.2423096</v>
      </c>
      <c r="I1279">
        <v>1287.7824707</v>
      </c>
      <c r="J1279">
        <v>1268.5411377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740.58176700000001</v>
      </c>
      <c r="B1280" s="1">
        <f>DATE(2012,5,10) + TIME(13,57,44)</f>
        <v>41039.581759259258</v>
      </c>
      <c r="C1280">
        <v>80</v>
      </c>
      <c r="D1280">
        <v>79.949638367000006</v>
      </c>
      <c r="E1280">
        <v>50</v>
      </c>
      <c r="F1280">
        <v>48.986434936999999</v>
      </c>
      <c r="G1280">
        <v>1387.2998047000001</v>
      </c>
      <c r="H1280">
        <v>1373.2215576000001</v>
      </c>
      <c r="I1280">
        <v>1287.7840576000001</v>
      </c>
      <c r="J1280">
        <v>1268.5413818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740.83578199999999</v>
      </c>
      <c r="B1281" s="1">
        <f>DATE(2012,5,10) + TIME(20,3,31)</f>
        <v>41039.835775462961</v>
      </c>
      <c r="C1281">
        <v>80</v>
      </c>
      <c r="D1281">
        <v>79.949638367000006</v>
      </c>
      <c r="E1281">
        <v>50</v>
      </c>
      <c r="F1281">
        <v>48.966346741000002</v>
      </c>
      <c r="G1281">
        <v>1387.2590332</v>
      </c>
      <c r="H1281">
        <v>1373.1993408000001</v>
      </c>
      <c r="I1281">
        <v>1287.7858887</v>
      </c>
      <c r="J1281">
        <v>1268.541626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741.09555599999999</v>
      </c>
      <c r="B1282" s="1">
        <f>DATE(2012,5,11) + TIME(2,17,36)</f>
        <v>41040.095555555556</v>
      </c>
      <c r="C1282">
        <v>80</v>
      </c>
      <c r="D1282">
        <v>79.949623107999997</v>
      </c>
      <c r="E1282">
        <v>50</v>
      </c>
      <c r="F1282">
        <v>48.945907593000001</v>
      </c>
      <c r="G1282">
        <v>1387.2169189000001</v>
      </c>
      <c r="H1282">
        <v>1373.1756591999999</v>
      </c>
      <c r="I1282">
        <v>1287.7877197</v>
      </c>
      <c r="J1282">
        <v>1268.5421143000001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741.361717</v>
      </c>
      <c r="B1283" s="1">
        <f>DATE(2012,5,11) + TIME(8,40,52)</f>
        <v>41040.361712962964</v>
      </c>
      <c r="C1283">
        <v>80</v>
      </c>
      <c r="D1283">
        <v>79.949607849000003</v>
      </c>
      <c r="E1283">
        <v>50</v>
      </c>
      <c r="F1283">
        <v>48.925079345999997</v>
      </c>
      <c r="G1283">
        <v>1387.1734618999999</v>
      </c>
      <c r="H1283">
        <v>1373.1505127</v>
      </c>
      <c r="I1283">
        <v>1287.7895507999999</v>
      </c>
      <c r="J1283">
        <v>1268.5424805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741.63496099999998</v>
      </c>
      <c r="B1284" s="1">
        <f>DATE(2012,5,11) + TIME(15,14,20)</f>
        <v>41040.634953703702</v>
      </c>
      <c r="C1284">
        <v>80</v>
      </c>
      <c r="D1284">
        <v>79.949584960999999</v>
      </c>
      <c r="E1284">
        <v>50</v>
      </c>
      <c r="F1284">
        <v>48.903812408</v>
      </c>
      <c r="G1284">
        <v>1387.1285399999999</v>
      </c>
      <c r="H1284">
        <v>1373.1239014</v>
      </c>
      <c r="I1284">
        <v>1287.7912598</v>
      </c>
      <c r="J1284">
        <v>1268.5427245999999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741.916066</v>
      </c>
      <c r="B1285" s="1">
        <f>DATE(2012,5,11) + TIME(21,59,8)</f>
        <v>41040.916064814817</v>
      </c>
      <c r="C1285">
        <v>80</v>
      </c>
      <c r="D1285">
        <v>79.949562072999996</v>
      </c>
      <c r="E1285">
        <v>50</v>
      </c>
      <c r="F1285">
        <v>48.882061004999997</v>
      </c>
      <c r="G1285">
        <v>1387.0822754000001</v>
      </c>
      <c r="H1285">
        <v>1373.0959473</v>
      </c>
      <c r="I1285">
        <v>1287.7928466999999</v>
      </c>
      <c r="J1285">
        <v>1268.5428466999999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742.20592299999998</v>
      </c>
      <c r="B1286" s="1">
        <f>DATE(2012,5,12) + TIME(4,56,31)</f>
        <v>41041.205914351849</v>
      </c>
      <c r="C1286">
        <v>80</v>
      </c>
      <c r="D1286">
        <v>79.949531554999993</v>
      </c>
      <c r="E1286">
        <v>50</v>
      </c>
      <c r="F1286">
        <v>48.859767914000003</v>
      </c>
      <c r="G1286">
        <v>1387.034668</v>
      </c>
      <c r="H1286">
        <v>1373.0665283000001</v>
      </c>
      <c r="I1286">
        <v>1287.7943115</v>
      </c>
      <c r="J1286">
        <v>1268.5426024999999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742.505718</v>
      </c>
      <c r="B1287" s="1">
        <f>DATE(2012,5,12) + TIME(12,8,14)</f>
        <v>41041.50571759259</v>
      </c>
      <c r="C1287">
        <v>80</v>
      </c>
      <c r="D1287">
        <v>79.949501037999994</v>
      </c>
      <c r="E1287">
        <v>50</v>
      </c>
      <c r="F1287">
        <v>48.836860657000003</v>
      </c>
      <c r="G1287">
        <v>1386.9854736</v>
      </c>
      <c r="H1287">
        <v>1373.0356445</v>
      </c>
      <c r="I1287">
        <v>1287.7954102000001</v>
      </c>
      <c r="J1287">
        <v>1268.5421143000001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742.81639700000005</v>
      </c>
      <c r="B1288" s="1">
        <f>DATE(2012,5,12) + TIME(19,35,36)</f>
        <v>41041.816388888888</v>
      </c>
      <c r="C1288">
        <v>80</v>
      </c>
      <c r="D1288">
        <v>79.949462890999996</v>
      </c>
      <c r="E1288">
        <v>50</v>
      </c>
      <c r="F1288">
        <v>48.813274384000003</v>
      </c>
      <c r="G1288">
        <v>1386.9345702999999</v>
      </c>
      <c r="H1288">
        <v>1373.0032959</v>
      </c>
      <c r="I1288">
        <v>1287.7961425999999</v>
      </c>
      <c r="J1288">
        <v>1268.5411377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743.136528</v>
      </c>
      <c r="B1289" s="1">
        <f>DATE(2012,5,13) + TIME(3,16,35)</f>
        <v>41042.136516203704</v>
      </c>
      <c r="C1289">
        <v>80</v>
      </c>
      <c r="D1289">
        <v>79.949424743999998</v>
      </c>
      <c r="E1289">
        <v>50</v>
      </c>
      <c r="F1289">
        <v>48.789085387999997</v>
      </c>
      <c r="G1289">
        <v>1386.8822021000001</v>
      </c>
      <c r="H1289">
        <v>1372.9693603999999</v>
      </c>
      <c r="I1289">
        <v>1287.7965088000001</v>
      </c>
      <c r="J1289">
        <v>1268.5396728999999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743.46423600000003</v>
      </c>
      <c r="B1290" s="1">
        <f>DATE(2012,5,13) + TIME(11,8,30)</f>
        <v>41042.464236111111</v>
      </c>
      <c r="C1290">
        <v>80</v>
      </c>
      <c r="D1290">
        <v>79.949378967000001</v>
      </c>
      <c r="E1290">
        <v>50</v>
      </c>
      <c r="F1290">
        <v>48.764385222999998</v>
      </c>
      <c r="G1290">
        <v>1386.8282471</v>
      </c>
      <c r="H1290">
        <v>1372.9339600000001</v>
      </c>
      <c r="I1290">
        <v>1287.7962646000001</v>
      </c>
      <c r="J1290">
        <v>1268.5377197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743.795569</v>
      </c>
      <c r="B1291" s="1">
        <f>DATE(2012,5,13) + TIME(19,5,37)</f>
        <v>41042.795567129629</v>
      </c>
      <c r="C1291">
        <v>80</v>
      </c>
      <c r="D1291">
        <v>79.949333190999994</v>
      </c>
      <c r="E1291">
        <v>50</v>
      </c>
      <c r="F1291">
        <v>48.739406586000001</v>
      </c>
      <c r="G1291">
        <v>1386.7734375</v>
      </c>
      <c r="H1291">
        <v>1372.8975829999999</v>
      </c>
      <c r="I1291">
        <v>1287.7955322</v>
      </c>
      <c r="J1291">
        <v>1268.5350341999999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744.129503</v>
      </c>
      <c r="B1292" s="1">
        <f>DATE(2012,5,14) + TIME(3,6,29)</f>
        <v>41043.129502314812</v>
      </c>
      <c r="C1292">
        <v>80</v>
      </c>
      <c r="D1292">
        <v>79.949287415000001</v>
      </c>
      <c r="E1292">
        <v>50</v>
      </c>
      <c r="F1292">
        <v>48.714233397999998</v>
      </c>
      <c r="G1292">
        <v>1386.7183838000001</v>
      </c>
      <c r="H1292">
        <v>1372.8605957</v>
      </c>
      <c r="I1292">
        <v>1287.7941894999999</v>
      </c>
      <c r="J1292">
        <v>1268.5318603999999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744.46688300000005</v>
      </c>
      <c r="B1293" s="1">
        <f>DATE(2012,5,14) + TIME(11,12,18)</f>
        <v>41043.466874999998</v>
      </c>
      <c r="C1293">
        <v>80</v>
      </c>
      <c r="D1293">
        <v>79.949241638000004</v>
      </c>
      <c r="E1293">
        <v>50</v>
      </c>
      <c r="F1293">
        <v>48.688858031999999</v>
      </c>
      <c r="G1293">
        <v>1386.6633300999999</v>
      </c>
      <c r="H1293">
        <v>1372.8232422000001</v>
      </c>
      <c r="I1293">
        <v>1287.7923584</v>
      </c>
      <c r="J1293">
        <v>1268.5281981999999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744.80842099999995</v>
      </c>
      <c r="B1294" s="1">
        <f>DATE(2012,5,14) + TIME(19,24,7)</f>
        <v>41043.80841435185</v>
      </c>
      <c r="C1294">
        <v>80</v>
      </c>
      <c r="D1294">
        <v>79.949195861999996</v>
      </c>
      <c r="E1294">
        <v>50</v>
      </c>
      <c r="F1294">
        <v>48.663261413999997</v>
      </c>
      <c r="G1294">
        <v>1386.6082764</v>
      </c>
      <c r="H1294">
        <v>1372.7855225000001</v>
      </c>
      <c r="I1294">
        <v>1287.7901611</v>
      </c>
      <c r="J1294">
        <v>1268.5240478999999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745.15481799999998</v>
      </c>
      <c r="B1295" s="1">
        <f>DATE(2012,5,15) + TIME(3,42,56)</f>
        <v>41044.154814814814</v>
      </c>
      <c r="C1295">
        <v>80</v>
      </c>
      <c r="D1295">
        <v>79.949150084999999</v>
      </c>
      <c r="E1295">
        <v>50</v>
      </c>
      <c r="F1295">
        <v>48.637413025000001</v>
      </c>
      <c r="G1295">
        <v>1386.5529785000001</v>
      </c>
      <c r="H1295">
        <v>1372.7473144999999</v>
      </c>
      <c r="I1295">
        <v>1287.7873535000001</v>
      </c>
      <c r="J1295">
        <v>1268.5192870999999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745.50686900000005</v>
      </c>
      <c r="B1296" s="1">
        <f>DATE(2012,5,15) + TIME(12,9,53)</f>
        <v>41044.506863425922</v>
      </c>
      <c r="C1296">
        <v>80</v>
      </c>
      <c r="D1296">
        <v>79.949104309000006</v>
      </c>
      <c r="E1296">
        <v>50</v>
      </c>
      <c r="F1296">
        <v>48.611278534</v>
      </c>
      <c r="G1296">
        <v>1386.4975586</v>
      </c>
      <c r="H1296">
        <v>1372.7087402</v>
      </c>
      <c r="I1296">
        <v>1287.7841797000001</v>
      </c>
      <c r="J1296">
        <v>1268.5140381000001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745.86541499999998</v>
      </c>
      <c r="B1297" s="1">
        <f>DATE(2012,5,15) + TIME(20,46,11)</f>
        <v>41044.865405092591</v>
      </c>
      <c r="C1297">
        <v>80</v>
      </c>
      <c r="D1297">
        <v>79.949058532999999</v>
      </c>
      <c r="E1297">
        <v>50</v>
      </c>
      <c r="F1297">
        <v>48.584815978999998</v>
      </c>
      <c r="G1297">
        <v>1386.4417725000001</v>
      </c>
      <c r="H1297">
        <v>1372.6695557</v>
      </c>
      <c r="I1297">
        <v>1287.7803954999999</v>
      </c>
      <c r="J1297">
        <v>1268.5083007999999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746.23134600000003</v>
      </c>
      <c r="B1298" s="1">
        <f>DATE(2012,5,16) + TIME(5,33,8)</f>
        <v>41045.231342592589</v>
      </c>
      <c r="C1298">
        <v>80</v>
      </c>
      <c r="D1298">
        <v>79.949012756000002</v>
      </c>
      <c r="E1298">
        <v>50</v>
      </c>
      <c r="F1298">
        <v>48.557971954000003</v>
      </c>
      <c r="G1298">
        <v>1386.3856201000001</v>
      </c>
      <c r="H1298">
        <v>1372.6298827999999</v>
      </c>
      <c r="I1298">
        <v>1287.7762451000001</v>
      </c>
      <c r="J1298">
        <v>1268.5019531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746.60562600000003</v>
      </c>
      <c r="B1299" s="1">
        <f>DATE(2012,5,16) + TIME(14,32,6)</f>
        <v>41045.605624999997</v>
      </c>
      <c r="C1299">
        <v>80</v>
      </c>
      <c r="D1299">
        <v>79.948974609000004</v>
      </c>
      <c r="E1299">
        <v>50</v>
      </c>
      <c r="F1299">
        <v>48.530696869000003</v>
      </c>
      <c r="G1299">
        <v>1386.3291016000001</v>
      </c>
      <c r="H1299">
        <v>1372.5897216999999</v>
      </c>
      <c r="I1299">
        <v>1287.7714844</v>
      </c>
      <c r="J1299">
        <v>1268.4949951000001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746.984058</v>
      </c>
      <c r="B1300" s="1">
        <f>DATE(2012,5,16) + TIME(23,37,2)</f>
        <v>41045.984050925923</v>
      </c>
      <c r="C1300">
        <v>80</v>
      </c>
      <c r="D1300">
        <v>79.948928832999997</v>
      </c>
      <c r="E1300">
        <v>50</v>
      </c>
      <c r="F1300">
        <v>48.503185272000003</v>
      </c>
      <c r="G1300">
        <v>1386.2720947</v>
      </c>
      <c r="H1300">
        <v>1372.5488281</v>
      </c>
      <c r="I1300">
        <v>1287.7661132999999</v>
      </c>
      <c r="J1300">
        <v>1268.4875488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747.36666200000002</v>
      </c>
      <c r="B1301" s="1">
        <f>DATE(2012,5,17) + TIME(8,47,59)</f>
        <v>41046.366655092592</v>
      </c>
      <c r="C1301">
        <v>80</v>
      </c>
      <c r="D1301">
        <v>79.948883057000003</v>
      </c>
      <c r="E1301">
        <v>50</v>
      </c>
      <c r="F1301">
        <v>48.475456238</v>
      </c>
      <c r="G1301">
        <v>1386.2152100000001</v>
      </c>
      <c r="H1301">
        <v>1372.5078125</v>
      </c>
      <c r="I1301">
        <v>1287.760376</v>
      </c>
      <c r="J1301">
        <v>1268.4796143000001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747.75409500000001</v>
      </c>
      <c r="B1302" s="1">
        <f>DATE(2012,5,17) + TIME(18,5,53)</f>
        <v>41046.75408564815</v>
      </c>
      <c r="C1302">
        <v>80</v>
      </c>
      <c r="D1302">
        <v>79.948837280000006</v>
      </c>
      <c r="E1302">
        <v>50</v>
      </c>
      <c r="F1302">
        <v>48.447502135999997</v>
      </c>
      <c r="G1302">
        <v>1386.1583252</v>
      </c>
      <c r="H1302">
        <v>1372.4666748</v>
      </c>
      <c r="I1302">
        <v>1287.7542725000001</v>
      </c>
      <c r="J1302">
        <v>1268.4711914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748.14710400000001</v>
      </c>
      <c r="B1303" s="1">
        <f>DATE(2012,5,18) + TIME(3,31,49)</f>
        <v>41047.147094907406</v>
      </c>
      <c r="C1303">
        <v>80</v>
      </c>
      <c r="D1303">
        <v>79.948791503999999</v>
      </c>
      <c r="E1303">
        <v>50</v>
      </c>
      <c r="F1303">
        <v>48.419288635000001</v>
      </c>
      <c r="G1303">
        <v>1386.1015625</v>
      </c>
      <c r="H1303">
        <v>1372.425293</v>
      </c>
      <c r="I1303">
        <v>1287.7476807</v>
      </c>
      <c r="J1303">
        <v>1268.4621582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748.54648899999995</v>
      </c>
      <c r="B1304" s="1">
        <f>DATE(2012,5,18) + TIME(13,6,56)</f>
        <v>41047.546481481484</v>
      </c>
      <c r="C1304">
        <v>80</v>
      </c>
      <c r="D1304">
        <v>79.948753357000001</v>
      </c>
      <c r="E1304">
        <v>50</v>
      </c>
      <c r="F1304">
        <v>48.390785217000001</v>
      </c>
      <c r="G1304">
        <v>1386.0447998</v>
      </c>
      <c r="H1304">
        <v>1372.3836670000001</v>
      </c>
      <c r="I1304">
        <v>1287.7406006000001</v>
      </c>
      <c r="J1304">
        <v>1268.4528809000001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748.95311700000002</v>
      </c>
      <c r="B1305" s="1">
        <f>DATE(2012,5,18) + TIME(22,52,29)</f>
        <v>41047.953113425923</v>
      </c>
      <c r="C1305">
        <v>80</v>
      </c>
      <c r="D1305">
        <v>79.948707580999994</v>
      </c>
      <c r="E1305">
        <v>50</v>
      </c>
      <c r="F1305">
        <v>48.361942290999998</v>
      </c>
      <c r="G1305">
        <v>1385.987793</v>
      </c>
      <c r="H1305">
        <v>1372.3417969</v>
      </c>
      <c r="I1305">
        <v>1287.7331543</v>
      </c>
      <c r="J1305">
        <v>1268.4429932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749.36792600000001</v>
      </c>
      <c r="B1306" s="1">
        <f>DATE(2012,5,19) + TIME(8,49,48)</f>
        <v>41048.36791666667</v>
      </c>
      <c r="C1306">
        <v>80</v>
      </c>
      <c r="D1306">
        <v>79.948669433999996</v>
      </c>
      <c r="E1306">
        <v>50</v>
      </c>
      <c r="F1306">
        <v>48.332714080999999</v>
      </c>
      <c r="G1306">
        <v>1385.9306641000001</v>
      </c>
      <c r="H1306">
        <v>1372.2994385</v>
      </c>
      <c r="I1306">
        <v>1287.7253418</v>
      </c>
      <c r="J1306">
        <v>1268.4326172000001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749.79194600000005</v>
      </c>
      <c r="B1307" s="1">
        <f>DATE(2012,5,19) + TIME(19,0,24)</f>
        <v>41048.791944444441</v>
      </c>
      <c r="C1307">
        <v>80</v>
      </c>
      <c r="D1307">
        <v>79.948631286999998</v>
      </c>
      <c r="E1307">
        <v>50</v>
      </c>
      <c r="F1307">
        <v>48.303039550999998</v>
      </c>
      <c r="G1307">
        <v>1385.8732910000001</v>
      </c>
      <c r="H1307">
        <v>1372.2567139</v>
      </c>
      <c r="I1307">
        <v>1287.7170410000001</v>
      </c>
      <c r="J1307">
        <v>1268.4216309000001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750.22631699999999</v>
      </c>
      <c r="B1308" s="1">
        <f>DATE(2012,5,20) + TIME(5,25,53)</f>
        <v>41049.226307870369</v>
      </c>
      <c r="C1308">
        <v>80</v>
      </c>
      <c r="D1308">
        <v>79.94859314</v>
      </c>
      <c r="E1308">
        <v>50</v>
      </c>
      <c r="F1308">
        <v>48.272861481</v>
      </c>
      <c r="G1308">
        <v>1385.8154297000001</v>
      </c>
      <c r="H1308">
        <v>1372.213501</v>
      </c>
      <c r="I1308">
        <v>1287.7082519999999</v>
      </c>
      <c r="J1308">
        <v>1268.4102783000001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750.67231600000002</v>
      </c>
      <c r="B1309" s="1">
        <f>DATE(2012,5,20) + TIME(16,8,8)</f>
        <v>41049.672314814816</v>
      </c>
      <c r="C1309">
        <v>80</v>
      </c>
      <c r="D1309">
        <v>79.948554993000002</v>
      </c>
      <c r="E1309">
        <v>50</v>
      </c>
      <c r="F1309">
        <v>48.242107390999998</v>
      </c>
      <c r="G1309">
        <v>1385.7570800999999</v>
      </c>
      <c r="H1309">
        <v>1372.1697998</v>
      </c>
      <c r="I1309">
        <v>1287.6989745999999</v>
      </c>
      <c r="J1309">
        <v>1268.3983154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751.13155800000004</v>
      </c>
      <c r="B1310" s="1">
        <f>DATE(2012,5,21) + TIME(3,9,26)</f>
        <v>41050.131550925929</v>
      </c>
      <c r="C1310">
        <v>80</v>
      </c>
      <c r="D1310">
        <v>79.948516846000004</v>
      </c>
      <c r="E1310">
        <v>50</v>
      </c>
      <c r="F1310">
        <v>48.210693358999997</v>
      </c>
      <c r="G1310">
        <v>1385.6979980000001</v>
      </c>
      <c r="H1310">
        <v>1372.1252440999999</v>
      </c>
      <c r="I1310">
        <v>1287.6892089999999</v>
      </c>
      <c r="J1310">
        <v>1268.3857422000001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751.60274900000002</v>
      </c>
      <c r="B1311" s="1">
        <f>DATE(2012,5,21) + TIME(14,27,57)</f>
        <v>41050.602743055555</v>
      </c>
      <c r="C1311">
        <v>80</v>
      </c>
      <c r="D1311">
        <v>79.948478699000006</v>
      </c>
      <c r="E1311">
        <v>50</v>
      </c>
      <c r="F1311">
        <v>48.178649901999997</v>
      </c>
      <c r="G1311">
        <v>1385.6383057</v>
      </c>
      <c r="H1311">
        <v>1372.0800781</v>
      </c>
      <c r="I1311">
        <v>1287.6788329999999</v>
      </c>
      <c r="J1311">
        <v>1268.3724365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752.07668899999999</v>
      </c>
      <c r="B1312" s="1">
        <f>DATE(2012,5,22) + TIME(1,50,25)</f>
        <v>41051.076678240737</v>
      </c>
      <c r="C1312">
        <v>80</v>
      </c>
      <c r="D1312">
        <v>79.948440551999994</v>
      </c>
      <c r="E1312">
        <v>50</v>
      </c>
      <c r="F1312">
        <v>48.146373748999999</v>
      </c>
      <c r="G1312">
        <v>1385.578125</v>
      </c>
      <c r="H1312">
        <v>1372.0344238</v>
      </c>
      <c r="I1312">
        <v>1287.6680908000001</v>
      </c>
      <c r="J1312">
        <v>1268.3586425999999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752.55446400000005</v>
      </c>
      <c r="B1313" s="1">
        <f>DATE(2012,5,22) + TIME(13,18,25)</f>
        <v>41051.554456018515</v>
      </c>
      <c r="C1313">
        <v>80</v>
      </c>
      <c r="D1313">
        <v>79.948402404999996</v>
      </c>
      <c r="E1313">
        <v>50</v>
      </c>
      <c r="F1313">
        <v>48.11390686</v>
      </c>
      <c r="G1313">
        <v>1385.5185547000001</v>
      </c>
      <c r="H1313">
        <v>1371.9888916</v>
      </c>
      <c r="I1313">
        <v>1287.6569824000001</v>
      </c>
      <c r="J1313">
        <v>1268.3444824000001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753.03729999999996</v>
      </c>
      <c r="B1314" s="1">
        <f>DATE(2012,5,23) + TIME(0,53,42)</f>
        <v>41052.037291666667</v>
      </c>
      <c r="C1314">
        <v>80</v>
      </c>
      <c r="D1314">
        <v>79.948364257999998</v>
      </c>
      <c r="E1314">
        <v>50</v>
      </c>
      <c r="F1314">
        <v>48.081237793</v>
      </c>
      <c r="G1314">
        <v>1385.4593506000001</v>
      </c>
      <c r="H1314">
        <v>1371.9436035000001</v>
      </c>
      <c r="I1314">
        <v>1287.6455077999999</v>
      </c>
      <c r="J1314">
        <v>1268.3299560999999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753.52618299999995</v>
      </c>
      <c r="B1315" s="1">
        <f>DATE(2012,5,23) + TIME(12,37,42)</f>
        <v>41052.526180555556</v>
      </c>
      <c r="C1315">
        <v>80</v>
      </c>
      <c r="D1315">
        <v>79.948333739999995</v>
      </c>
      <c r="E1315">
        <v>50</v>
      </c>
      <c r="F1315">
        <v>48.048347473</v>
      </c>
      <c r="G1315">
        <v>1385.4003906</v>
      </c>
      <c r="H1315">
        <v>1371.8981934000001</v>
      </c>
      <c r="I1315">
        <v>1287.6337891000001</v>
      </c>
      <c r="J1315">
        <v>1268.3150635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754.02217700000006</v>
      </c>
      <c r="B1316" s="1">
        <f>DATE(2012,5,24) + TIME(0,31,56)</f>
        <v>41053.022175925929</v>
      </c>
      <c r="C1316">
        <v>80</v>
      </c>
      <c r="D1316">
        <v>79.948303222999996</v>
      </c>
      <c r="E1316">
        <v>50</v>
      </c>
      <c r="F1316">
        <v>48.015197753999999</v>
      </c>
      <c r="G1316">
        <v>1385.3416748</v>
      </c>
      <c r="H1316">
        <v>1371.8529053</v>
      </c>
      <c r="I1316">
        <v>1287.6217041</v>
      </c>
      <c r="J1316">
        <v>1268.2996826000001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754.52645800000005</v>
      </c>
      <c r="B1317" s="1">
        <f>DATE(2012,5,24) + TIME(12,38,5)</f>
        <v>41053.526446759257</v>
      </c>
      <c r="C1317">
        <v>80</v>
      </c>
      <c r="D1317">
        <v>79.948272704999994</v>
      </c>
      <c r="E1317">
        <v>50</v>
      </c>
      <c r="F1317">
        <v>47.981735229000002</v>
      </c>
      <c r="G1317">
        <v>1385.2830810999999</v>
      </c>
      <c r="H1317">
        <v>1371.8074951000001</v>
      </c>
      <c r="I1317">
        <v>1287.6092529</v>
      </c>
      <c r="J1317">
        <v>1268.2839355000001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755.04028100000005</v>
      </c>
      <c r="B1318" s="1">
        <f>DATE(2012,5,25) + TIME(0,58,0)</f>
        <v>41054.040277777778</v>
      </c>
      <c r="C1318">
        <v>80</v>
      </c>
      <c r="D1318">
        <v>79.948242187999995</v>
      </c>
      <c r="E1318">
        <v>50</v>
      </c>
      <c r="F1318">
        <v>47.94789505</v>
      </c>
      <c r="G1318">
        <v>1385.2244873</v>
      </c>
      <c r="H1318">
        <v>1371.7618408000001</v>
      </c>
      <c r="I1318">
        <v>1287.5964355000001</v>
      </c>
      <c r="J1318">
        <v>1268.2677002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755.56499399999996</v>
      </c>
      <c r="B1319" s="1">
        <f>DATE(2012,5,25) + TIME(13,33,35)</f>
        <v>41054.564988425926</v>
      </c>
      <c r="C1319">
        <v>80</v>
      </c>
      <c r="D1319">
        <v>79.948211670000006</v>
      </c>
      <c r="E1319">
        <v>50</v>
      </c>
      <c r="F1319">
        <v>47.913612366000002</v>
      </c>
      <c r="G1319">
        <v>1385.1656493999999</v>
      </c>
      <c r="H1319">
        <v>1371.7159423999999</v>
      </c>
      <c r="I1319">
        <v>1287.5831298999999</v>
      </c>
      <c r="J1319">
        <v>1268.2508545000001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756.10205199999996</v>
      </c>
      <c r="B1320" s="1">
        <f>DATE(2012,5,26) + TIME(2,26,57)</f>
        <v>41055.102048611108</v>
      </c>
      <c r="C1320">
        <v>80</v>
      </c>
      <c r="D1320">
        <v>79.948181152000004</v>
      </c>
      <c r="E1320">
        <v>50</v>
      </c>
      <c r="F1320">
        <v>47.878810883</v>
      </c>
      <c r="G1320">
        <v>1385.1065673999999</v>
      </c>
      <c r="H1320">
        <v>1371.6696777</v>
      </c>
      <c r="I1320">
        <v>1287.5694579999999</v>
      </c>
      <c r="J1320">
        <v>1268.2335204999999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756.653052</v>
      </c>
      <c r="B1321" s="1">
        <f>DATE(2012,5,26) + TIME(15,40,23)</f>
        <v>41055.653043981481</v>
      </c>
      <c r="C1321">
        <v>80</v>
      </c>
      <c r="D1321">
        <v>79.948158264</v>
      </c>
      <c r="E1321">
        <v>50</v>
      </c>
      <c r="F1321">
        <v>47.843410491999997</v>
      </c>
      <c r="G1321">
        <v>1385.0469971</v>
      </c>
      <c r="H1321">
        <v>1371.6228027</v>
      </c>
      <c r="I1321">
        <v>1287.5552978999999</v>
      </c>
      <c r="J1321">
        <v>1268.2154541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757.21081200000003</v>
      </c>
      <c r="B1322" s="1">
        <f>DATE(2012,5,27) + TIME(5,3,34)</f>
        <v>41056.210810185185</v>
      </c>
      <c r="C1322">
        <v>80</v>
      </c>
      <c r="D1322">
        <v>79.948127747000001</v>
      </c>
      <c r="E1322">
        <v>50</v>
      </c>
      <c r="F1322">
        <v>47.80765152</v>
      </c>
      <c r="G1322">
        <v>1384.9871826000001</v>
      </c>
      <c r="H1322">
        <v>1371.5756836</v>
      </c>
      <c r="I1322">
        <v>1287.5405272999999</v>
      </c>
      <c r="J1322">
        <v>1268.1967772999999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757.77137500000003</v>
      </c>
      <c r="B1323" s="1">
        <f>DATE(2012,5,27) + TIME(18,30,46)</f>
        <v>41056.771365740744</v>
      </c>
      <c r="C1323">
        <v>80</v>
      </c>
      <c r="D1323">
        <v>79.948104857999994</v>
      </c>
      <c r="E1323">
        <v>50</v>
      </c>
      <c r="F1323">
        <v>47.771751404</v>
      </c>
      <c r="G1323">
        <v>1384.9276123</v>
      </c>
      <c r="H1323">
        <v>1371.5285644999999</v>
      </c>
      <c r="I1323">
        <v>1287.5255127</v>
      </c>
      <c r="J1323">
        <v>1268.1777344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758.33586700000001</v>
      </c>
      <c r="B1324" s="1">
        <f>DATE(2012,5,28) + TIME(8,3,38)</f>
        <v>41057.335856481484</v>
      </c>
      <c r="C1324">
        <v>80</v>
      </c>
      <c r="D1324">
        <v>79.948081970000004</v>
      </c>
      <c r="E1324">
        <v>50</v>
      </c>
      <c r="F1324">
        <v>47.735748291</v>
      </c>
      <c r="G1324">
        <v>1384.8686522999999</v>
      </c>
      <c r="H1324">
        <v>1371.4816894999999</v>
      </c>
      <c r="I1324">
        <v>1287.5101318</v>
      </c>
      <c r="J1324">
        <v>1268.1582031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758.90513299999998</v>
      </c>
      <c r="B1325" s="1">
        <f>DATE(2012,5,28) + TIME(21,43,23)</f>
        <v>41057.905127314814</v>
      </c>
      <c r="C1325">
        <v>80</v>
      </c>
      <c r="D1325">
        <v>79.948059082</v>
      </c>
      <c r="E1325">
        <v>50</v>
      </c>
      <c r="F1325">
        <v>47.699638366999999</v>
      </c>
      <c r="G1325">
        <v>1384.8100586</v>
      </c>
      <c r="H1325">
        <v>1371.4350586</v>
      </c>
      <c r="I1325">
        <v>1287.4945068</v>
      </c>
      <c r="J1325">
        <v>1268.1384277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759.48026700000003</v>
      </c>
      <c r="B1326" s="1">
        <f>DATE(2012,5,29) + TIME(11,31,35)</f>
        <v>41058.480266203704</v>
      </c>
      <c r="C1326">
        <v>80</v>
      </c>
      <c r="D1326">
        <v>79.948036193999997</v>
      </c>
      <c r="E1326">
        <v>50</v>
      </c>
      <c r="F1326">
        <v>47.663398743000002</v>
      </c>
      <c r="G1326">
        <v>1384.7520752</v>
      </c>
      <c r="H1326">
        <v>1371.3886719</v>
      </c>
      <c r="I1326">
        <v>1287.4786377</v>
      </c>
      <c r="J1326">
        <v>1268.1180420000001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760.06243099999995</v>
      </c>
      <c r="B1327" s="1">
        <f>DATE(2012,5,30) + TIME(1,29,54)</f>
        <v>41059.062430555554</v>
      </c>
      <c r="C1327">
        <v>80</v>
      </c>
      <c r="D1327">
        <v>79.948013306000007</v>
      </c>
      <c r="E1327">
        <v>50</v>
      </c>
      <c r="F1327">
        <v>47.626983643000003</v>
      </c>
      <c r="G1327">
        <v>1384.6943358999999</v>
      </c>
      <c r="H1327">
        <v>1371.3422852000001</v>
      </c>
      <c r="I1327">
        <v>1287.4624022999999</v>
      </c>
      <c r="J1327">
        <v>1268.0974120999999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760.65286800000001</v>
      </c>
      <c r="B1328" s="1">
        <f>DATE(2012,5,30) + TIME(15,40,7)</f>
        <v>41059.652858796297</v>
      </c>
      <c r="C1328">
        <v>80</v>
      </c>
      <c r="D1328">
        <v>79.947990417</v>
      </c>
      <c r="E1328">
        <v>50</v>
      </c>
      <c r="F1328">
        <v>47.590343474999997</v>
      </c>
      <c r="G1328">
        <v>1384.6367187999999</v>
      </c>
      <c r="H1328">
        <v>1371.2960204999999</v>
      </c>
      <c r="I1328">
        <v>1287.4456786999999</v>
      </c>
      <c r="J1328">
        <v>1268.0761719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761.25294699999995</v>
      </c>
      <c r="B1329" s="1">
        <f>DATE(2012,5,31) + TIME(6,4,14)</f>
        <v>41060.252939814818</v>
      </c>
      <c r="C1329">
        <v>80</v>
      </c>
      <c r="D1329">
        <v>79.947975158999995</v>
      </c>
      <c r="E1329">
        <v>50</v>
      </c>
      <c r="F1329">
        <v>47.553401946999998</v>
      </c>
      <c r="G1329">
        <v>1384.5792236</v>
      </c>
      <c r="H1329">
        <v>1371.2496338000001</v>
      </c>
      <c r="I1329">
        <v>1287.4287108999999</v>
      </c>
      <c r="J1329">
        <v>1268.0543213000001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761.86414500000001</v>
      </c>
      <c r="B1330" s="1">
        <f>DATE(2012,5,31) + TIME(20,44,22)</f>
        <v>41060.86414351852</v>
      </c>
      <c r="C1330">
        <v>80</v>
      </c>
      <c r="D1330">
        <v>79.947959900000001</v>
      </c>
      <c r="E1330">
        <v>50</v>
      </c>
      <c r="F1330">
        <v>47.516094207999998</v>
      </c>
      <c r="G1330">
        <v>1384.5217285000001</v>
      </c>
      <c r="H1330">
        <v>1371.2030029</v>
      </c>
      <c r="I1330">
        <v>1287.4112548999999</v>
      </c>
      <c r="J1330">
        <v>1268.0319824000001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762</v>
      </c>
      <c r="B1331" s="1">
        <f>DATE(2012,6,1) + TIME(0,0,0)</f>
        <v>41061</v>
      </c>
      <c r="C1331">
        <v>80</v>
      </c>
      <c r="D1331">
        <v>79.947906493999994</v>
      </c>
      <c r="E1331">
        <v>50</v>
      </c>
      <c r="F1331">
        <v>47.503692627</v>
      </c>
      <c r="G1331">
        <v>1384.4869385</v>
      </c>
      <c r="H1331">
        <v>1371.1777344</v>
      </c>
      <c r="I1331">
        <v>1287.3975829999999</v>
      </c>
      <c r="J1331">
        <v>1268.0173339999999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762.62394700000004</v>
      </c>
      <c r="B1332" s="1">
        <f>DATE(2012,6,1) + TIME(14,58,29)</f>
        <v>41061.62394675926</v>
      </c>
      <c r="C1332">
        <v>80</v>
      </c>
      <c r="D1332">
        <v>79.947937011999997</v>
      </c>
      <c r="E1332">
        <v>50</v>
      </c>
      <c r="F1332">
        <v>47.467723845999998</v>
      </c>
      <c r="G1332">
        <v>1384.4482422000001</v>
      </c>
      <c r="H1332">
        <v>1371.1429443</v>
      </c>
      <c r="I1332">
        <v>1287.3883057</v>
      </c>
      <c r="J1332">
        <v>1268.0024414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763.26593300000002</v>
      </c>
      <c r="B1333" s="1">
        <f>DATE(2012,6,2) + TIME(6,22,56)</f>
        <v>41062.265925925924</v>
      </c>
      <c r="C1333">
        <v>80</v>
      </c>
      <c r="D1333">
        <v>79.947921753000003</v>
      </c>
      <c r="E1333">
        <v>50</v>
      </c>
      <c r="F1333">
        <v>47.430366515999999</v>
      </c>
      <c r="G1333">
        <v>1384.3927002</v>
      </c>
      <c r="H1333">
        <v>1371.0979004000001</v>
      </c>
      <c r="I1333">
        <v>1287.3704834</v>
      </c>
      <c r="J1333">
        <v>1267.9792480000001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763.92207199999996</v>
      </c>
      <c r="B1334" s="1">
        <f>DATE(2012,6,2) + TIME(22,7,47)</f>
        <v>41062.922071759262</v>
      </c>
      <c r="C1334">
        <v>80</v>
      </c>
      <c r="D1334">
        <v>79.947914123999993</v>
      </c>
      <c r="E1334">
        <v>50</v>
      </c>
      <c r="F1334">
        <v>47.391979218000003</v>
      </c>
      <c r="G1334">
        <v>1384.3347168</v>
      </c>
      <c r="H1334">
        <v>1371.0505370999999</v>
      </c>
      <c r="I1334">
        <v>1287.3511963000001</v>
      </c>
      <c r="J1334">
        <v>1267.9545897999999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764.58756600000004</v>
      </c>
      <c r="B1335" s="1">
        <f>DATE(2012,6,3) + TIME(14,6,5)</f>
        <v>41063.587557870371</v>
      </c>
      <c r="C1335">
        <v>80</v>
      </c>
      <c r="D1335">
        <v>79.947898864999999</v>
      </c>
      <c r="E1335">
        <v>50</v>
      </c>
      <c r="F1335">
        <v>47.352912903000004</v>
      </c>
      <c r="G1335">
        <v>1384.2761230000001</v>
      </c>
      <c r="H1335">
        <v>1371.0025635</v>
      </c>
      <c r="I1335">
        <v>1287.3311768000001</v>
      </c>
      <c r="J1335">
        <v>1267.9288329999999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765.26419299999998</v>
      </c>
      <c r="B1336" s="1">
        <f>DATE(2012,6,4) + TIME(6,20,26)</f>
        <v>41064.264189814814</v>
      </c>
      <c r="C1336">
        <v>80</v>
      </c>
      <c r="D1336">
        <v>79.947883606000005</v>
      </c>
      <c r="E1336">
        <v>50</v>
      </c>
      <c r="F1336">
        <v>47.313285827999998</v>
      </c>
      <c r="G1336">
        <v>1384.2175293</v>
      </c>
      <c r="H1336">
        <v>1370.9543457</v>
      </c>
      <c r="I1336">
        <v>1287.3106689000001</v>
      </c>
      <c r="J1336">
        <v>1267.9023437999999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765.95374000000004</v>
      </c>
      <c r="B1337" s="1">
        <f>DATE(2012,6,4) + TIME(22,53,23)</f>
        <v>41064.953738425924</v>
      </c>
      <c r="C1337">
        <v>80</v>
      </c>
      <c r="D1337">
        <v>79.947875976999995</v>
      </c>
      <c r="E1337">
        <v>50</v>
      </c>
      <c r="F1337">
        <v>47.273117065000001</v>
      </c>
      <c r="G1337">
        <v>1384.1586914</v>
      </c>
      <c r="H1337">
        <v>1370.9058838000001</v>
      </c>
      <c r="I1337">
        <v>1287.2895507999999</v>
      </c>
      <c r="J1337">
        <v>1267.875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766.65812300000005</v>
      </c>
      <c r="B1338" s="1">
        <f>DATE(2012,6,5) + TIME(15,47,41)</f>
        <v>41065.658113425925</v>
      </c>
      <c r="C1338">
        <v>80</v>
      </c>
      <c r="D1338">
        <v>79.947860718000001</v>
      </c>
      <c r="E1338">
        <v>50</v>
      </c>
      <c r="F1338">
        <v>47.232379913000003</v>
      </c>
      <c r="G1338">
        <v>1384.0997314000001</v>
      </c>
      <c r="H1338">
        <v>1370.8570557</v>
      </c>
      <c r="I1338">
        <v>1287.2677002</v>
      </c>
      <c r="J1338">
        <v>1267.8466797000001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767.37940700000001</v>
      </c>
      <c r="B1339" s="1">
        <f>DATE(2012,6,6) + TIME(9,6,20)</f>
        <v>41066.37939814815</v>
      </c>
      <c r="C1339">
        <v>80</v>
      </c>
      <c r="D1339">
        <v>79.947853088000002</v>
      </c>
      <c r="E1339">
        <v>50</v>
      </c>
      <c r="F1339">
        <v>47.191005707000002</v>
      </c>
      <c r="G1339">
        <v>1384.0402832</v>
      </c>
      <c r="H1339">
        <v>1370.8078613</v>
      </c>
      <c r="I1339">
        <v>1287.2452393000001</v>
      </c>
      <c r="J1339">
        <v>1267.8173827999999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768.119868</v>
      </c>
      <c r="B1340" s="1">
        <f>DATE(2012,6,7) + TIME(2,52,36)</f>
        <v>41067.11986111111</v>
      </c>
      <c r="C1340">
        <v>80</v>
      </c>
      <c r="D1340">
        <v>79.947845459000007</v>
      </c>
      <c r="E1340">
        <v>50</v>
      </c>
      <c r="F1340">
        <v>47.148902892999999</v>
      </c>
      <c r="G1340">
        <v>1383.9804687999999</v>
      </c>
      <c r="H1340">
        <v>1370.7580565999999</v>
      </c>
      <c r="I1340">
        <v>1287.2219238</v>
      </c>
      <c r="J1340">
        <v>1267.7869873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768.50034500000004</v>
      </c>
      <c r="B1341" s="1">
        <f>DATE(2012,6,7) + TIME(12,0,29)</f>
        <v>41067.500335648147</v>
      </c>
      <c r="C1341">
        <v>80</v>
      </c>
      <c r="D1341">
        <v>79.947807311999995</v>
      </c>
      <c r="E1341">
        <v>50</v>
      </c>
      <c r="F1341">
        <v>47.120712279999999</v>
      </c>
      <c r="G1341">
        <v>1383.9309082</v>
      </c>
      <c r="H1341">
        <v>1370.7181396000001</v>
      </c>
      <c r="I1341">
        <v>1287.1999512</v>
      </c>
      <c r="J1341">
        <v>1267.7601318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768.88082099999997</v>
      </c>
      <c r="B1342" s="1">
        <f>DATE(2012,6,7) + TIME(21,8,22)</f>
        <v>41067.880810185183</v>
      </c>
      <c r="C1342">
        <v>80</v>
      </c>
      <c r="D1342">
        <v>79.947799683</v>
      </c>
      <c r="E1342">
        <v>50</v>
      </c>
      <c r="F1342">
        <v>47.094566344999997</v>
      </c>
      <c r="G1342">
        <v>1383.8955077999999</v>
      </c>
      <c r="H1342">
        <v>1370.6881103999999</v>
      </c>
      <c r="I1342">
        <v>1287.1860352000001</v>
      </c>
      <c r="J1342">
        <v>1267.7414550999999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769.26129800000001</v>
      </c>
      <c r="B1343" s="1">
        <f>DATE(2012,6,8) + TIME(6,16,16)</f>
        <v>41068.261296296296</v>
      </c>
      <c r="C1343">
        <v>80</v>
      </c>
      <c r="D1343">
        <v>79.947799683</v>
      </c>
      <c r="E1343">
        <v>50</v>
      </c>
      <c r="F1343">
        <v>47.069843292000002</v>
      </c>
      <c r="G1343">
        <v>1383.8634033000001</v>
      </c>
      <c r="H1343">
        <v>1370.6608887</v>
      </c>
      <c r="I1343">
        <v>1287.1730957</v>
      </c>
      <c r="J1343">
        <v>1267.723999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769.64177400000005</v>
      </c>
      <c r="B1344" s="1">
        <f>DATE(2012,6,8) + TIME(15,24,9)</f>
        <v>41068.641770833332</v>
      </c>
      <c r="C1344">
        <v>80</v>
      </c>
      <c r="D1344">
        <v>79.947799683</v>
      </c>
      <c r="E1344">
        <v>50</v>
      </c>
      <c r="F1344">
        <v>47.046112061000002</v>
      </c>
      <c r="G1344">
        <v>1383.8323975000001</v>
      </c>
      <c r="H1344">
        <v>1370.6347656</v>
      </c>
      <c r="I1344">
        <v>1287.1604004000001</v>
      </c>
      <c r="J1344">
        <v>1267.7066649999999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770.02225099999998</v>
      </c>
      <c r="B1345" s="1">
        <f>DATE(2012,6,9) + TIME(0,32,2)</f>
        <v>41069.022245370368</v>
      </c>
      <c r="C1345">
        <v>80</v>
      </c>
      <c r="D1345">
        <v>79.947799683</v>
      </c>
      <c r="E1345">
        <v>50</v>
      </c>
      <c r="F1345">
        <v>47.023090363000001</v>
      </c>
      <c r="G1345">
        <v>1383.8018798999999</v>
      </c>
      <c r="H1345">
        <v>1370.6090088000001</v>
      </c>
      <c r="I1345">
        <v>1287.1475829999999</v>
      </c>
      <c r="J1345">
        <v>1267.6894531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770.40272700000003</v>
      </c>
      <c r="B1346" s="1">
        <f>DATE(2012,6,9) + TIME(9,39,55)</f>
        <v>41069.402719907404</v>
      </c>
      <c r="C1346">
        <v>80</v>
      </c>
      <c r="D1346">
        <v>79.947799683</v>
      </c>
      <c r="E1346">
        <v>50</v>
      </c>
      <c r="F1346">
        <v>47.000568389999998</v>
      </c>
      <c r="G1346">
        <v>1383.7718506000001</v>
      </c>
      <c r="H1346">
        <v>1370.5837402</v>
      </c>
      <c r="I1346">
        <v>1287.1346435999999</v>
      </c>
      <c r="J1346">
        <v>1267.6722411999999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770.78320399999996</v>
      </c>
      <c r="B1347" s="1">
        <f>DATE(2012,6,9) + TIME(18,47,48)</f>
        <v>41069.783194444448</v>
      </c>
      <c r="C1347">
        <v>80</v>
      </c>
      <c r="D1347">
        <v>79.947799683</v>
      </c>
      <c r="E1347">
        <v>50</v>
      </c>
      <c r="F1347">
        <v>46.978420258</v>
      </c>
      <c r="G1347">
        <v>1383.7421875</v>
      </c>
      <c r="H1347">
        <v>1370.5585937999999</v>
      </c>
      <c r="I1347">
        <v>1287.121582</v>
      </c>
      <c r="J1347">
        <v>1267.6549072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771.16368</v>
      </c>
      <c r="B1348" s="1">
        <f>DATE(2012,6,10) + TIME(3,55,41)</f>
        <v>41070.163668981484</v>
      </c>
      <c r="C1348">
        <v>80</v>
      </c>
      <c r="D1348">
        <v>79.947799683</v>
      </c>
      <c r="E1348">
        <v>50</v>
      </c>
      <c r="F1348">
        <v>46.956542968999997</v>
      </c>
      <c r="G1348">
        <v>1383.7127685999999</v>
      </c>
      <c r="H1348">
        <v>1370.5336914</v>
      </c>
      <c r="I1348">
        <v>1287.1085204999999</v>
      </c>
      <c r="J1348">
        <v>1267.6374512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771.92463299999997</v>
      </c>
      <c r="B1349" s="1">
        <f>DATE(2012,6,10) + TIME(22,11,28)</f>
        <v>41070.924629629626</v>
      </c>
      <c r="C1349">
        <v>80</v>
      </c>
      <c r="D1349">
        <v>79.947830199999999</v>
      </c>
      <c r="E1349">
        <v>50</v>
      </c>
      <c r="F1349">
        <v>46.923564911</v>
      </c>
      <c r="G1349">
        <v>1383.6756591999999</v>
      </c>
      <c r="H1349">
        <v>1370.5013428</v>
      </c>
      <c r="I1349">
        <v>1287.09375</v>
      </c>
      <c r="J1349">
        <v>1267.6159668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772.68570599999998</v>
      </c>
      <c r="B1350" s="1">
        <f>DATE(2012,6,11) + TIME(16,27,24)</f>
        <v>41071.685694444444</v>
      </c>
      <c r="C1350">
        <v>80</v>
      </c>
      <c r="D1350">
        <v>79.947830199999999</v>
      </c>
      <c r="E1350">
        <v>50</v>
      </c>
      <c r="F1350">
        <v>46.886161803999997</v>
      </c>
      <c r="G1350">
        <v>1383.6220702999999</v>
      </c>
      <c r="H1350">
        <v>1370.4564209</v>
      </c>
      <c r="I1350">
        <v>1287.0681152</v>
      </c>
      <c r="J1350">
        <v>1267.5827637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773.45175600000005</v>
      </c>
      <c r="B1351" s="1">
        <f>DATE(2012,6,12) + TIME(10,50,31)</f>
        <v>41072.451747685183</v>
      </c>
      <c r="C1351">
        <v>80</v>
      </c>
      <c r="D1351">
        <v>79.947822571000003</v>
      </c>
      <c r="E1351">
        <v>50</v>
      </c>
      <c r="F1351">
        <v>46.846454620000003</v>
      </c>
      <c r="G1351">
        <v>1383.5665283000001</v>
      </c>
      <c r="H1351">
        <v>1370.4094238</v>
      </c>
      <c r="I1351">
        <v>1287.0413818</v>
      </c>
      <c r="J1351">
        <v>1267.5476074000001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774.22448299999996</v>
      </c>
      <c r="B1352" s="1">
        <f>DATE(2012,6,13) + TIME(5,23,15)</f>
        <v>41073.224479166667</v>
      </c>
      <c r="C1352">
        <v>80</v>
      </c>
      <c r="D1352">
        <v>79.947822571000003</v>
      </c>
      <c r="E1352">
        <v>50</v>
      </c>
      <c r="F1352">
        <v>46.805496216000002</v>
      </c>
      <c r="G1352">
        <v>1383.5108643000001</v>
      </c>
      <c r="H1352">
        <v>1370.3621826000001</v>
      </c>
      <c r="I1352">
        <v>1287.0139160000001</v>
      </c>
      <c r="J1352">
        <v>1267.5113524999999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775.00570300000004</v>
      </c>
      <c r="B1353" s="1">
        <f>DATE(2012,6,14) + TIME(0,8,12)</f>
        <v>41074.005694444444</v>
      </c>
      <c r="C1353">
        <v>80</v>
      </c>
      <c r="D1353">
        <v>79.947822571000003</v>
      </c>
      <c r="E1353">
        <v>50</v>
      </c>
      <c r="F1353">
        <v>46.763786316000001</v>
      </c>
      <c r="G1353">
        <v>1383.4552002</v>
      </c>
      <c r="H1353">
        <v>1370.3148193</v>
      </c>
      <c r="I1353">
        <v>1286.9859618999999</v>
      </c>
      <c r="J1353">
        <v>1267.473999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775.79732799999999</v>
      </c>
      <c r="B1354" s="1">
        <f>DATE(2012,6,14) + TIME(19,8,9)</f>
        <v>41074.797326388885</v>
      </c>
      <c r="C1354">
        <v>80</v>
      </c>
      <c r="D1354">
        <v>79.947822571000003</v>
      </c>
      <c r="E1354">
        <v>50</v>
      </c>
      <c r="F1354">
        <v>46.721538543999998</v>
      </c>
      <c r="G1354">
        <v>1383.3996582</v>
      </c>
      <c r="H1354">
        <v>1370.2673339999999</v>
      </c>
      <c r="I1354">
        <v>1286.9573975000001</v>
      </c>
      <c r="J1354">
        <v>1267.4355469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776.60141999999996</v>
      </c>
      <c r="B1355" s="1">
        <f>DATE(2012,6,15) + TIME(14,26,2)</f>
        <v>41075.601412037038</v>
      </c>
      <c r="C1355">
        <v>80</v>
      </c>
      <c r="D1355">
        <v>79.947822571000003</v>
      </c>
      <c r="E1355">
        <v>50</v>
      </c>
      <c r="F1355">
        <v>46.678813933999997</v>
      </c>
      <c r="G1355">
        <v>1383.3441161999999</v>
      </c>
      <c r="H1355">
        <v>1370.2197266000001</v>
      </c>
      <c r="I1355">
        <v>1286.9281006000001</v>
      </c>
      <c r="J1355">
        <v>1267.3959961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777.42024300000003</v>
      </c>
      <c r="B1356" s="1">
        <f>DATE(2012,6,16) + TIME(10,5,8)</f>
        <v>41076.420231481483</v>
      </c>
      <c r="C1356">
        <v>80</v>
      </c>
      <c r="D1356">
        <v>79.947830199999999</v>
      </c>
      <c r="E1356">
        <v>50</v>
      </c>
      <c r="F1356">
        <v>46.635589600000003</v>
      </c>
      <c r="G1356">
        <v>1383.2883300999999</v>
      </c>
      <c r="H1356">
        <v>1370.171875</v>
      </c>
      <c r="I1356">
        <v>1286.8978271000001</v>
      </c>
      <c r="J1356">
        <v>1267.3551024999999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778.256303</v>
      </c>
      <c r="B1357" s="1">
        <f>DATE(2012,6,17) + TIME(6,9,4)</f>
        <v>41077.256296296298</v>
      </c>
      <c r="C1357">
        <v>80</v>
      </c>
      <c r="D1357">
        <v>79.947837829999997</v>
      </c>
      <c r="E1357">
        <v>50</v>
      </c>
      <c r="F1357">
        <v>46.591796875</v>
      </c>
      <c r="G1357">
        <v>1383.2322998</v>
      </c>
      <c r="H1357">
        <v>1370.1236572</v>
      </c>
      <c r="I1357">
        <v>1286.8666992000001</v>
      </c>
      <c r="J1357">
        <v>1267.3127440999999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779.112393</v>
      </c>
      <c r="B1358" s="1">
        <f>DATE(2012,6,18) + TIME(2,41,50)</f>
        <v>41078.112384259257</v>
      </c>
      <c r="C1358">
        <v>80</v>
      </c>
      <c r="D1358">
        <v>79.947845459000007</v>
      </c>
      <c r="E1358">
        <v>50</v>
      </c>
      <c r="F1358">
        <v>46.547325133999998</v>
      </c>
      <c r="G1358">
        <v>1383.1759033000001</v>
      </c>
      <c r="H1358">
        <v>1370.0749512</v>
      </c>
      <c r="I1358">
        <v>1286.8343506000001</v>
      </c>
      <c r="J1358">
        <v>1267.2686768000001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779.99225999999999</v>
      </c>
      <c r="B1359" s="1">
        <f>DATE(2012,6,18) + TIME(23,48,51)</f>
        <v>41078.992256944446</v>
      </c>
      <c r="C1359">
        <v>80</v>
      </c>
      <c r="D1359">
        <v>79.947853088000002</v>
      </c>
      <c r="E1359">
        <v>50</v>
      </c>
      <c r="F1359">
        <v>46.502037047999998</v>
      </c>
      <c r="G1359">
        <v>1383.1188964999999</v>
      </c>
      <c r="H1359">
        <v>1370.0256348</v>
      </c>
      <c r="I1359">
        <v>1286.8009033000001</v>
      </c>
      <c r="J1359">
        <v>1267.2229004000001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780.89840700000002</v>
      </c>
      <c r="B1360" s="1">
        <f>DATE(2012,6,19) + TIME(21,33,42)</f>
        <v>41079.898402777777</v>
      </c>
      <c r="C1360">
        <v>80</v>
      </c>
      <c r="D1360">
        <v>79.947860718000001</v>
      </c>
      <c r="E1360">
        <v>50</v>
      </c>
      <c r="F1360">
        <v>46.455802917</v>
      </c>
      <c r="G1360">
        <v>1383.0611572</v>
      </c>
      <c r="H1360">
        <v>1369.9755858999999</v>
      </c>
      <c r="I1360">
        <v>1286.7659911999999</v>
      </c>
      <c r="J1360">
        <v>1267.1750488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781.82306400000004</v>
      </c>
      <c r="B1361" s="1">
        <f>DATE(2012,6,20) + TIME(19,45,12)</f>
        <v>41080.823055555556</v>
      </c>
      <c r="C1361">
        <v>80</v>
      </c>
      <c r="D1361">
        <v>79.947868346999996</v>
      </c>
      <c r="E1361">
        <v>50</v>
      </c>
      <c r="F1361">
        <v>46.408744812000002</v>
      </c>
      <c r="G1361">
        <v>1383.0026855000001</v>
      </c>
      <c r="H1361">
        <v>1369.9248047000001</v>
      </c>
      <c r="I1361">
        <v>1286.7294922000001</v>
      </c>
      <c r="J1361">
        <v>1267.125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782.76937599999997</v>
      </c>
      <c r="B1362" s="1">
        <f>DATE(2012,6,21) + TIME(18,27,54)</f>
        <v>41081.769375000003</v>
      </c>
      <c r="C1362">
        <v>80</v>
      </c>
      <c r="D1362">
        <v>79.947883606000005</v>
      </c>
      <c r="E1362">
        <v>50</v>
      </c>
      <c r="F1362">
        <v>46.360866547000001</v>
      </c>
      <c r="G1362">
        <v>1382.9437256000001</v>
      </c>
      <c r="H1362">
        <v>1369.8734131000001</v>
      </c>
      <c r="I1362">
        <v>1286.6917725000001</v>
      </c>
      <c r="J1362">
        <v>1267.072876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783.74077</v>
      </c>
      <c r="B1363" s="1">
        <f>DATE(2012,6,22) + TIME(17,46,42)</f>
        <v>41082.740763888891</v>
      </c>
      <c r="C1363">
        <v>80</v>
      </c>
      <c r="D1363">
        <v>79.947891235</v>
      </c>
      <c r="E1363">
        <v>50</v>
      </c>
      <c r="F1363">
        <v>46.312091827000003</v>
      </c>
      <c r="G1363">
        <v>1382.8842772999999</v>
      </c>
      <c r="H1363">
        <v>1369.8215332</v>
      </c>
      <c r="I1363">
        <v>1286.6525879000001</v>
      </c>
      <c r="J1363">
        <v>1267.0185547000001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784.241263</v>
      </c>
      <c r="B1364" s="1">
        <f>DATE(2012,6,23) + TIME(5,47,25)</f>
        <v>41083.241261574076</v>
      </c>
      <c r="C1364">
        <v>80</v>
      </c>
      <c r="D1364">
        <v>79.947868346999996</v>
      </c>
      <c r="E1364">
        <v>50</v>
      </c>
      <c r="F1364">
        <v>46.277839661000002</v>
      </c>
      <c r="G1364">
        <v>1382.8355713000001</v>
      </c>
      <c r="H1364">
        <v>1369.7800293</v>
      </c>
      <c r="I1364">
        <v>1286.6152344</v>
      </c>
      <c r="J1364">
        <v>1266.9693603999999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784.74175700000001</v>
      </c>
      <c r="B1365" s="1">
        <f>DATE(2012,6,23) + TIME(17,48,7)</f>
        <v>41083.741747685184</v>
      </c>
      <c r="C1365">
        <v>80</v>
      </c>
      <c r="D1365">
        <v>79.947868346999996</v>
      </c>
      <c r="E1365">
        <v>50</v>
      </c>
      <c r="F1365">
        <v>46.246929168999998</v>
      </c>
      <c r="G1365">
        <v>1382.8000488</v>
      </c>
      <c r="H1365">
        <v>1369.7484131000001</v>
      </c>
      <c r="I1365">
        <v>1286.5919189000001</v>
      </c>
      <c r="J1365">
        <v>1266.9360352000001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785.24225000000001</v>
      </c>
      <c r="B1366" s="1">
        <f>DATE(2012,6,24) + TIME(5,48,50)</f>
        <v>41084.242245370369</v>
      </c>
      <c r="C1366">
        <v>80</v>
      </c>
      <c r="D1366">
        <v>79.947883606000005</v>
      </c>
      <c r="E1366">
        <v>50</v>
      </c>
      <c r="F1366">
        <v>46.218120575</v>
      </c>
      <c r="G1366">
        <v>1382.7678223</v>
      </c>
      <c r="H1366">
        <v>1369.7199707</v>
      </c>
      <c r="I1366">
        <v>1286.5699463000001</v>
      </c>
      <c r="J1366">
        <v>1266.9044189000001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785.74274400000002</v>
      </c>
      <c r="B1367" s="1">
        <f>DATE(2012,6,24) + TIME(17,49,33)</f>
        <v>41084.742743055554</v>
      </c>
      <c r="C1367">
        <v>80</v>
      </c>
      <c r="D1367">
        <v>79.947891235</v>
      </c>
      <c r="E1367">
        <v>50</v>
      </c>
      <c r="F1367">
        <v>46.190654754999997</v>
      </c>
      <c r="G1367">
        <v>1382.7366943</v>
      </c>
      <c r="H1367">
        <v>1369.6923827999999</v>
      </c>
      <c r="I1367">
        <v>1286.5480957</v>
      </c>
      <c r="J1367">
        <v>1266.8732910000001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786.24323700000002</v>
      </c>
      <c r="B1368" s="1">
        <f>DATE(2012,6,25) + TIME(5,50,15)</f>
        <v>41085.24322916667</v>
      </c>
      <c r="C1368">
        <v>80</v>
      </c>
      <c r="D1368">
        <v>79.947906493999994</v>
      </c>
      <c r="E1368">
        <v>50</v>
      </c>
      <c r="F1368">
        <v>46.164047240999999</v>
      </c>
      <c r="G1368">
        <v>1382.7061768000001</v>
      </c>
      <c r="H1368">
        <v>1369.6654053</v>
      </c>
      <c r="I1368">
        <v>1286.5262451000001</v>
      </c>
      <c r="J1368">
        <v>1266.8421631000001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786.74373000000003</v>
      </c>
      <c r="B1369" s="1">
        <f>DATE(2012,6,25) + TIME(17,50,58)</f>
        <v>41085.743726851855</v>
      </c>
      <c r="C1369">
        <v>80</v>
      </c>
      <c r="D1369">
        <v>79.947914123999993</v>
      </c>
      <c r="E1369">
        <v>50</v>
      </c>
      <c r="F1369">
        <v>46.138000488000003</v>
      </c>
      <c r="G1369">
        <v>1382.6760254000001</v>
      </c>
      <c r="H1369">
        <v>1369.6387939000001</v>
      </c>
      <c r="I1369">
        <v>1286.5041504000001</v>
      </c>
      <c r="J1369">
        <v>1266.8107910000001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787.24422400000003</v>
      </c>
      <c r="B1370" s="1">
        <f>DATE(2012,6,26) + TIME(5,51,40)</f>
        <v>41086.244212962964</v>
      </c>
      <c r="C1370">
        <v>80</v>
      </c>
      <c r="D1370">
        <v>79.947921753000003</v>
      </c>
      <c r="E1370">
        <v>50</v>
      </c>
      <c r="F1370">
        <v>46.112331390000001</v>
      </c>
      <c r="G1370">
        <v>1382.6462402</v>
      </c>
      <c r="H1370">
        <v>1369.6124268000001</v>
      </c>
      <c r="I1370">
        <v>1286.4819336</v>
      </c>
      <c r="J1370">
        <v>1266.7794189000001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787.74471700000004</v>
      </c>
      <c r="B1371" s="1">
        <f>DATE(2012,6,26) + TIME(17,52,23)</f>
        <v>41086.744710648149</v>
      </c>
      <c r="C1371">
        <v>80</v>
      </c>
      <c r="D1371">
        <v>79.947929381999998</v>
      </c>
      <c r="E1371">
        <v>50</v>
      </c>
      <c r="F1371">
        <v>46.086921691999997</v>
      </c>
      <c r="G1371">
        <v>1382.6166992000001</v>
      </c>
      <c r="H1371">
        <v>1369.5863036999999</v>
      </c>
      <c r="I1371">
        <v>1286.4594727000001</v>
      </c>
      <c r="J1371">
        <v>1266.7476807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788.24521000000004</v>
      </c>
      <c r="B1372" s="1">
        <f>DATE(2012,6,27) + TIME(5,53,6)</f>
        <v>41087.245208333334</v>
      </c>
      <c r="C1372">
        <v>80</v>
      </c>
      <c r="D1372">
        <v>79.947944641000007</v>
      </c>
      <c r="E1372">
        <v>50</v>
      </c>
      <c r="F1372">
        <v>46.061695098999998</v>
      </c>
      <c r="G1372">
        <v>1382.5874022999999</v>
      </c>
      <c r="H1372">
        <v>1369.5603027</v>
      </c>
      <c r="I1372">
        <v>1286.4368896000001</v>
      </c>
      <c r="J1372">
        <v>1266.7156981999999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788.74570400000005</v>
      </c>
      <c r="B1373" s="1">
        <f>DATE(2012,6,27) + TIME(17,53,48)</f>
        <v>41087.745694444442</v>
      </c>
      <c r="C1373">
        <v>80</v>
      </c>
      <c r="D1373">
        <v>79.947952271000005</v>
      </c>
      <c r="E1373">
        <v>50</v>
      </c>
      <c r="F1373">
        <v>46.036609650000003</v>
      </c>
      <c r="G1373">
        <v>1382.5583495999999</v>
      </c>
      <c r="H1373">
        <v>1369.5345459</v>
      </c>
      <c r="I1373">
        <v>1286.4141846</v>
      </c>
      <c r="J1373">
        <v>1266.6835937999999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789.24619700000005</v>
      </c>
      <c r="B1374" s="1">
        <f>DATE(2012,6,28) + TIME(5,54,31)</f>
        <v>41088.246192129627</v>
      </c>
      <c r="C1374">
        <v>80</v>
      </c>
      <c r="D1374">
        <v>79.947959900000001</v>
      </c>
      <c r="E1374">
        <v>50</v>
      </c>
      <c r="F1374">
        <v>46.011627197000003</v>
      </c>
      <c r="G1374">
        <v>1382.5294189000001</v>
      </c>
      <c r="H1374">
        <v>1369.5090332</v>
      </c>
      <c r="I1374">
        <v>1286.3913574000001</v>
      </c>
      <c r="J1374">
        <v>1266.6511230000001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789.74669100000006</v>
      </c>
      <c r="B1375" s="1">
        <f>DATE(2012,6,28) + TIME(17,55,14)</f>
        <v>41088.746689814812</v>
      </c>
      <c r="C1375">
        <v>80</v>
      </c>
      <c r="D1375">
        <v>79.947967528999996</v>
      </c>
      <c r="E1375">
        <v>50</v>
      </c>
      <c r="F1375">
        <v>45.986740112</v>
      </c>
      <c r="G1375">
        <v>1382.5008545000001</v>
      </c>
      <c r="H1375">
        <v>1369.4835204999999</v>
      </c>
      <c r="I1375">
        <v>1286.3682861</v>
      </c>
      <c r="J1375">
        <v>1266.6184082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790.24718399999995</v>
      </c>
      <c r="B1376" s="1">
        <f>DATE(2012,6,29) + TIME(5,55,56)</f>
        <v>41089.247175925928</v>
      </c>
      <c r="C1376">
        <v>80</v>
      </c>
      <c r="D1376">
        <v>79.947975158999995</v>
      </c>
      <c r="E1376">
        <v>50</v>
      </c>
      <c r="F1376">
        <v>45.961929321</v>
      </c>
      <c r="G1376">
        <v>1382.4724120999999</v>
      </c>
      <c r="H1376">
        <v>1369.458374</v>
      </c>
      <c r="I1376">
        <v>1286.3450928</v>
      </c>
      <c r="J1376">
        <v>1266.5853271000001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790.74767699999995</v>
      </c>
      <c r="B1377" s="1">
        <f>DATE(2012,6,29) + TIME(17,56,39)</f>
        <v>41089.747673611113</v>
      </c>
      <c r="C1377">
        <v>80</v>
      </c>
      <c r="D1377">
        <v>79.947990417</v>
      </c>
      <c r="E1377">
        <v>50</v>
      </c>
      <c r="F1377">
        <v>45.93718338</v>
      </c>
      <c r="G1377">
        <v>1382.4442139</v>
      </c>
      <c r="H1377">
        <v>1369.4332274999999</v>
      </c>
      <c r="I1377">
        <v>1286.3217772999999</v>
      </c>
      <c r="J1377">
        <v>1266.552124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791.24817099999996</v>
      </c>
      <c r="B1378" s="1">
        <f>DATE(2012,6,30) + TIME(5,57,21)</f>
        <v>41090.248159722221</v>
      </c>
      <c r="C1378">
        <v>80</v>
      </c>
      <c r="D1378">
        <v>79.947998046999999</v>
      </c>
      <c r="E1378">
        <v>50</v>
      </c>
      <c r="F1378">
        <v>45.912506104000002</v>
      </c>
      <c r="G1378">
        <v>1382.4161377</v>
      </c>
      <c r="H1378">
        <v>1369.4082031</v>
      </c>
      <c r="I1378">
        <v>1286.2982178</v>
      </c>
      <c r="J1378">
        <v>1266.5185547000001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792</v>
      </c>
      <c r="B1379" s="1">
        <f>DATE(2012,7,1) + TIME(0,0,0)</f>
        <v>41091</v>
      </c>
      <c r="C1379">
        <v>80</v>
      </c>
      <c r="D1379">
        <v>79.948028563999998</v>
      </c>
      <c r="E1379">
        <v>50</v>
      </c>
      <c r="F1379">
        <v>45.881381988999998</v>
      </c>
      <c r="G1379">
        <v>1382.3836670000001</v>
      </c>
      <c r="H1379">
        <v>1369.3787841999999</v>
      </c>
      <c r="I1379">
        <v>1286.2729492000001</v>
      </c>
      <c r="J1379">
        <v>1266.480957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793.00098700000001</v>
      </c>
      <c r="B1380" s="1">
        <f>DATE(2012,7,2) + TIME(0,1,25)</f>
        <v>41092.000983796293</v>
      </c>
      <c r="C1380">
        <v>80</v>
      </c>
      <c r="D1380">
        <v>79.948059082</v>
      </c>
      <c r="E1380">
        <v>50</v>
      </c>
      <c r="F1380">
        <v>45.842506409000002</v>
      </c>
      <c r="G1380">
        <v>1382.3405762</v>
      </c>
      <c r="H1380">
        <v>1369.3402100000001</v>
      </c>
      <c r="I1380">
        <v>1286.2368164</v>
      </c>
      <c r="J1380">
        <v>1266.4289550999999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794.01208299999996</v>
      </c>
      <c r="B1381" s="1">
        <f>DATE(2012,7,3) + TIME(0,17,23)</f>
        <v>41093.012071759258</v>
      </c>
      <c r="C1381">
        <v>80</v>
      </c>
      <c r="D1381">
        <v>79.948081970000004</v>
      </c>
      <c r="E1381">
        <v>50</v>
      </c>
      <c r="F1381">
        <v>45.798053740999997</v>
      </c>
      <c r="G1381">
        <v>1382.2888184000001</v>
      </c>
      <c r="H1381">
        <v>1369.2941894999999</v>
      </c>
      <c r="I1381">
        <v>1286.1899414</v>
      </c>
      <c r="J1381">
        <v>1266.362793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795.03654800000004</v>
      </c>
      <c r="B1382" s="1">
        <f>DATE(2012,7,4) + TIME(0,52,37)</f>
        <v>41094.036539351851</v>
      </c>
      <c r="C1382">
        <v>80</v>
      </c>
      <c r="D1382">
        <v>79.948097228999998</v>
      </c>
      <c r="E1382">
        <v>50</v>
      </c>
      <c r="F1382">
        <v>45.750827788999999</v>
      </c>
      <c r="G1382">
        <v>1382.2354736</v>
      </c>
      <c r="H1382">
        <v>1369.246582</v>
      </c>
      <c r="I1382">
        <v>1286.1411132999999</v>
      </c>
      <c r="J1382">
        <v>1266.2932129000001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796.07313399999998</v>
      </c>
      <c r="B1383" s="1">
        <f>DATE(2012,7,5) + TIME(1,45,18)</f>
        <v>41095.073125000003</v>
      </c>
      <c r="C1383">
        <v>80</v>
      </c>
      <c r="D1383">
        <v>79.948112488000007</v>
      </c>
      <c r="E1383">
        <v>50</v>
      </c>
      <c r="F1383">
        <v>45.702110290999997</v>
      </c>
      <c r="G1383">
        <v>1382.1815185999999</v>
      </c>
      <c r="H1383">
        <v>1369.1982422000001</v>
      </c>
      <c r="I1383">
        <v>1286.0909423999999</v>
      </c>
      <c r="J1383">
        <v>1266.2208252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797.11937599999999</v>
      </c>
      <c r="B1384" s="1">
        <f>DATE(2012,7,6) + TIME(2,51,54)</f>
        <v>41096.119375000002</v>
      </c>
      <c r="C1384">
        <v>80</v>
      </c>
      <c r="D1384">
        <v>79.948135375999996</v>
      </c>
      <c r="E1384">
        <v>50</v>
      </c>
      <c r="F1384">
        <v>45.652549743999998</v>
      </c>
      <c r="G1384">
        <v>1382.1275635</v>
      </c>
      <c r="H1384">
        <v>1369.1497803</v>
      </c>
      <c r="I1384">
        <v>1286.0394286999999</v>
      </c>
      <c r="J1384">
        <v>1266.1462402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798.17816800000003</v>
      </c>
      <c r="B1385" s="1">
        <f>DATE(2012,7,7) + TIME(4,16,33)</f>
        <v>41097.178159722222</v>
      </c>
      <c r="C1385">
        <v>80</v>
      </c>
      <c r="D1385">
        <v>79.948158264</v>
      </c>
      <c r="E1385">
        <v>50</v>
      </c>
      <c r="F1385">
        <v>45.602390288999999</v>
      </c>
      <c r="G1385">
        <v>1382.0734863</v>
      </c>
      <c r="H1385">
        <v>1369.1011963000001</v>
      </c>
      <c r="I1385">
        <v>1285.9866943</v>
      </c>
      <c r="J1385">
        <v>1266.0695800999999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799.25260900000001</v>
      </c>
      <c r="B1386" s="1">
        <f>DATE(2012,7,8) + TIME(6,3,45)</f>
        <v>41098.252604166664</v>
      </c>
      <c r="C1386">
        <v>80</v>
      </c>
      <c r="D1386">
        <v>79.948188782000003</v>
      </c>
      <c r="E1386">
        <v>50</v>
      </c>
      <c r="F1386">
        <v>45.551658629999999</v>
      </c>
      <c r="G1386">
        <v>1382.0194091999999</v>
      </c>
      <c r="H1386">
        <v>1369.0524902</v>
      </c>
      <c r="I1386">
        <v>1285.9326172000001</v>
      </c>
      <c r="J1386">
        <v>1265.9906006000001</v>
      </c>
      <c r="K1386">
        <v>2400</v>
      </c>
      <c r="L1386">
        <v>0</v>
      </c>
      <c r="M1386">
        <v>0</v>
      </c>
      <c r="N1386">
        <v>2400</v>
      </c>
    </row>
    <row r="1387" spans="1:14" x14ac:dyDescent="0.25">
      <c r="A1387">
        <v>800.34607700000004</v>
      </c>
      <c r="B1387" s="1">
        <f>DATE(2012,7,9) + TIME(8,18,21)</f>
        <v>41099.346076388887</v>
      </c>
      <c r="C1387">
        <v>80</v>
      </c>
      <c r="D1387">
        <v>79.948211670000006</v>
      </c>
      <c r="E1387">
        <v>50</v>
      </c>
      <c r="F1387">
        <v>45.500282288000001</v>
      </c>
      <c r="G1387">
        <v>1381.9650879000001</v>
      </c>
      <c r="H1387">
        <v>1369.003418</v>
      </c>
      <c r="I1387">
        <v>1285.8770752</v>
      </c>
      <c r="J1387">
        <v>1265.9091797000001</v>
      </c>
      <c r="K1387">
        <v>2400</v>
      </c>
      <c r="L1387">
        <v>0</v>
      </c>
      <c r="M1387">
        <v>0</v>
      </c>
      <c r="N1387">
        <v>2400</v>
      </c>
    </row>
    <row r="1388" spans="1:14" x14ac:dyDescent="0.25">
      <c r="A1388">
        <v>801.46229700000004</v>
      </c>
      <c r="B1388" s="1">
        <f>DATE(2012,7,10) + TIME(11,5,42)</f>
        <v>41100.462291666663</v>
      </c>
      <c r="C1388">
        <v>80</v>
      </c>
      <c r="D1388">
        <v>79.948242187999995</v>
      </c>
      <c r="E1388">
        <v>50</v>
      </c>
      <c r="F1388">
        <v>45.448135376000003</v>
      </c>
      <c r="G1388">
        <v>1381.9104004000001</v>
      </c>
      <c r="H1388">
        <v>1368.9539795000001</v>
      </c>
      <c r="I1388">
        <v>1285.8198242000001</v>
      </c>
      <c r="J1388">
        <v>1265.8249512</v>
      </c>
      <c r="K1388">
        <v>2400</v>
      </c>
      <c r="L1388">
        <v>0</v>
      </c>
      <c r="M1388">
        <v>0</v>
      </c>
      <c r="N1388">
        <v>2400</v>
      </c>
    </row>
    <row r="1389" spans="1:14" x14ac:dyDescent="0.25">
      <c r="A1389">
        <v>802.60545400000001</v>
      </c>
      <c r="B1389" s="1">
        <f>DATE(2012,7,11) + TIME(14,31,51)</f>
        <v>41101.605451388888</v>
      </c>
      <c r="C1389">
        <v>80</v>
      </c>
      <c r="D1389">
        <v>79.948265075999998</v>
      </c>
      <c r="E1389">
        <v>50</v>
      </c>
      <c r="F1389">
        <v>45.395065308</v>
      </c>
      <c r="G1389">
        <v>1381.8553466999999</v>
      </c>
      <c r="H1389">
        <v>1368.9040527</v>
      </c>
      <c r="I1389">
        <v>1285.7606201000001</v>
      </c>
      <c r="J1389">
        <v>1265.7376709</v>
      </c>
      <c r="K1389">
        <v>2400</v>
      </c>
      <c r="L1389">
        <v>0</v>
      </c>
      <c r="M1389">
        <v>0</v>
      </c>
      <c r="N1389">
        <v>2400</v>
      </c>
    </row>
    <row r="1390" spans="1:14" x14ac:dyDescent="0.25">
      <c r="A1390">
        <v>803.78094099999998</v>
      </c>
      <c r="B1390" s="1">
        <f>DATE(2012,7,12) + TIME(18,44,33)</f>
        <v>41102.7809375</v>
      </c>
      <c r="C1390">
        <v>80</v>
      </c>
      <c r="D1390">
        <v>79.948295592999997</v>
      </c>
      <c r="E1390">
        <v>50</v>
      </c>
      <c r="F1390">
        <v>45.340869904000002</v>
      </c>
      <c r="G1390">
        <v>1381.7995605000001</v>
      </c>
      <c r="H1390">
        <v>1368.8532714999999</v>
      </c>
      <c r="I1390">
        <v>1285.6992187999999</v>
      </c>
      <c r="J1390">
        <v>1265.6469727000001</v>
      </c>
      <c r="K1390">
        <v>2400</v>
      </c>
      <c r="L1390">
        <v>0</v>
      </c>
      <c r="M1390">
        <v>0</v>
      </c>
      <c r="N1390">
        <v>2400</v>
      </c>
    </row>
    <row r="1391" spans="1:14" x14ac:dyDescent="0.25">
      <c r="A1391">
        <v>804.99372200000005</v>
      </c>
      <c r="B1391" s="1">
        <f>DATE(2012,7,13) + TIME(23,50,57)</f>
        <v>41103.993715277778</v>
      </c>
      <c r="C1391">
        <v>80</v>
      </c>
      <c r="D1391">
        <v>79.948333739999995</v>
      </c>
      <c r="E1391">
        <v>50</v>
      </c>
      <c r="F1391">
        <v>45.285339354999998</v>
      </c>
      <c r="G1391">
        <v>1381.7427978999999</v>
      </c>
      <c r="H1391">
        <v>1368.8017577999999</v>
      </c>
      <c r="I1391">
        <v>1285.635376</v>
      </c>
      <c r="J1391">
        <v>1265.5522461</v>
      </c>
      <c r="K1391">
        <v>2400</v>
      </c>
      <c r="L1391">
        <v>0</v>
      </c>
      <c r="M1391">
        <v>0</v>
      </c>
      <c r="N1391">
        <v>2400</v>
      </c>
    </row>
    <row r="1392" spans="1:14" x14ac:dyDescent="0.25">
      <c r="A1392">
        <v>805.60896200000002</v>
      </c>
      <c r="B1392" s="1">
        <f>DATE(2012,7,14) + TIME(14,36,54)</f>
        <v>41104.608958333331</v>
      </c>
      <c r="C1392">
        <v>80</v>
      </c>
      <c r="D1392">
        <v>79.948318481000001</v>
      </c>
      <c r="E1392">
        <v>50</v>
      </c>
      <c r="F1392">
        <v>45.244937897</v>
      </c>
      <c r="G1392">
        <v>1381.6972656</v>
      </c>
      <c r="H1392">
        <v>1368.7611084</v>
      </c>
      <c r="I1392">
        <v>1285.5740966999999</v>
      </c>
      <c r="J1392">
        <v>1265.4652100000001</v>
      </c>
      <c r="K1392">
        <v>2400</v>
      </c>
      <c r="L1392">
        <v>0</v>
      </c>
      <c r="M1392">
        <v>0</v>
      </c>
      <c r="N1392">
        <v>2400</v>
      </c>
    </row>
    <row r="1393" spans="1:14" x14ac:dyDescent="0.25">
      <c r="A1393">
        <v>806.22420199999999</v>
      </c>
      <c r="B1393" s="1">
        <f>DATE(2012,7,15) + TIME(5,22,51)</f>
        <v>41105.22420138889</v>
      </c>
      <c r="C1393">
        <v>80</v>
      </c>
      <c r="D1393">
        <v>79.948333739999995</v>
      </c>
      <c r="E1393">
        <v>50</v>
      </c>
      <c r="F1393">
        <v>45.209499358999999</v>
      </c>
      <c r="G1393">
        <v>1381.6633300999999</v>
      </c>
      <c r="H1393">
        <v>1368.7298584</v>
      </c>
      <c r="I1393">
        <v>1285.5367432</v>
      </c>
      <c r="J1393">
        <v>1265.4077147999999</v>
      </c>
      <c r="K1393">
        <v>2400</v>
      </c>
      <c r="L1393">
        <v>0</v>
      </c>
      <c r="M1393">
        <v>0</v>
      </c>
      <c r="N1393">
        <v>2400</v>
      </c>
    </row>
    <row r="1394" spans="1:14" x14ac:dyDescent="0.25">
      <c r="A1394">
        <v>806.83944299999996</v>
      </c>
      <c r="B1394" s="1">
        <f>DATE(2012,7,15) + TIME(20,8,47)</f>
        <v>41105.839432870373</v>
      </c>
      <c r="C1394">
        <v>80</v>
      </c>
      <c r="D1394">
        <v>79.948356627999999</v>
      </c>
      <c r="E1394">
        <v>50</v>
      </c>
      <c r="F1394">
        <v>45.176906586000001</v>
      </c>
      <c r="G1394">
        <v>1381.6325684000001</v>
      </c>
      <c r="H1394">
        <v>1368.7016602000001</v>
      </c>
      <c r="I1394">
        <v>1285.5014647999999</v>
      </c>
      <c r="J1394">
        <v>1265.3533935999999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808.06992400000001</v>
      </c>
      <c r="B1395" s="1">
        <f>DATE(2012,7,17) + TIME(1,40,41)</f>
        <v>41107.069918981484</v>
      </c>
      <c r="C1395">
        <v>80</v>
      </c>
      <c r="D1395">
        <v>79.948417664000004</v>
      </c>
      <c r="E1395">
        <v>50</v>
      </c>
      <c r="F1395">
        <v>45.133518219000003</v>
      </c>
      <c r="G1395">
        <v>1381.5938721</v>
      </c>
      <c r="H1395">
        <v>1368.6654053</v>
      </c>
      <c r="I1395">
        <v>1285.4624022999999</v>
      </c>
      <c r="J1395">
        <v>1265.2905272999999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809.30065999999999</v>
      </c>
      <c r="B1396" s="1">
        <f>DATE(2012,7,18) + TIME(7,12,57)</f>
        <v>41108.300659722219</v>
      </c>
      <c r="C1396">
        <v>80</v>
      </c>
      <c r="D1396">
        <v>79.948448181000003</v>
      </c>
      <c r="E1396">
        <v>50</v>
      </c>
      <c r="F1396">
        <v>45.081829071000001</v>
      </c>
      <c r="G1396">
        <v>1381.5407714999999</v>
      </c>
      <c r="H1396">
        <v>1368.6170654</v>
      </c>
      <c r="I1396">
        <v>1285.3951416</v>
      </c>
      <c r="J1396">
        <v>1265.1915283000001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809.91989699999999</v>
      </c>
      <c r="B1397" s="1">
        <f>DATE(2012,7,18) + TIME(22,4,39)</f>
        <v>41108.919895833336</v>
      </c>
      <c r="C1397">
        <v>80</v>
      </c>
      <c r="D1397">
        <v>79.948440551999994</v>
      </c>
      <c r="E1397">
        <v>50</v>
      </c>
      <c r="F1397">
        <v>45.042484283</v>
      </c>
      <c r="G1397">
        <v>1381.4974365</v>
      </c>
      <c r="H1397">
        <v>1368.5782471</v>
      </c>
      <c r="I1397">
        <v>1285.3306885</v>
      </c>
      <c r="J1397">
        <v>1265.0997314000001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810.53913299999999</v>
      </c>
      <c r="B1398" s="1">
        <f>DATE(2012,7,19) + TIME(12,56,21)</f>
        <v>41109.539131944446</v>
      </c>
      <c r="C1398">
        <v>80</v>
      </c>
      <c r="D1398">
        <v>79.948455811000002</v>
      </c>
      <c r="E1398">
        <v>50</v>
      </c>
      <c r="F1398">
        <v>45.007713318</v>
      </c>
      <c r="G1398">
        <v>1381.4648437999999</v>
      </c>
      <c r="H1398">
        <v>1368.5480957</v>
      </c>
      <c r="I1398">
        <v>1285.2917480000001</v>
      </c>
      <c r="J1398">
        <v>1265.0391846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811.15836899999999</v>
      </c>
      <c r="B1399" s="1">
        <f>DATE(2012,7,20) + TIME(3,48,3)</f>
        <v>41110.158368055556</v>
      </c>
      <c r="C1399">
        <v>80</v>
      </c>
      <c r="D1399">
        <v>79.948471068999993</v>
      </c>
      <c r="E1399">
        <v>50</v>
      </c>
      <c r="F1399">
        <v>44.975563049000002</v>
      </c>
      <c r="G1399">
        <v>1381.4353027</v>
      </c>
      <c r="H1399">
        <v>1368.5207519999999</v>
      </c>
      <c r="I1399">
        <v>1285.2548827999999</v>
      </c>
      <c r="J1399">
        <v>1264.9819336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811.77760599999999</v>
      </c>
      <c r="B1400" s="1">
        <f>DATE(2012,7,20) + TIME(18,39,45)</f>
        <v>41110.777604166666</v>
      </c>
      <c r="C1400">
        <v>80</v>
      </c>
      <c r="D1400">
        <v>79.948493958</v>
      </c>
      <c r="E1400">
        <v>50</v>
      </c>
      <c r="F1400">
        <v>44.944923400999997</v>
      </c>
      <c r="G1400">
        <v>1381.4067382999999</v>
      </c>
      <c r="H1400">
        <v>1368.4945068</v>
      </c>
      <c r="I1400">
        <v>1285.2182617000001</v>
      </c>
      <c r="J1400">
        <v>1264.9255370999999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812.39684199999999</v>
      </c>
      <c r="B1401" s="1">
        <f>DATE(2012,7,21) + TIME(9,31,27)</f>
        <v>41111.396840277775</v>
      </c>
      <c r="C1401">
        <v>80</v>
      </c>
      <c r="D1401">
        <v>79.948516846000004</v>
      </c>
      <c r="E1401">
        <v>50</v>
      </c>
      <c r="F1401">
        <v>44.915164947999997</v>
      </c>
      <c r="G1401">
        <v>1381.3787841999999</v>
      </c>
      <c r="H1401">
        <v>1368.4686279</v>
      </c>
      <c r="I1401">
        <v>1285.1816406</v>
      </c>
      <c r="J1401">
        <v>1264.8693848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813.01607899999999</v>
      </c>
      <c r="B1402" s="1">
        <f>DATE(2012,7,22) + TIME(0,23,9)</f>
        <v>41112.016076388885</v>
      </c>
      <c r="C1402">
        <v>80</v>
      </c>
      <c r="D1402">
        <v>79.948532103999995</v>
      </c>
      <c r="E1402">
        <v>50</v>
      </c>
      <c r="F1402">
        <v>44.885929107999999</v>
      </c>
      <c r="G1402">
        <v>1381.3511963000001</v>
      </c>
      <c r="H1402">
        <v>1368.4431152</v>
      </c>
      <c r="I1402">
        <v>1285.1448975000001</v>
      </c>
      <c r="J1402">
        <v>1264.8133545000001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813.63531499999999</v>
      </c>
      <c r="B1403" s="1">
        <f>DATE(2012,7,22) + TIME(15,14,51)</f>
        <v>41112.635312500002</v>
      </c>
      <c r="C1403">
        <v>80</v>
      </c>
      <c r="D1403">
        <v>79.948554993000002</v>
      </c>
      <c r="E1403">
        <v>50</v>
      </c>
      <c r="F1403">
        <v>44.857009888</v>
      </c>
      <c r="G1403">
        <v>1381.3237305</v>
      </c>
      <c r="H1403">
        <v>1368.4178466999999</v>
      </c>
      <c r="I1403">
        <v>1285.1080322</v>
      </c>
      <c r="J1403">
        <v>1264.7570800999999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814.25455199999999</v>
      </c>
      <c r="B1404" s="1">
        <f>DATE(2012,7,23) + TIME(6,6,33)</f>
        <v>41113.254548611112</v>
      </c>
      <c r="C1404">
        <v>80</v>
      </c>
      <c r="D1404">
        <v>79.948570251000007</v>
      </c>
      <c r="E1404">
        <v>50</v>
      </c>
      <c r="F1404">
        <v>44.828289032000001</v>
      </c>
      <c r="G1404">
        <v>1381.2966309000001</v>
      </c>
      <c r="H1404">
        <v>1368.3928223</v>
      </c>
      <c r="I1404">
        <v>1285.0711670000001</v>
      </c>
      <c r="J1404">
        <v>1264.7005615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814.87378799999999</v>
      </c>
      <c r="B1405" s="1">
        <f>DATE(2012,7,23) + TIME(20,58,15)</f>
        <v>41113.873784722222</v>
      </c>
      <c r="C1405">
        <v>80</v>
      </c>
      <c r="D1405">
        <v>79.94859314</v>
      </c>
      <c r="E1405">
        <v>50</v>
      </c>
      <c r="F1405">
        <v>44.799701691000003</v>
      </c>
      <c r="G1405">
        <v>1381.2696533000001</v>
      </c>
      <c r="H1405">
        <v>1368.3679199000001</v>
      </c>
      <c r="I1405">
        <v>1285.0340576000001</v>
      </c>
      <c r="J1405">
        <v>1264.6439209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815.49302499999999</v>
      </c>
      <c r="B1406" s="1">
        <f>DATE(2012,7,24) + TIME(11,49,57)</f>
        <v>41114.493020833332</v>
      </c>
      <c r="C1406">
        <v>80</v>
      </c>
      <c r="D1406">
        <v>79.948608398000005</v>
      </c>
      <c r="E1406">
        <v>50</v>
      </c>
      <c r="F1406">
        <v>44.771205901999998</v>
      </c>
      <c r="G1406">
        <v>1381.2429199000001</v>
      </c>
      <c r="H1406">
        <v>1368.3432617000001</v>
      </c>
      <c r="I1406">
        <v>1284.9968262</v>
      </c>
      <c r="J1406">
        <v>1264.5869141000001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816.11226099999999</v>
      </c>
      <c r="B1407" s="1">
        <f>DATE(2012,7,25) + TIME(2,41,39)</f>
        <v>41115.112256944441</v>
      </c>
      <c r="C1407">
        <v>80</v>
      </c>
      <c r="D1407">
        <v>79.948623656999999</v>
      </c>
      <c r="E1407">
        <v>50</v>
      </c>
      <c r="F1407">
        <v>44.742786406999997</v>
      </c>
      <c r="G1407">
        <v>1381.2163086</v>
      </c>
      <c r="H1407">
        <v>1368.3186035000001</v>
      </c>
      <c r="I1407">
        <v>1284.9594727000001</v>
      </c>
      <c r="J1407">
        <v>1264.5296631000001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816.73149799999999</v>
      </c>
      <c r="B1408" s="1">
        <f>DATE(2012,7,25) + TIME(17,33,21)</f>
        <v>41115.731493055559</v>
      </c>
      <c r="C1408">
        <v>80</v>
      </c>
      <c r="D1408">
        <v>79.948646545000003</v>
      </c>
      <c r="E1408">
        <v>50</v>
      </c>
      <c r="F1408">
        <v>44.714427948000001</v>
      </c>
      <c r="G1408">
        <v>1381.1899414</v>
      </c>
      <c r="H1408">
        <v>1368.2941894999999</v>
      </c>
      <c r="I1408">
        <v>1284.9219971</v>
      </c>
      <c r="J1408">
        <v>1264.4720459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817.35073399999999</v>
      </c>
      <c r="B1409" s="1">
        <f>DATE(2012,7,26) + TIME(8,25,3)</f>
        <v>41116.350729166668</v>
      </c>
      <c r="C1409">
        <v>80</v>
      </c>
      <c r="D1409">
        <v>79.948661803999997</v>
      </c>
      <c r="E1409">
        <v>50</v>
      </c>
      <c r="F1409">
        <v>44.686130523999999</v>
      </c>
      <c r="G1409">
        <v>1381.1636963000001</v>
      </c>
      <c r="H1409">
        <v>1368.2698975000001</v>
      </c>
      <c r="I1409">
        <v>1284.8843993999999</v>
      </c>
      <c r="J1409">
        <v>1264.4141846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818.58920699999999</v>
      </c>
      <c r="B1410" s="1">
        <f>DATE(2012,7,27) + TIME(14,8,27)</f>
        <v>41117.589201388888</v>
      </c>
      <c r="C1410">
        <v>80</v>
      </c>
      <c r="D1410">
        <v>79.948722838999998</v>
      </c>
      <c r="E1410">
        <v>50</v>
      </c>
      <c r="F1410">
        <v>44.646671294999997</v>
      </c>
      <c r="G1410">
        <v>1381.1291504000001</v>
      </c>
      <c r="H1410">
        <v>1368.2373047000001</v>
      </c>
      <c r="I1410">
        <v>1284.8425293</v>
      </c>
      <c r="J1410">
        <v>1264.3460693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819.82876499999998</v>
      </c>
      <c r="B1411" s="1">
        <f>DATE(2012,7,28) + TIME(19,53,25)</f>
        <v>41118.828761574077</v>
      </c>
      <c r="C1411">
        <v>80</v>
      </c>
      <c r="D1411">
        <v>79.948760985999996</v>
      </c>
      <c r="E1411">
        <v>50</v>
      </c>
      <c r="F1411">
        <v>44.597114562999998</v>
      </c>
      <c r="G1411">
        <v>1381.0816649999999</v>
      </c>
      <c r="H1411">
        <v>1368.1936035000001</v>
      </c>
      <c r="I1411">
        <v>1284.7698975000001</v>
      </c>
      <c r="J1411">
        <v>1264.2370605000001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821.08286799999996</v>
      </c>
      <c r="B1412" s="1">
        <f>DATE(2012,7,30) + TIME(1,59,19)</f>
        <v>41120.082858796297</v>
      </c>
      <c r="C1412">
        <v>80</v>
      </c>
      <c r="D1412">
        <v>79.948791503999999</v>
      </c>
      <c r="E1412">
        <v>50</v>
      </c>
      <c r="F1412">
        <v>44.543399811</v>
      </c>
      <c r="G1412">
        <v>1381.0318603999999</v>
      </c>
      <c r="H1412">
        <v>1368.1474608999999</v>
      </c>
      <c r="I1412">
        <v>1284.6945800999999</v>
      </c>
      <c r="J1412">
        <v>1264.121582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822.35538199999996</v>
      </c>
      <c r="B1413" s="1">
        <f>DATE(2012,7,31) + TIME(8,31,45)</f>
        <v>41121.355381944442</v>
      </c>
      <c r="C1413">
        <v>80</v>
      </c>
      <c r="D1413">
        <v>79.948829650999997</v>
      </c>
      <c r="E1413">
        <v>50</v>
      </c>
      <c r="F1413">
        <v>44.487670897999998</v>
      </c>
      <c r="G1413">
        <v>1380.9813231999999</v>
      </c>
      <c r="H1413">
        <v>1368.1005858999999</v>
      </c>
      <c r="I1413">
        <v>1284.6174315999999</v>
      </c>
      <c r="J1413">
        <v>1264.0023193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823</v>
      </c>
      <c r="B1414" s="1">
        <f>DATE(2012,8,1) + TIME(0,0,0)</f>
        <v>41122</v>
      </c>
      <c r="C1414">
        <v>80</v>
      </c>
      <c r="D1414">
        <v>79.948822020999998</v>
      </c>
      <c r="E1414">
        <v>50</v>
      </c>
      <c r="F1414">
        <v>44.446624755999999</v>
      </c>
      <c r="G1414">
        <v>1380.9416504000001</v>
      </c>
      <c r="H1414">
        <v>1368.0644531</v>
      </c>
      <c r="I1414">
        <v>1284.5444336</v>
      </c>
      <c r="J1414">
        <v>1263.8941649999999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824.29518900000005</v>
      </c>
      <c r="B1415" s="1">
        <f>DATE(2012,8,2) + TIME(7,5,4)</f>
        <v>41123.295185185183</v>
      </c>
      <c r="C1415">
        <v>80</v>
      </c>
      <c r="D1415">
        <v>79.948883057000003</v>
      </c>
      <c r="E1415">
        <v>50</v>
      </c>
      <c r="F1415">
        <v>44.397125244000001</v>
      </c>
      <c r="G1415">
        <v>1380.9014893000001</v>
      </c>
      <c r="H1415">
        <v>1368.0261230000001</v>
      </c>
      <c r="I1415">
        <v>1284.4957274999999</v>
      </c>
      <c r="J1415">
        <v>1263.8105469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825.63355100000001</v>
      </c>
      <c r="B1416" s="1">
        <f>DATE(2012,8,3) + TIME(15,12,18)</f>
        <v>41124.63354166667</v>
      </c>
      <c r="C1416">
        <v>80</v>
      </c>
      <c r="D1416">
        <v>79.948928832999997</v>
      </c>
      <c r="E1416">
        <v>50</v>
      </c>
      <c r="F1416">
        <v>44.341842651</v>
      </c>
      <c r="G1416">
        <v>1380.8519286999999</v>
      </c>
      <c r="H1416">
        <v>1367.9799805</v>
      </c>
      <c r="I1416">
        <v>1284.4162598</v>
      </c>
      <c r="J1416">
        <v>1263.6872559000001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827.00706600000001</v>
      </c>
      <c r="B1417" s="1">
        <f>DATE(2012,8,5) + TIME(0,10,10)</f>
        <v>41126.007060185184</v>
      </c>
      <c r="C1417">
        <v>80</v>
      </c>
      <c r="D1417">
        <v>79.948966979999994</v>
      </c>
      <c r="E1417">
        <v>50</v>
      </c>
      <c r="F1417">
        <v>44.283401488999999</v>
      </c>
      <c r="G1417">
        <v>1380.7998047000001</v>
      </c>
      <c r="H1417">
        <v>1367.9313964999999</v>
      </c>
      <c r="I1417">
        <v>1284.3325195</v>
      </c>
      <c r="J1417">
        <v>1263.5563964999999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828.42330300000003</v>
      </c>
      <c r="B1418" s="1">
        <f>DATE(2012,8,6) + TIME(10,9,33)</f>
        <v>41127.423298611109</v>
      </c>
      <c r="C1418">
        <v>80</v>
      </c>
      <c r="D1418">
        <v>79.949012756000002</v>
      </c>
      <c r="E1418">
        <v>50</v>
      </c>
      <c r="F1418">
        <v>44.222869873</v>
      </c>
      <c r="G1418">
        <v>1380.7464600000001</v>
      </c>
      <c r="H1418">
        <v>1367.8815918</v>
      </c>
      <c r="I1418">
        <v>1284.2458495999999</v>
      </c>
      <c r="J1418">
        <v>1263.4200439000001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829.85605099999998</v>
      </c>
      <c r="B1419" s="1">
        <f>DATE(2012,8,7) + TIME(20,32,42)</f>
        <v>41128.856041666666</v>
      </c>
      <c r="C1419">
        <v>80</v>
      </c>
      <c r="D1419">
        <v>79.949058532999999</v>
      </c>
      <c r="E1419">
        <v>50</v>
      </c>
      <c r="F1419">
        <v>44.161014557000001</v>
      </c>
      <c r="G1419">
        <v>1380.6922606999999</v>
      </c>
      <c r="H1419">
        <v>1367.8308105000001</v>
      </c>
      <c r="I1419">
        <v>1284.1561279</v>
      </c>
      <c r="J1419">
        <v>1263.2786865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831.30595100000005</v>
      </c>
      <c r="B1420" s="1">
        <f>DATE(2012,8,9) + TIME(7,20,34)</f>
        <v>41130.305949074071</v>
      </c>
      <c r="C1420">
        <v>80</v>
      </c>
      <c r="D1420">
        <v>79.949104309000006</v>
      </c>
      <c r="E1420">
        <v>50</v>
      </c>
      <c r="F1420">
        <v>44.098468781000001</v>
      </c>
      <c r="G1420">
        <v>1380.6378173999999</v>
      </c>
      <c r="H1420">
        <v>1367.7797852000001</v>
      </c>
      <c r="I1420">
        <v>1284.0650635</v>
      </c>
      <c r="J1420">
        <v>1263.1342772999999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832.77773300000001</v>
      </c>
      <c r="B1421" s="1">
        <f>DATE(2012,8,10) + TIME(18,39,56)</f>
        <v>41131.777731481481</v>
      </c>
      <c r="C1421">
        <v>80</v>
      </c>
      <c r="D1421">
        <v>79.949150084999999</v>
      </c>
      <c r="E1421">
        <v>50</v>
      </c>
      <c r="F1421">
        <v>44.035434723000002</v>
      </c>
      <c r="G1421">
        <v>1380.5831298999999</v>
      </c>
      <c r="H1421">
        <v>1367.7285156</v>
      </c>
      <c r="I1421">
        <v>1283.9725341999999</v>
      </c>
      <c r="J1421">
        <v>1262.9870605000001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833.52112699999998</v>
      </c>
      <c r="B1422" s="1">
        <f>DATE(2012,8,11) + TIME(12,30,25)</f>
        <v>41132.521122685182</v>
      </c>
      <c r="C1422">
        <v>80</v>
      </c>
      <c r="D1422">
        <v>79.949150084999999</v>
      </c>
      <c r="E1422">
        <v>50</v>
      </c>
      <c r="F1422">
        <v>43.988521575999997</v>
      </c>
      <c r="G1422">
        <v>1380.5404053</v>
      </c>
      <c r="H1422">
        <v>1367.6890868999999</v>
      </c>
      <c r="I1422">
        <v>1283.8851318</v>
      </c>
      <c r="J1422">
        <v>1262.8537598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834.26451999999995</v>
      </c>
      <c r="B1423" s="1">
        <f>DATE(2012,8,12) + TIME(6,20,54)</f>
        <v>41133.264513888891</v>
      </c>
      <c r="C1423">
        <v>80</v>
      </c>
      <c r="D1423">
        <v>79.949172974000007</v>
      </c>
      <c r="E1423">
        <v>50</v>
      </c>
      <c r="F1423">
        <v>43.948944091999998</v>
      </c>
      <c r="G1423">
        <v>1380.5078125</v>
      </c>
      <c r="H1423">
        <v>1367.6582031</v>
      </c>
      <c r="I1423">
        <v>1283.8332519999999</v>
      </c>
      <c r="J1423">
        <v>1262.7673339999999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835.00791400000003</v>
      </c>
      <c r="B1424" s="1">
        <f>DATE(2012,8,13) + TIME(0,11,23)</f>
        <v>41134.007905092592</v>
      </c>
      <c r="C1424">
        <v>80</v>
      </c>
      <c r="D1424">
        <v>79.949195861999996</v>
      </c>
      <c r="E1424">
        <v>50</v>
      </c>
      <c r="F1424">
        <v>43.913265228</v>
      </c>
      <c r="G1424">
        <v>1380.4782714999999</v>
      </c>
      <c r="H1424">
        <v>1367.630249</v>
      </c>
      <c r="I1424">
        <v>1283.7840576000001</v>
      </c>
      <c r="J1424">
        <v>1262.6861572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835.751307</v>
      </c>
      <c r="B1425" s="1">
        <f>DATE(2012,8,13) + TIME(18,1,52)</f>
        <v>41134.751296296294</v>
      </c>
      <c r="C1425">
        <v>80</v>
      </c>
      <c r="D1425">
        <v>79.949226378999995</v>
      </c>
      <c r="E1425">
        <v>50</v>
      </c>
      <c r="F1425">
        <v>43.879703522</v>
      </c>
      <c r="G1425">
        <v>1380.449707</v>
      </c>
      <c r="H1425">
        <v>1367.6033935999999</v>
      </c>
      <c r="I1425">
        <v>1283.7357178</v>
      </c>
      <c r="J1425">
        <v>1262.6070557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837.23809400000005</v>
      </c>
      <c r="B1426" s="1">
        <f>DATE(2012,8,15) + TIME(5,42,51)</f>
        <v>41136.23809027778</v>
      </c>
      <c r="C1426">
        <v>80</v>
      </c>
      <c r="D1426">
        <v>79.949302673000005</v>
      </c>
      <c r="E1426">
        <v>50</v>
      </c>
      <c r="F1426">
        <v>43.836002350000001</v>
      </c>
      <c r="G1426">
        <v>1380.4124756000001</v>
      </c>
      <c r="H1426">
        <v>1367.567749</v>
      </c>
      <c r="I1426">
        <v>1283.6824951000001</v>
      </c>
      <c r="J1426">
        <v>1262.5163574000001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838.72592199999997</v>
      </c>
      <c r="B1427" s="1">
        <f>DATE(2012,8,16) + TIME(17,25,19)</f>
        <v>41137.725914351853</v>
      </c>
      <c r="C1427">
        <v>80</v>
      </c>
      <c r="D1427">
        <v>79.949348450000002</v>
      </c>
      <c r="E1427">
        <v>50</v>
      </c>
      <c r="F1427">
        <v>43.780685425000001</v>
      </c>
      <c r="G1427">
        <v>1380.3625488</v>
      </c>
      <c r="H1427">
        <v>1367.520874</v>
      </c>
      <c r="I1427">
        <v>1283.5909423999999</v>
      </c>
      <c r="J1427">
        <v>1262.3721923999999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840.22577200000001</v>
      </c>
      <c r="B1428" s="1">
        <f>DATE(2012,8,18) + TIME(5,25,6)</f>
        <v>41139.225763888891</v>
      </c>
      <c r="C1428">
        <v>80</v>
      </c>
      <c r="D1428">
        <v>79.949386597</v>
      </c>
      <c r="E1428">
        <v>50</v>
      </c>
      <c r="F1428">
        <v>43.721710205000001</v>
      </c>
      <c r="G1428">
        <v>1380.3104248</v>
      </c>
      <c r="H1428">
        <v>1367.4716797000001</v>
      </c>
      <c r="I1428">
        <v>1283.4969481999999</v>
      </c>
      <c r="J1428">
        <v>1262.2211914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841.74200199999996</v>
      </c>
      <c r="B1429" s="1">
        <f>DATE(2012,8,19) + TIME(17,48,28)</f>
        <v>41140.741990740738</v>
      </c>
      <c r="C1429">
        <v>80</v>
      </c>
      <c r="D1429">
        <v>79.949440002000003</v>
      </c>
      <c r="E1429">
        <v>50</v>
      </c>
      <c r="F1429">
        <v>43.661773682000003</v>
      </c>
      <c r="G1429">
        <v>1380.2575684000001</v>
      </c>
      <c r="H1429">
        <v>1367.421875</v>
      </c>
      <c r="I1429">
        <v>1283.4018555</v>
      </c>
      <c r="J1429">
        <v>1262.0667725000001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843.27955399999996</v>
      </c>
      <c r="B1430" s="1">
        <f>DATE(2012,8,21) + TIME(6,42,33)</f>
        <v>41142.279548611114</v>
      </c>
      <c r="C1430">
        <v>80</v>
      </c>
      <c r="D1430">
        <v>79.949485779</v>
      </c>
      <c r="E1430">
        <v>50</v>
      </c>
      <c r="F1430">
        <v>43.601840973000002</v>
      </c>
      <c r="G1430">
        <v>1380.2044678</v>
      </c>
      <c r="H1430">
        <v>1367.371582</v>
      </c>
      <c r="I1430">
        <v>1283.3057861</v>
      </c>
      <c r="J1430">
        <v>1261.9100341999999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844.843658</v>
      </c>
      <c r="B1431" s="1">
        <f>DATE(2012,8,22) + TIME(20,14,52)</f>
        <v>41143.843657407408</v>
      </c>
      <c r="C1431">
        <v>80</v>
      </c>
      <c r="D1431">
        <v>79.949539185000006</v>
      </c>
      <c r="E1431">
        <v>50</v>
      </c>
      <c r="F1431">
        <v>43.542251587000003</v>
      </c>
      <c r="G1431">
        <v>1380.1508789</v>
      </c>
      <c r="H1431">
        <v>1367.3209228999999</v>
      </c>
      <c r="I1431">
        <v>1283.2087402</v>
      </c>
      <c r="J1431">
        <v>1261.7508545000001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845.638869</v>
      </c>
      <c r="B1432" s="1">
        <f>DATE(2012,8,23) + TIME(15,19,58)</f>
        <v>41144.638865740744</v>
      </c>
      <c r="C1432">
        <v>80</v>
      </c>
      <c r="D1432">
        <v>79.949539185000006</v>
      </c>
      <c r="E1432">
        <v>50</v>
      </c>
      <c r="F1432">
        <v>43.497970580999997</v>
      </c>
      <c r="G1432">
        <v>1380.1092529</v>
      </c>
      <c r="H1432">
        <v>1367.2819824000001</v>
      </c>
      <c r="I1432">
        <v>1283.1175536999999</v>
      </c>
      <c r="J1432">
        <v>1261.6071777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846.43407999999999</v>
      </c>
      <c r="B1433" s="1">
        <f>DATE(2012,8,24) + TIME(10,25,4)</f>
        <v>41145.434074074074</v>
      </c>
      <c r="C1433">
        <v>80</v>
      </c>
      <c r="D1433">
        <v>79.949562072999996</v>
      </c>
      <c r="E1433">
        <v>50</v>
      </c>
      <c r="F1433">
        <v>43.461509704999997</v>
      </c>
      <c r="G1433">
        <v>1380.0769043</v>
      </c>
      <c r="H1433">
        <v>1367.2512207</v>
      </c>
      <c r="I1433">
        <v>1283.0635986</v>
      </c>
      <c r="J1433">
        <v>1261.5142822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847.22929099999999</v>
      </c>
      <c r="B1434" s="1">
        <f>DATE(2012,8,25) + TIME(5,30,10)</f>
        <v>41146.22928240741</v>
      </c>
      <c r="C1434">
        <v>80</v>
      </c>
      <c r="D1434">
        <v>79.949592589999995</v>
      </c>
      <c r="E1434">
        <v>50</v>
      </c>
      <c r="F1434">
        <v>43.429237366000002</v>
      </c>
      <c r="G1434">
        <v>1380.0476074000001</v>
      </c>
      <c r="H1434">
        <v>1367.2231445</v>
      </c>
      <c r="I1434">
        <v>1283.0125731999999</v>
      </c>
      <c r="J1434">
        <v>1261.4274902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848.02450199999998</v>
      </c>
      <c r="B1435" s="1">
        <f>DATE(2012,8,26) + TIME(0,35,16)</f>
        <v>41147.02449074074</v>
      </c>
      <c r="C1435">
        <v>80</v>
      </c>
      <c r="D1435">
        <v>79.949623107999997</v>
      </c>
      <c r="E1435">
        <v>50</v>
      </c>
      <c r="F1435">
        <v>43.399360657000003</v>
      </c>
      <c r="G1435">
        <v>1380.0192870999999</v>
      </c>
      <c r="H1435">
        <v>1367.1962891000001</v>
      </c>
      <c r="I1435">
        <v>1282.9626464999999</v>
      </c>
      <c r="J1435">
        <v>1261.3432617000001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848.81971299999998</v>
      </c>
      <c r="B1436" s="1">
        <f>DATE(2012,8,26) + TIME(19,40,23)</f>
        <v>41147.819710648146</v>
      </c>
      <c r="C1436">
        <v>80</v>
      </c>
      <c r="D1436">
        <v>79.949653624999996</v>
      </c>
      <c r="E1436">
        <v>50</v>
      </c>
      <c r="F1436">
        <v>43.370994568</v>
      </c>
      <c r="G1436">
        <v>1379.9915771000001</v>
      </c>
      <c r="H1436">
        <v>1367.1699219</v>
      </c>
      <c r="I1436">
        <v>1282.9132079999999</v>
      </c>
      <c r="J1436">
        <v>1261.260376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849.61492399999997</v>
      </c>
      <c r="B1437" s="1">
        <f>DATE(2012,8,27) + TIME(14,45,29)</f>
        <v>41148.614918981482</v>
      </c>
      <c r="C1437">
        <v>80</v>
      </c>
      <c r="D1437">
        <v>79.949684142999999</v>
      </c>
      <c r="E1437">
        <v>50</v>
      </c>
      <c r="F1437">
        <v>43.343723296999997</v>
      </c>
      <c r="G1437">
        <v>1379.9642334</v>
      </c>
      <c r="H1437">
        <v>1367.1439209</v>
      </c>
      <c r="I1437">
        <v>1282.8641356999999</v>
      </c>
      <c r="J1437">
        <v>1261.1784668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850.41013499999997</v>
      </c>
      <c r="B1438" s="1">
        <f>DATE(2012,8,28) + TIME(9,50,35)</f>
        <v>41149.410127314812</v>
      </c>
      <c r="C1438">
        <v>80</v>
      </c>
      <c r="D1438">
        <v>79.949707031000003</v>
      </c>
      <c r="E1438">
        <v>50</v>
      </c>
      <c r="F1438">
        <v>43.317356109999999</v>
      </c>
      <c r="G1438">
        <v>1379.9372559000001</v>
      </c>
      <c r="H1438">
        <v>1367.1181641000001</v>
      </c>
      <c r="I1438">
        <v>1282.8155518000001</v>
      </c>
      <c r="J1438">
        <v>1261.0970459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851.20534599999996</v>
      </c>
      <c r="B1439" s="1">
        <f>DATE(2012,8,29) + TIME(4,55,41)</f>
        <v>41150.205335648148</v>
      </c>
      <c r="C1439">
        <v>80</v>
      </c>
      <c r="D1439">
        <v>79.949737549000005</v>
      </c>
      <c r="E1439">
        <v>50</v>
      </c>
      <c r="F1439">
        <v>43.291820526000002</v>
      </c>
      <c r="G1439">
        <v>1379.9104004000001</v>
      </c>
      <c r="H1439">
        <v>1367.0925293</v>
      </c>
      <c r="I1439">
        <v>1282.7673339999999</v>
      </c>
      <c r="J1439">
        <v>1261.0162353999999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852.00055699999996</v>
      </c>
      <c r="B1440" s="1">
        <f>DATE(2012,8,30) + TIME(0,0,48)</f>
        <v>41151.000555555554</v>
      </c>
      <c r="C1440">
        <v>80</v>
      </c>
      <c r="D1440">
        <v>79.949760436999995</v>
      </c>
      <c r="E1440">
        <v>50</v>
      </c>
      <c r="F1440">
        <v>43.267108917000002</v>
      </c>
      <c r="G1440">
        <v>1379.8836670000001</v>
      </c>
      <c r="H1440">
        <v>1367.0671387</v>
      </c>
      <c r="I1440">
        <v>1282.7193603999999</v>
      </c>
      <c r="J1440">
        <v>1260.9357910000001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852.79576799999995</v>
      </c>
      <c r="B1441" s="1">
        <f>DATE(2012,8,30) + TIME(19,5,54)</f>
        <v>41151.795763888891</v>
      </c>
      <c r="C1441">
        <v>80</v>
      </c>
      <c r="D1441">
        <v>79.949790954999997</v>
      </c>
      <c r="E1441">
        <v>50</v>
      </c>
      <c r="F1441">
        <v>43.243228911999999</v>
      </c>
      <c r="G1441">
        <v>1379.8571777</v>
      </c>
      <c r="H1441">
        <v>1367.0418701000001</v>
      </c>
      <c r="I1441">
        <v>1282.6717529</v>
      </c>
      <c r="J1441">
        <v>1260.8557129000001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854</v>
      </c>
      <c r="B1442" s="1">
        <f>DATE(2012,9,1) + TIME(0,0,0)</f>
        <v>41153</v>
      </c>
      <c r="C1442">
        <v>80</v>
      </c>
      <c r="D1442">
        <v>79.949836731000005</v>
      </c>
      <c r="E1442">
        <v>50</v>
      </c>
      <c r="F1442">
        <v>43.21554184</v>
      </c>
      <c r="G1442">
        <v>1379.8254394999999</v>
      </c>
      <c r="H1442">
        <v>1367.0114745999999</v>
      </c>
      <c r="I1442">
        <v>1282.621582</v>
      </c>
      <c r="J1442">
        <v>1260.7686768000001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855.59042199999999</v>
      </c>
      <c r="B1443" s="1">
        <f>DATE(2012,9,2) + TIME(14,10,12)</f>
        <v>41154.590416666666</v>
      </c>
      <c r="C1443">
        <v>80</v>
      </c>
      <c r="D1443">
        <v>79.949897766000007</v>
      </c>
      <c r="E1443">
        <v>50</v>
      </c>
      <c r="F1443">
        <v>43.181995391999997</v>
      </c>
      <c r="G1443">
        <v>1379.7843018000001</v>
      </c>
      <c r="H1443">
        <v>1366.9720459</v>
      </c>
      <c r="I1443">
        <v>1282.5505370999999</v>
      </c>
      <c r="J1443">
        <v>1260.6490478999999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857.18357900000001</v>
      </c>
      <c r="B1444" s="1">
        <f>DATE(2012,9,4) + TIME(4,24,21)</f>
        <v>41156.183576388888</v>
      </c>
      <c r="C1444">
        <v>80</v>
      </c>
      <c r="D1444">
        <v>79.949943542</v>
      </c>
      <c r="E1444">
        <v>50</v>
      </c>
      <c r="F1444">
        <v>43.144611359000002</v>
      </c>
      <c r="G1444">
        <v>1379.7357178</v>
      </c>
      <c r="H1444">
        <v>1366.9259033000001</v>
      </c>
      <c r="I1444">
        <v>1282.4609375</v>
      </c>
      <c r="J1444">
        <v>1260.4997559000001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858.79694400000005</v>
      </c>
      <c r="B1445" s="1">
        <f>DATE(2012,9,5) + TIME(19,7,35)</f>
        <v>41157.796932870369</v>
      </c>
      <c r="C1445">
        <v>80</v>
      </c>
      <c r="D1445">
        <v>79.949996948000006</v>
      </c>
      <c r="E1445">
        <v>50</v>
      </c>
      <c r="F1445">
        <v>43.108692169000001</v>
      </c>
      <c r="G1445">
        <v>1379.6854248</v>
      </c>
      <c r="H1445">
        <v>1366.8779297000001</v>
      </c>
      <c r="I1445">
        <v>1282.3708495999999</v>
      </c>
      <c r="J1445">
        <v>1260.347168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860.43603700000006</v>
      </c>
      <c r="B1446" s="1">
        <f>DATE(2012,9,7) + TIME(10,27,53)</f>
        <v>41159.436030092591</v>
      </c>
      <c r="C1446">
        <v>80</v>
      </c>
      <c r="D1446">
        <v>79.950050353999998</v>
      </c>
      <c r="E1446">
        <v>50</v>
      </c>
      <c r="F1446">
        <v>43.076248169000003</v>
      </c>
      <c r="G1446">
        <v>1379.6342772999999</v>
      </c>
      <c r="H1446">
        <v>1366.8291016000001</v>
      </c>
      <c r="I1446">
        <v>1282.2808838000001</v>
      </c>
      <c r="J1446">
        <v>1260.1934814000001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862.10684200000003</v>
      </c>
      <c r="B1447" s="1">
        <f>DATE(2012,9,9) + TIME(2,33,51)</f>
        <v>41161.106840277775</v>
      </c>
      <c r="C1447">
        <v>80</v>
      </c>
      <c r="D1447">
        <v>79.950103760000005</v>
      </c>
      <c r="E1447">
        <v>50</v>
      </c>
      <c r="F1447">
        <v>43.048362732000001</v>
      </c>
      <c r="G1447">
        <v>1379.5825195</v>
      </c>
      <c r="H1447">
        <v>1366.7794189000001</v>
      </c>
      <c r="I1447">
        <v>1282.1911620999999</v>
      </c>
      <c r="J1447">
        <v>1260.0393065999999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863.81591300000002</v>
      </c>
      <c r="B1448" s="1">
        <f>DATE(2012,9,10) + TIME(19,34,54)</f>
        <v>41162.81590277778</v>
      </c>
      <c r="C1448">
        <v>80</v>
      </c>
      <c r="D1448">
        <v>79.950157165999997</v>
      </c>
      <c r="E1448">
        <v>50</v>
      </c>
      <c r="F1448">
        <v>43.025928497000002</v>
      </c>
      <c r="G1448">
        <v>1379.5299072</v>
      </c>
      <c r="H1448">
        <v>1366.729126</v>
      </c>
      <c r="I1448">
        <v>1282.1018065999999</v>
      </c>
      <c r="J1448">
        <v>1259.8850098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865.57053399999995</v>
      </c>
      <c r="B1449" s="1">
        <f>DATE(2012,9,12) + TIME(13,41,34)</f>
        <v>41164.570532407408</v>
      </c>
      <c r="C1449">
        <v>80</v>
      </c>
      <c r="D1449">
        <v>79.950218200999998</v>
      </c>
      <c r="E1449">
        <v>50</v>
      </c>
      <c r="F1449">
        <v>43.009883881</v>
      </c>
      <c r="G1449">
        <v>1379.4764404</v>
      </c>
      <c r="H1449">
        <v>1366.6778564000001</v>
      </c>
      <c r="I1449">
        <v>1282.0125731999999</v>
      </c>
      <c r="J1449">
        <v>1259.7303466999999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867.37893499999996</v>
      </c>
      <c r="B1450" s="1">
        <f>DATE(2012,9,14) + TIME(9,5,39)</f>
        <v>41166.378923611112</v>
      </c>
      <c r="C1450">
        <v>80</v>
      </c>
      <c r="D1450">
        <v>79.950271606000001</v>
      </c>
      <c r="E1450">
        <v>50</v>
      </c>
      <c r="F1450">
        <v>43.001358031999999</v>
      </c>
      <c r="G1450">
        <v>1379.421875</v>
      </c>
      <c r="H1450">
        <v>1366.6254882999999</v>
      </c>
      <c r="I1450">
        <v>1281.9234618999999</v>
      </c>
      <c r="J1450">
        <v>1259.5754394999999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869.251487</v>
      </c>
      <c r="B1451" s="1">
        <f>DATE(2012,9,16) + TIME(6,2,8)</f>
        <v>41168.251481481479</v>
      </c>
      <c r="C1451">
        <v>80</v>
      </c>
      <c r="D1451">
        <v>79.950340271000002</v>
      </c>
      <c r="E1451">
        <v>50</v>
      </c>
      <c r="F1451">
        <v>43.001716614000003</v>
      </c>
      <c r="G1451">
        <v>1379.3660889</v>
      </c>
      <c r="H1451">
        <v>1366.5718993999999</v>
      </c>
      <c r="I1451">
        <v>1281.8344727000001</v>
      </c>
      <c r="J1451">
        <v>1259.4200439000001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870.19944899999996</v>
      </c>
      <c r="B1452" s="1">
        <f>DATE(2012,9,17) + TIME(4,47,12)</f>
        <v>41169.199444444443</v>
      </c>
      <c r="C1452">
        <v>80</v>
      </c>
      <c r="D1452">
        <v>79.950347899999997</v>
      </c>
      <c r="E1452">
        <v>50</v>
      </c>
      <c r="F1452">
        <v>43.010196686</v>
      </c>
      <c r="G1452">
        <v>1379.3226318</v>
      </c>
      <c r="H1452">
        <v>1366.5307617000001</v>
      </c>
      <c r="I1452">
        <v>1281.7541504000001</v>
      </c>
      <c r="J1452">
        <v>1259.2814940999999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871.14741000000004</v>
      </c>
      <c r="B1453" s="1">
        <f>DATE(2012,9,18) + TIME(3,32,16)</f>
        <v>41170.147407407407</v>
      </c>
      <c r="C1453">
        <v>80</v>
      </c>
      <c r="D1453">
        <v>79.950378418</v>
      </c>
      <c r="E1453">
        <v>50</v>
      </c>
      <c r="F1453">
        <v>43.021537780999999</v>
      </c>
      <c r="G1453">
        <v>1379.2884521000001</v>
      </c>
      <c r="H1453">
        <v>1366.4976807</v>
      </c>
      <c r="I1453">
        <v>1281.7062988</v>
      </c>
      <c r="J1453">
        <v>1259.1951904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872.095372</v>
      </c>
      <c r="B1454" s="1">
        <f>DATE(2012,9,19) + TIME(2,17,20)</f>
        <v>41171.095370370371</v>
      </c>
      <c r="C1454">
        <v>80</v>
      </c>
      <c r="D1454">
        <v>79.950408936000002</v>
      </c>
      <c r="E1454">
        <v>50</v>
      </c>
      <c r="F1454">
        <v>43.035980225000003</v>
      </c>
      <c r="G1454">
        <v>1379.2573242000001</v>
      </c>
      <c r="H1454">
        <v>1366.4676514</v>
      </c>
      <c r="I1454">
        <v>1281.6619873</v>
      </c>
      <c r="J1454">
        <v>1259.1159668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873.04333299999996</v>
      </c>
      <c r="B1455" s="1">
        <f>DATE(2012,9,20) + TIME(1,2,23)</f>
        <v>41172.043321759258</v>
      </c>
      <c r="C1455">
        <v>80</v>
      </c>
      <c r="D1455">
        <v>79.950447083</v>
      </c>
      <c r="E1455">
        <v>50</v>
      </c>
      <c r="F1455">
        <v>43.053680419999999</v>
      </c>
      <c r="G1455">
        <v>1379.2272949000001</v>
      </c>
      <c r="H1455">
        <v>1366.4387207</v>
      </c>
      <c r="I1455">
        <v>1281.6193848</v>
      </c>
      <c r="J1455">
        <v>1259.0406493999999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873.99129500000004</v>
      </c>
      <c r="B1456" s="1">
        <f>DATE(2012,9,20) + TIME(23,47,27)</f>
        <v>41172.991284722222</v>
      </c>
      <c r="C1456">
        <v>80</v>
      </c>
      <c r="D1456">
        <v>79.950477599999999</v>
      </c>
      <c r="E1456">
        <v>50</v>
      </c>
      <c r="F1456">
        <v>43.074752808</v>
      </c>
      <c r="G1456">
        <v>1379.1979980000001</v>
      </c>
      <c r="H1456">
        <v>1366.4105225000001</v>
      </c>
      <c r="I1456">
        <v>1281.5782471</v>
      </c>
      <c r="J1456">
        <v>1258.9680175999999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874.939256</v>
      </c>
      <c r="B1457" s="1">
        <f>DATE(2012,9,21) + TIME(22,32,31)</f>
        <v>41173.939247685186</v>
      </c>
      <c r="C1457">
        <v>80</v>
      </c>
      <c r="D1457">
        <v>79.950515746999997</v>
      </c>
      <c r="E1457">
        <v>50</v>
      </c>
      <c r="F1457">
        <v>43.099292755</v>
      </c>
      <c r="G1457">
        <v>1379.1691894999999</v>
      </c>
      <c r="H1457">
        <v>1366.3826904</v>
      </c>
      <c r="I1457">
        <v>1281.5382079999999</v>
      </c>
      <c r="J1457">
        <v>1258.8974608999999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875.88721799999996</v>
      </c>
      <c r="B1458" s="1">
        <f>DATE(2012,9,22) + TIME(21,17,35)</f>
        <v>41174.88721064815</v>
      </c>
      <c r="C1458">
        <v>80</v>
      </c>
      <c r="D1458">
        <v>79.950546265</v>
      </c>
      <c r="E1458">
        <v>50</v>
      </c>
      <c r="F1458">
        <v>43.127388000000003</v>
      </c>
      <c r="G1458">
        <v>1379.1405029</v>
      </c>
      <c r="H1458">
        <v>1366.3551024999999</v>
      </c>
      <c r="I1458">
        <v>1281.4992675999999</v>
      </c>
      <c r="J1458">
        <v>1258.8288574000001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876.83517900000004</v>
      </c>
      <c r="B1459" s="1">
        <f>DATE(2012,9,23) + TIME(20,2,39)</f>
        <v>41175.835173611114</v>
      </c>
      <c r="C1459">
        <v>80</v>
      </c>
      <c r="D1459">
        <v>79.950576781999999</v>
      </c>
      <c r="E1459">
        <v>50</v>
      </c>
      <c r="F1459">
        <v>43.159114838000001</v>
      </c>
      <c r="G1459">
        <v>1379.1121826000001</v>
      </c>
      <c r="H1459">
        <v>1366.3277588000001</v>
      </c>
      <c r="I1459">
        <v>1281.4611815999999</v>
      </c>
      <c r="J1459">
        <v>1258.7620850000001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877.783141</v>
      </c>
      <c r="B1460" s="1">
        <f>DATE(2012,9,24) + TIME(18,47,43)</f>
        <v>41176.783136574071</v>
      </c>
      <c r="C1460">
        <v>80</v>
      </c>
      <c r="D1460">
        <v>79.950607300000001</v>
      </c>
      <c r="E1460">
        <v>50</v>
      </c>
      <c r="F1460">
        <v>43.194534302000001</v>
      </c>
      <c r="G1460">
        <v>1379.0839844</v>
      </c>
      <c r="H1460">
        <v>1366.3005370999999</v>
      </c>
      <c r="I1460">
        <v>1281.4241943</v>
      </c>
      <c r="J1460">
        <v>1258.6971435999999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878.73110199999996</v>
      </c>
      <c r="B1461" s="1">
        <f>DATE(2012,9,25) + TIME(17,32,47)</f>
        <v>41177.731099537035</v>
      </c>
      <c r="C1461">
        <v>80</v>
      </c>
      <c r="D1461">
        <v>79.950637817</v>
      </c>
      <c r="E1461">
        <v>50</v>
      </c>
      <c r="F1461">
        <v>43.233699799</v>
      </c>
      <c r="G1461">
        <v>1379.0560303</v>
      </c>
      <c r="H1461">
        <v>1366.2735596</v>
      </c>
      <c r="I1461">
        <v>1281.3881836</v>
      </c>
      <c r="J1461">
        <v>1258.6339111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880.627025</v>
      </c>
      <c r="B1462" s="1">
        <f>DATE(2012,9,27) + TIME(15,2,54)</f>
        <v>41179.627013888887</v>
      </c>
      <c r="C1462">
        <v>80</v>
      </c>
      <c r="D1462">
        <v>79.950721740999995</v>
      </c>
      <c r="E1462">
        <v>50</v>
      </c>
      <c r="F1462">
        <v>43.288787841999998</v>
      </c>
      <c r="G1462">
        <v>1379.0184326000001</v>
      </c>
      <c r="H1462">
        <v>1366.2369385</v>
      </c>
      <c r="I1462">
        <v>1281.3461914</v>
      </c>
      <c r="J1462">
        <v>1258.5628661999999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882.531475</v>
      </c>
      <c r="B1463" s="1">
        <f>DATE(2012,9,29) + TIME(12,45,19)</f>
        <v>41181.531469907408</v>
      </c>
      <c r="C1463">
        <v>80</v>
      </c>
      <c r="D1463">
        <v>79.950775145999998</v>
      </c>
      <c r="E1463">
        <v>50</v>
      </c>
      <c r="F1463">
        <v>43.376037598000003</v>
      </c>
      <c r="G1463">
        <v>1378.9682617000001</v>
      </c>
      <c r="H1463">
        <v>1366.1887207</v>
      </c>
      <c r="I1463">
        <v>1281.2823486</v>
      </c>
      <c r="J1463">
        <v>1258.4512939000001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884</v>
      </c>
      <c r="B1464" s="1">
        <f>DATE(2012,10,1) + TIME(0,0,0)</f>
        <v>41183</v>
      </c>
      <c r="C1464">
        <v>80</v>
      </c>
      <c r="D1464">
        <v>79.950813292999996</v>
      </c>
      <c r="E1464">
        <v>50</v>
      </c>
      <c r="F1464">
        <v>43.475677490000002</v>
      </c>
      <c r="G1464">
        <v>1378.9202881000001</v>
      </c>
      <c r="H1464">
        <v>1366.1425781</v>
      </c>
      <c r="I1464">
        <v>1281.2226562000001</v>
      </c>
      <c r="J1464">
        <v>1258.3458252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885.932276</v>
      </c>
      <c r="B1465" s="1">
        <f>DATE(2012,10,2) + TIME(22,22,28)</f>
        <v>41184.932268518518</v>
      </c>
      <c r="C1465">
        <v>80</v>
      </c>
      <c r="D1465">
        <v>79.950881957999997</v>
      </c>
      <c r="E1465">
        <v>50</v>
      </c>
      <c r="F1465">
        <v>43.585445403999998</v>
      </c>
      <c r="G1465">
        <v>1378.8719481999999</v>
      </c>
      <c r="H1465">
        <v>1366.0957031</v>
      </c>
      <c r="I1465">
        <v>1281.1702881000001</v>
      </c>
      <c r="J1465">
        <v>1258.2580565999999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887.92954799999995</v>
      </c>
      <c r="B1466" s="1">
        <f>DATE(2012,10,4) + TIME(22,18,32)</f>
        <v>41186.929537037038</v>
      </c>
      <c r="C1466">
        <v>80</v>
      </c>
      <c r="D1466">
        <v>79.950950622999997</v>
      </c>
      <c r="E1466">
        <v>50</v>
      </c>
      <c r="F1466">
        <v>43.722621918000002</v>
      </c>
      <c r="G1466">
        <v>1378.8186035000001</v>
      </c>
      <c r="H1466">
        <v>1366.0440673999999</v>
      </c>
      <c r="I1466">
        <v>1281.1121826000001</v>
      </c>
      <c r="J1466">
        <v>1258.1583252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889.97330499999998</v>
      </c>
      <c r="B1467" s="1">
        <f>DATE(2012,10,6) + TIME(23,21,33)</f>
        <v>41188.973298611112</v>
      </c>
      <c r="C1467">
        <v>80</v>
      </c>
      <c r="D1467">
        <v>79.951011657999999</v>
      </c>
      <c r="E1467">
        <v>50</v>
      </c>
      <c r="F1467">
        <v>43.882801055999998</v>
      </c>
      <c r="G1467">
        <v>1378.7631836</v>
      </c>
      <c r="H1467">
        <v>1365.9904785000001</v>
      </c>
      <c r="I1467">
        <v>1281.0549315999999</v>
      </c>
      <c r="J1467">
        <v>1258.0618896000001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892.07290399999999</v>
      </c>
      <c r="B1468" s="1">
        <f>DATE(2012,10,9) + TIME(1,44,58)</f>
        <v>41191.072893518518</v>
      </c>
      <c r="C1468">
        <v>80</v>
      </c>
      <c r="D1468">
        <v>79.951080321999996</v>
      </c>
      <c r="E1468">
        <v>50</v>
      </c>
      <c r="F1468">
        <v>44.064750670999999</v>
      </c>
      <c r="G1468">
        <v>1378.706543</v>
      </c>
      <c r="H1468">
        <v>1365.9356689000001</v>
      </c>
      <c r="I1468">
        <v>1280.9995117000001</v>
      </c>
      <c r="J1468">
        <v>1257.9703368999999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894.238786</v>
      </c>
      <c r="B1469" s="1">
        <f>DATE(2012,10,11) + TIME(5,43,51)</f>
        <v>41193.23878472222</v>
      </c>
      <c r="C1469">
        <v>80</v>
      </c>
      <c r="D1469">
        <v>79.951148986999996</v>
      </c>
      <c r="E1469">
        <v>50</v>
      </c>
      <c r="F1469">
        <v>44.269088744999998</v>
      </c>
      <c r="G1469">
        <v>1378.6488036999999</v>
      </c>
      <c r="H1469">
        <v>1365.8797606999999</v>
      </c>
      <c r="I1469">
        <v>1280.9460449000001</v>
      </c>
      <c r="J1469">
        <v>1257.8839111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895.36068899999998</v>
      </c>
      <c r="B1470" s="1">
        <f>DATE(2012,10,12) + TIME(8,39,23)</f>
        <v>41194.360682870371</v>
      </c>
      <c r="C1470">
        <v>80</v>
      </c>
      <c r="D1470">
        <v>79.951164246000005</v>
      </c>
      <c r="E1470">
        <v>50</v>
      </c>
      <c r="F1470">
        <v>44.452213286999999</v>
      </c>
      <c r="G1470">
        <v>1378.6037598</v>
      </c>
      <c r="H1470">
        <v>1365.8364257999999</v>
      </c>
      <c r="I1470">
        <v>1280.90625</v>
      </c>
      <c r="J1470">
        <v>1257.8118896000001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896.48259199999995</v>
      </c>
      <c r="B1471" s="1">
        <f>DATE(2012,10,13) + TIME(11,34,55)</f>
        <v>41195.482581018521</v>
      </c>
      <c r="C1471">
        <v>80</v>
      </c>
      <c r="D1471">
        <v>79.951202393000003</v>
      </c>
      <c r="E1471">
        <v>50</v>
      </c>
      <c r="F1471">
        <v>44.602020263999997</v>
      </c>
      <c r="G1471">
        <v>1378.5678711</v>
      </c>
      <c r="H1471">
        <v>1365.8015137</v>
      </c>
      <c r="I1471">
        <v>1280.8760986</v>
      </c>
      <c r="J1471">
        <v>1257.7705077999999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897.60319300000003</v>
      </c>
      <c r="B1472" s="1">
        <f>DATE(2012,10,14) + TIME(14,28,35)</f>
        <v>41196.603182870371</v>
      </c>
      <c r="C1472">
        <v>80</v>
      </c>
      <c r="D1472">
        <v>79.951240540000001</v>
      </c>
      <c r="E1472">
        <v>50</v>
      </c>
      <c r="F1472">
        <v>44.740802764999998</v>
      </c>
      <c r="G1472">
        <v>1378.5351562000001</v>
      </c>
      <c r="H1472">
        <v>1365.7697754000001</v>
      </c>
      <c r="I1472">
        <v>1280.8496094</v>
      </c>
      <c r="J1472">
        <v>1257.7326660000001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898.71641399999999</v>
      </c>
      <c r="B1473" s="1">
        <f>DATE(2012,10,15) + TIME(17,11,38)</f>
        <v>41197.716412037036</v>
      </c>
      <c r="C1473">
        <v>80</v>
      </c>
      <c r="D1473">
        <v>79.951286315999994</v>
      </c>
      <c r="E1473">
        <v>50</v>
      </c>
      <c r="F1473">
        <v>44.876884459999999</v>
      </c>
      <c r="G1473">
        <v>1378.5039062000001</v>
      </c>
      <c r="H1473">
        <v>1365.7393798999999</v>
      </c>
      <c r="I1473">
        <v>1280.8251952999999</v>
      </c>
      <c r="J1473">
        <v>1257.6973877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899.82316400000002</v>
      </c>
      <c r="B1474" s="1">
        <f>DATE(2012,10,16) + TIME(19,45,21)</f>
        <v>41198.823159722226</v>
      </c>
      <c r="C1474">
        <v>80</v>
      </c>
      <c r="D1474">
        <v>79.951316833000007</v>
      </c>
      <c r="E1474">
        <v>50</v>
      </c>
      <c r="F1474">
        <v>45.013126372999999</v>
      </c>
      <c r="G1474">
        <v>1378.4736327999999</v>
      </c>
      <c r="H1474">
        <v>1365.7098389</v>
      </c>
      <c r="I1474">
        <v>1280.802124</v>
      </c>
      <c r="J1474">
        <v>1257.6643065999999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900.92462499999999</v>
      </c>
      <c r="B1475" s="1">
        <f>DATE(2012,10,17) + TIME(22,11,27)</f>
        <v>41199.924618055556</v>
      </c>
      <c r="C1475">
        <v>80</v>
      </c>
      <c r="D1475">
        <v>79.951354980000005</v>
      </c>
      <c r="E1475">
        <v>50</v>
      </c>
      <c r="F1475">
        <v>45.150535583</v>
      </c>
      <c r="G1475">
        <v>1378.4438477000001</v>
      </c>
      <c r="H1475">
        <v>1365.6810303</v>
      </c>
      <c r="I1475">
        <v>1280.7801514</v>
      </c>
      <c r="J1475">
        <v>1257.6333007999999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902.02196900000001</v>
      </c>
      <c r="B1476" s="1">
        <f>DATE(2012,10,19) + TIME(0,31,38)</f>
        <v>41201.021967592591</v>
      </c>
      <c r="C1476">
        <v>80</v>
      </c>
      <c r="D1476">
        <v>79.951393127000003</v>
      </c>
      <c r="E1476">
        <v>50</v>
      </c>
      <c r="F1476">
        <v>45.289394379000001</v>
      </c>
      <c r="G1476">
        <v>1378.4146728999999</v>
      </c>
      <c r="H1476">
        <v>1365.6525879000001</v>
      </c>
      <c r="I1476">
        <v>1280.7590332</v>
      </c>
      <c r="J1476">
        <v>1257.604126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903.11634100000003</v>
      </c>
      <c r="B1477" s="1">
        <f>DATE(2012,10,20) + TIME(2,47,31)</f>
        <v>41202.116331018522</v>
      </c>
      <c r="C1477">
        <v>80</v>
      </c>
      <c r="D1477">
        <v>79.951431274000001</v>
      </c>
      <c r="E1477">
        <v>50</v>
      </c>
      <c r="F1477">
        <v>45.429729461999997</v>
      </c>
      <c r="G1477">
        <v>1378.3858643000001</v>
      </c>
      <c r="H1477">
        <v>1365.6246338000001</v>
      </c>
      <c r="I1477">
        <v>1280.7386475000001</v>
      </c>
      <c r="J1477">
        <v>1257.5765381000001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904.20886099999996</v>
      </c>
      <c r="B1478" s="1">
        <f>DATE(2012,10,21) + TIME(5,0,45)</f>
        <v>41203.208854166667</v>
      </c>
      <c r="C1478">
        <v>80</v>
      </c>
      <c r="D1478">
        <v>79.951461792000003</v>
      </c>
      <c r="E1478">
        <v>50</v>
      </c>
      <c r="F1478">
        <v>45.571464538999997</v>
      </c>
      <c r="G1478">
        <v>1378.3574219</v>
      </c>
      <c r="H1478">
        <v>1365.5970459</v>
      </c>
      <c r="I1478">
        <v>1280.7191161999999</v>
      </c>
      <c r="J1478">
        <v>1257.5505370999999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905.30063399999995</v>
      </c>
      <c r="B1479" s="1">
        <f>DATE(2012,10,22) + TIME(7,12,54)</f>
        <v>41204.300625000003</v>
      </c>
      <c r="C1479">
        <v>80</v>
      </c>
      <c r="D1479">
        <v>79.951499939000001</v>
      </c>
      <c r="E1479">
        <v>50</v>
      </c>
      <c r="F1479">
        <v>45.714504241999997</v>
      </c>
      <c r="G1479">
        <v>1378.3292236</v>
      </c>
      <c r="H1479">
        <v>1365.5695800999999</v>
      </c>
      <c r="I1479">
        <v>1280.7000731999999</v>
      </c>
      <c r="J1479">
        <v>1257.5258789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906.39240700000005</v>
      </c>
      <c r="B1480" s="1">
        <f>DATE(2012,10,23) + TIME(9,25,3)</f>
        <v>41205.392395833333</v>
      </c>
      <c r="C1480">
        <v>80</v>
      </c>
      <c r="D1480">
        <v>79.951530457000004</v>
      </c>
      <c r="E1480">
        <v>50</v>
      </c>
      <c r="F1480">
        <v>45.858734130999999</v>
      </c>
      <c r="G1480">
        <v>1378.3013916</v>
      </c>
      <c r="H1480">
        <v>1365.5424805</v>
      </c>
      <c r="I1480">
        <v>1280.6817627</v>
      </c>
      <c r="J1480">
        <v>1257.5024414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907.48418000000004</v>
      </c>
      <c r="B1481" s="1">
        <f>DATE(2012,10,24) + TIME(11,37,13)</f>
        <v>41206.484178240738</v>
      </c>
      <c r="C1481">
        <v>80</v>
      </c>
      <c r="D1481">
        <v>79.951568604000002</v>
      </c>
      <c r="E1481">
        <v>50</v>
      </c>
      <c r="F1481">
        <v>46.003978729000004</v>
      </c>
      <c r="G1481">
        <v>1378.2736815999999</v>
      </c>
      <c r="H1481">
        <v>1365.515625</v>
      </c>
      <c r="I1481">
        <v>1280.6638184000001</v>
      </c>
      <c r="J1481">
        <v>1257.4802245999999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908.57595300000003</v>
      </c>
      <c r="B1482" s="1">
        <f>DATE(2012,10,25) + TIME(13,49,22)</f>
        <v>41207.575949074075</v>
      </c>
      <c r="C1482">
        <v>80</v>
      </c>
      <c r="D1482">
        <v>79.951606749999996</v>
      </c>
      <c r="E1482">
        <v>50</v>
      </c>
      <c r="F1482">
        <v>46.150039673000002</v>
      </c>
      <c r="G1482">
        <v>1378.2462158000001</v>
      </c>
      <c r="H1482">
        <v>1365.4888916</v>
      </c>
      <c r="I1482">
        <v>1280.6466064000001</v>
      </c>
      <c r="J1482">
        <v>1257.4589844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909.66772600000002</v>
      </c>
      <c r="B1483" s="1">
        <f>DATE(2012,10,26) + TIME(16,1,31)</f>
        <v>41208.667719907404</v>
      </c>
      <c r="C1483">
        <v>80</v>
      </c>
      <c r="D1483">
        <v>79.951637267999999</v>
      </c>
      <c r="E1483">
        <v>50</v>
      </c>
      <c r="F1483">
        <v>46.296707153</v>
      </c>
      <c r="G1483">
        <v>1378.2188721</v>
      </c>
      <c r="H1483">
        <v>1365.4622803</v>
      </c>
      <c r="I1483">
        <v>1280.6297606999999</v>
      </c>
      <c r="J1483">
        <v>1257.4388428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910.75949900000001</v>
      </c>
      <c r="B1484" s="1">
        <f>DATE(2012,10,27) + TIME(18,13,40)</f>
        <v>41209.75949074074</v>
      </c>
      <c r="C1484">
        <v>80</v>
      </c>
      <c r="D1484">
        <v>79.951675414999997</v>
      </c>
      <c r="E1484">
        <v>50</v>
      </c>
      <c r="F1484">
        <v>46.443786621000001</v>
      </c>
      <c r="G1484">
        <v>1378.1918945</v>
      </c>
      <c r="H1484">
        <v>1365.4360352000001</v>
      </c>
      <c r="I1484">
        <v>1280.6134033000001</v>
      </c>
      <c r="J1484">
        <v>1257.4197998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911.85127299999999</v>
      </c>
      <c r="B1485" s="1">
        <f>DATE(2012,10,28) + TIME(20,25,49)</f>
        <v>41210.851261574076</v>
      </c>
      <c r="C1485">
        <v>80</v>
      </c>
      <c r="D1485">
        <v>79.951705933</v>
      </c>
      <c r="E1485">
        <v>50</v>
      </c>
      <c r="F1485">
        <v>46.591087340999998</v>
      </c>
      <c r="G1485">
        <v>1378.1650391000001</v>
      </c>
      <c r="H1485">
        <v>1365.4099120999999</v>
      </c>
      <c r="I1485">
        <v>1280.5975341999999</v>
      </c>
      <c r="J1485">
        <v>1257.4014893000001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912.94304599999998</v>
      </c>
      <c r="B1486" s="1">
        <f>DATE(2012,10,29) + TIME(22,37,59)</f>
        <v>41211.943043981482</v>
      </c>
      <c r="C1486">
        <v>80</v>
      </c>
      <c r="D1486">
        <v>79.951744079999997</v>
      </c>
      <c r="E1486">
        <v>50</v>
      </c>
      <c r="F1486">
        <v>46.738449097</v>
      </c>
      <c r="G1486">
        <v>1378.1383057</v>
      </c>
      <c r="H1486">
        <v>1365.3839111</v>
      </c>
      <c r="I1486">
        <v>1280.5820312000001</v>
      </c>
      <c r="J1486">
        <v>1257.3841553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915</v>
      </c>
      <c r="B1487" s="1">
        <f>DATE(2012,11,1) + TIME(0,0,0)</f>
        <v>41214</v>
      </c>
      <c r="C1487">
        <v>80</v>
      </c>
      <c r="D1487">
        <v>79.951820373999993</v>
      </c>
      <c r="E1487">
        <v>50</v>
      </c>
      <c r="F1487">
        <v>46.918476105000003</v>
      </c>
      <c r="G1487">
        <v>1378.1032714999999</v>
      </c>
      <c r="H1487">
        <v>1365.3494873</v>
      </c>
      <c r="I1487">
        <v>1280.5593262</v>
      </c>
      <c r="J1487">
        <v>1257.3636475000001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915.000001</v>
      </c>
      <c r="B1488" s="1">
        <f>DATE(2012,11,1) + TIME(0,0,0)</f>
        <v>41214</v>
      </c>
      <c r="C1488">
        <v>80</v>
      </c>
      <c r="D1488">
        <v>79.951789856000005</v>
      </c>
      <c r="E1488">
        <v>50</v>
      </c>
      <c r="F1488">
        <v>46.918498993</v>
      </c>
      <c r="G1488">
        <v>1365.3394774999999</v>
      </c>
      <c r="H1488">
        <v>1352.7792969</v>
      </c>
      <c r="I1488">
        <v>1303.9233397999999</v>
      </c>
      <c r="J1488">
        <v>1280.5706786999999</v>
      </c>
      <c r="K1488">
        <v>0</v>
      </c>
      <c r="L1488">
        <v>2400</v>
      </c>
      <c r="M1488">
        <v>2400</v>
      </c>
      <c r="N1488">
        <v>0</v>
      </c>
    </row>
    <row r="1489" spans="1:14" x14ac:dyDescent="0.25">
      <c r="A1489">
        <v>915.00000399999999</v>
      </c>
      <c r="B1489" s="1">
        <f>DATE(2012,11,1) + TIME(0,0,0)</f>
        <v>41214</v>
      </c>
      <c r="C1489">
        <v>80</v>
      </c>
      <c r="D1489">
        <v>79.951690674000005</v>
      </c>
      <c r="E1489">
        <v>50</v>
      </c>
      <c r="F1489">
        <v>46.918560028000002</v>
      </c>
      <c r="G1489">
        <v>1365.3095702999999</v>
      </c>
      <c r="H1489">
        <v>1352.7492675999999</v>
      </c>
      <c r="I1489">
        <v>1303.9533690999999</v>
      </c>
      <c r="J1489">
        <v>1280.6047363</v>
      </c>
      <c r="K1489">
        <v>0</v>
      </c>
      <c r="L1489">
        <v>2400</v>
      </c>
      <c r="M1489">
        <v>2400</v>
      </c>
      <c r="N1489">
        <v>0</v>
      </c>
    </row>
    <row r="1490" spans="1:14" x14ac:dyDescent="0.25">
      <c r="A1490">
        <v>915.00001299999997</v>
      </c>
      <c r="B1490" s="1">
        <f>DATE(2012,11,1) + TIME(0,0,1)</f>
        <v>41214.000011574077</v>
      </c>
      <c r="C1490">
        <v>80</v>
      </c>
      <c r="D1490">
        <v>79.951408385999997</v>
      </c>
      <c r="E1490">
        <v>50</v>
      </c>
      <c r="F1490">
        <v>46.918754577999998</v>
      </c>
      <c r="G1490">
        <v>1365.2203368999999</v>
      </c>
      <c r="H1490">
        <v>1352.6599120999999</v>
      </c>
      <c r="I1490">
        <v>1304.0428466999999</v>
      </c>
      <c r="J1490">
        <v>1280.7062988</v>
      </c>
      <c r="K1490">
        <v>0</v>
      </c>
      <c r="L1490">
        <v>2400</v>
      </c>
      <c r="M1490">
        <v>2400</v>
      </c>
      <c r="N1490">
        <v>0</v>
      </c>
    </row>
    <row r="1491" spans="1:14" x14ac:dyDescent="0.25">
      <c r="A1491">
        <v>915.00004000000001</v>
      </c>
      <c r="B1491" s="1">
        <f>DATE(2012,11,1) + TIME(0,0,3)</f>
        <v>41214.000034722223</v>
      </c>
      <c r="C1491">
        <v>80</v>
      </c>
      <c r="D1491">
        <v>79.950561523000005</v>
      </c>
      <c r="E1491">
        <v>50</v>
      </c>
      <c r="F1491">
        <v>46.919326781999999</v>
      </c>
      <c r="G1491">
        <v>1364.9575195</v>
      </c>
      <c r="H1491">
        <v>1352.3968506000001</v>
      </c>
      <c r="I1491">
        <v>1304.3083495999999</v>
      </c>
      <c r="J1491">
        <v>1281.0073242000001</v>
      </c>
      <c r="K1491">
        <v>0</v>
      </c>
      <c r="L1491">
        <v>2400</v>
      </c>
      <c r="M1491">
        <v>2400</v>
      </c>
      <c r="N1491">
        <v>0</v>
      </c>
    </row>
    <row r="1492" spans="1:14" x14ac:dyDescent="0.25">
      <c r="A1492">
        <v>915.00012100000004</v>
      </c>
      <c r="B1492" s="1">
        <f>DATE(2012,11,1) + TIME(0,0,10)</f>
        <v>41214.000115740739</v>
      </c>
      <c r="C1492">
        <v>80</v>
      </c>
      <c r="D1492">
        <v>79.948173522999994</v>
      </c>
      <c r="E1492">
        <v>50</v>
      </c>
      <c r="F1492">
        <v>46.920997620000001</v>
      </c>
      <c r="G1492">
        <v>1364.2120361</v>
      </c>
      <c r="H1492">
        <v>1351.6505127</v>
      </c>
      <c r="I1492">
        <v>1305.0803223</v>
      </c>
      <c r="J1492">
        <v>1281.8791504000001</v>
      </c>
      <c r="K1492">
        <v>0</v>
      </c>
      <c r="L1492">
        <v>2400</v>
      </c>
      <c r="M1492">
        <v>2400</v>
      </c>
      <c r="N1492">
        <v>0</v>
      </c>
    </row>
    <row r="1493" spans="1:14" x14ac:dyDescent="0.25">
      <c r="A1493">
        <v>915.00036399999999</v>
      </c>
      <c r="B1493" s="1">
        <f>DATE(2012,11,1) + TIME(0,0,31)</f>
        <v>41214.000358796293</v>
      </c>
      <c r="C1493">
        <v>80</v>
      </c>
      <c r="D1493">
        <v>79.942001343000001</v>
      </c>
      <c r="E1493">
        <v>50</v>
      </c>
      <c r="F1493">
        <v>46.925643921000002</v>
      </c>
      <c r="G1493">
        <v>1362.2897949000001</v>
      </c>
      <c r="H1493">
        <v>1349.7265625</v>
      </c>
      <c r="I1493">
        <v>1307.1986084</v>
      </c>
      <c r="J1493">
        <v>1284.2452393000001</v>
      </c>
      <c r="K1493">
        <v>0</v>
      </c>
      <c r="L1493">
        <v>2400</v>
      </c>
      <c r="M1493">
        <v>2400</v>
      </c>
      <c r="N1493">
        <v>0</v>
      </c>
    </row>
    <row r="1494" spans="1:14" x14ac:dyDescent="0.25">
      <c r="A1494">
        <v>915.00109299999997</v>
      </c>
      <c r="B1494" s="1">
        <f>DATE(2012,11,1) + TIME(0,1,34)</f>
        <v>41214.001087962963</v>
      </c>
      <c r="C1494">
        <v>80</v>
      </c>
      <c r="D1494">
        <v>79.929039001000007</v>
      </c>
      <c r="E1494">
        <v>50</v>
      </c>
      <c r="F1494">
        <v>46.937278747999997</v>
      </c>
      <c r="G1494">
        <v>1358.2561035000001</v>
      </c>
      <c r="H1494">
        <v>1345.6900635</v>
      </c>
      <c r="I1494">
        <v>1312.2591553</v>
      </c>
      <c r="J1494">
        <v>1289.7460937999999</v>
      </c>
      <c r="K1494">
        <v>0</v>
      </c>
      <c r="L1494">
        <v>2400</v>
      </c>
      <c r="M1494">
        <v>2400</v>
      </c>
      <c r="N1494">
        <v>0</v>
      </c>
    </row>
    <row r="1495" spans="1:14" x14ac:dyDescent="0.25">
      <c r="A1495">
        <v>915.00328000000002</v>
      </c>
      <c r="B1495" s="1">
        <f>DATE(2012,11,1) + TIME(0,4,43)</f>
        <v>41214.003275462965</v>
      </c>
      <c r="C1495">
        <v>80</v>
      </c>
      <c r="D1495">
        <v>79.908973693999997</v>
      </c>
      <c r="E1495">
        <v>50</v>
      </c>
      <c r="F1495">
        <v>46.960506439</v>
      </c>
      <c r="G1495">
        <v>1352.0721435999999</v>
      </c>
      <c r="H1495">
        <v>1339.5040283000001</v>
      </c>
      <c r="I1495">
        <v>1321.5611572</v>
      </c>
      <c r="J1495">
        <v>1299.3839111</v>
      </c>
      <c r="K1495">
        <v>0</v>
      </c>
      <c r="L1495">
        <v>2400</v>
      </c>
      <c r="M1495">
        <v>2400</v>
      </c>
      <c r="N1495">
        <v>0</v>
      </c>
    </row>
    <row r="1496" spans="1:14" x14ac:dyDescent="0.25">
      <c r="A1496">
        <v>915.00984100000005</v>
      </c>
      <c r="B1496" s="1">
        <f>DATE(2012,11,1) + TIME(0,14,10)</f>
        <v>41214.009837962964</v>
      </c>
      <c r="C1496">
        <v>80</v>
      </c>
      <c r="D1496">
        <v>79.885192871000001</v>
      </c>
      <c r="E1496">
        <v>50</v>
      </c>
      <c r="F1496">
        <v>47.00554657</v>
      </c>
      <c r="G1496">
        <v>1344.9545897999999</v>
      </c>
      <c r="H1496">
        <v>1332.3850098</v>
      </c>
      <c r="I1496">
        <v>1333.9689940999999</v>
      </c>
      <c r="J1496">
        <v>1311.7611084</v>
      </c>
      <c r="K1496">
        <v>0</v>
      </c>
      <c r="L1496">
        <v>2400</v>
      </c>
      <c r="M1496">
        <v>2400</v>
      </c>
      <c r="N1496">
        <v>0</v>
      </c>
    </row>
    <row r="1497" spans="1:14" x14ac:dyDescent="0.25">
      <c r="A1497">
        <v>915.02952400000004</v>
      </c>
      <c r="B1497" s="1">
        <f>DATE(2012,11,1) + TIME(0,42,30)</f>
        <v>41214.029513888891</v>
      </c>
      <c r="C1497">
        <v>80</v>
      </c>
      <c r="D1497">
        <v>79.858963012999993</v>
      </c>
      <c r="E1497">
        <v>50</v>
      </c>
      <c r="F1497">
        <v>47.103439330999997</v>
      </c>
      <c r="G1497">
        <v>1337.7115478999999</v>
      </c>
      <c r="H1497">
        <v>1325.1364745999999</v>
      </c>
      <c r="I1497">
        <v>1347.2393798999999</v>
      </c>
      <c r="J1497">
        <v>1324.8572998</v>
      </c>
      <c r="K1497">
        <v>0</v>
      </c>
      <c r="L1497">
        <v>2400</v>
      </c>
      <c r="M1497">
        <v>2400</v>
      </c>
      <c r="N1497">
        <v>0</v>
      </c>
    </row>
    <row r="1498" spans="1:14" x14ac:dyDescent="0.25">
      <c r="A1498">
        <v>915.07598299999995</v>
      </c>
      <c r="B1498" s="1">
        <f>DATE(2012,11,1) + TIME(1,49,24)</f>
        <v>41214.075972222221</v>
      </c>
      <c r="C1498">
        <v>80</v>
      </c>
      <c r="D1498">
        <v>79.831207274999997</v>
      </c>
      <c r="E1498">
        <v>50</v>
      </c>
      <c r="F1498">
        <v>47.294746398999997</v>
      </c>
      <c r="G1498">
        <v>1331.2469481999999</v>
      </c>
      <c r="H1498">
        <v>1318.6541748</v>
      </c>
      <c r="I1498">
        <v>1358.9102783000001</v>
      </c>
      <c r="J1498">
        <v>1336.4394531</v>
      </c>
      <c r="K1498">
        <v>0</v>
      </c>
      <c r="L1498">
        <v>2400</v>
      </c>
      <c r="M1498">
        <v>2400</v>
      </c>
      <c r="N1498">
        <v>0</v>
      </c>
    </row>
    <row r="1499" spans="1:14" x14ac:dyDescent="0.25">
      <c r="A1499">
        <v>915.12564499999996</v>
      </c>
      <c r="B1499" s="1">
        <f>DATE(2012,11,1) + TIME(3,0,55)</f>
        <v>41214.125636574077</v>
      </c>
      <c r="C1499">
        <v>80</v>
      </c>
      <c r="D1499">
        <v>79.810920714999995</v>
      </c>
      <c r="E1499">
        <v>50</v>
      </c>
      <c r="F1499">
        <v>47.478229523000003</v>
      </c>
      <c r="G1499">
        <v>1327.3989257999999</v>
      </c>
      <c r="H1499">
        <v>1314.7906493999999</v>
      </c>
      <c r="I1499">
        <v>1365.6141356999999</v>
      </c>
      <c r="J1499">
        <v>1343.1579589999999</v>
      </c>
      <c r="K1499">
        <v>0</v>
      </c>
      <c r="L1499">
        <v>2400</v>
      </c>
      <c r="M1499">
        <v>2400</v>
      </c>
      <c r="N1499">
        <v>0</v>
      </c>
    </row>
    <row r="1500" spans="1:14" x14ac:dyDescent="0.25">
      <c r="A1500">
        <v>915.17789200000004</v>
      </c>
      <c r="B1500" s="1">
        <f>DATE(2012,11,1) + TIME(4,16,9)</f>
        <v>41214.177881944444</v>
      </c>
      <c r="C1500">
        <v>80</v>
      </c>
      <c r="D1500">
        <v>79.793609618999994</v>
      </c>
      <c r="E1500">
        <v>50</v>
      </c>
      <c r="F1500">
        <v>47.654571533000002</v>
      </c>
      <c r="G1500">
        <v>1324.6558838000001</v>
      </c>
      <c r="H1500">
        <v>1312.0361327999999</v>
      </c>
      <c r="I1500">
        <v>1370.1931152</v>
      </c>
      <c r="J1500">
        <v>1347.8043213000001</v>
      </c>
      <c r="K1500">
        <v>0</v>
      </c>
      <c r="L1500">
        <v>2400</v>
      </c>
      <c r="M1500">
        <v>2400</v>
      </c>
      <c r="N1500">
        <v>0</v>
      </c>
    </row>
    <row r="1501" spans="1:14" x14ac:dyDescent="0.25">
      <c r="A1501">
        <v>915.23258199999998</v>
      </c>
      <c r="B1501" s="1">
        <f>DATE(2012,11,1) + TIME(5,34,55)</f>
        <v>41214.232581018521</v>
      </c>
      <c r="C1501">
        <v>80</v>
      </c>
      <c r="D1501">
        <v>79.777725219999994</v>
      </c>
      <c r="E1501">
        <v>50</v>
      </c>
      <c r="F1501">
        <v>47.823890685999999</v>
      </c>
      <c r="G1501">
        <v>1322.5017089999999</v>
      </c>
      <c r="H1501">
        <v>1309.8739014</v>
      </c>
      <c r="I1501">
        <v>1373.6414795000001</v>
      </c>
      <c r="J1501">
        <v>1351.3460693</v>
      </c>
      <c r="K1501">
        <v>0</v>
      </c>
      <c r="L1501">
        <v>2400</v>
      </c>
      <c r="M1501">
        <v>2400</v>
      </c>
      <c r="N1501">
        <v>0</v>
      </c>
    </row>
    <row r="1502" spans="1:14" x14ac:dyDescent="0.25">
      <c r="A1502">
        <v>915.289761</v>
      </c>
      <c r="B1502" s="1">
        <f>DATE(2012,11,1) + TIME(6,57,15)</f>
        <v>41214.289756944447</v>
      </c>
      <c r="C1502">
        <v>80</v>
      </c>
      <c r="D1502">
        <v>79.762619018999999</v>
      </c>
      <c r="E1502">
        <v>50</v>
      </c>
      <c r="F1502">
        <v>47.986312865999999</v>
      </c>
      <c r="G1502">
        <v>1320.7147216999999</v>
      </c>
      <c r="H1502">
        <v>1308.0808105000001</v>
      </c>
      <c r="I1502">
        <v>1376.3948975000001</v>
      </c>
      <c r="J1502">
        <v>1354.2059326000001</v>
      </c>
      <c r="K1502">
        <v>0</v>
      </c>
      <c r="L1502">
        <v>2400</v>
      </c>
      <c r="M1502">
        <v>2400</v>
      </c>
      <c r="N1502">
        <v>0</v>
      </c>
    </row>
    <row r="1503" spans="1:14" x14ac:dyDescent="0.25">
      <c r="A1503">
        <v>915.34959400000002</v>
      </c>
      <c r="B1503" s="1">
        <f>DATE(2012,11,1) + TIME(8,23,24)</f>
        <v>41214.349583333336</v>
      </c>
      <c r="C1503">
        <v>80</v>
      </c>
      <c r="D1503">
        <v>79.747924804999997</v>
      </c>
      <c r="E1503">
        <v>50</v>
      </c>
      <c r="F1503">
        <v>48.141994476000001</v>
      </c>
      <c r="G1503">
        <v>1319.1806641000001</v>
      </c>
      <c r="H1503">
        <v>1306.5423584</v>
      </c>
      <c r="I1503">
        <v>1378.6790771000001</v>
      </c>
      <c r="J1503">
        <v>1356.6024170000001</v>
      </c>
      <c r="K1503">
        <v>0</v>
      </c>
      <c r="L1503">
        <v>2400</v>
      </c>
      <c r="M1503">
        <v>2400</v>
      </c>
      <c r="N1503">
        <v>0</v>
      </c>
    </row>
    <row r="1504" spans="1:14" x14ac:dyDescent="0.25">
      <c r="A1504">
        <v>915.41231900000002</v>
      </c>
      <c r="B1504" s="1">
        <f>DATE(2012,11,1) + TIME(9,53,44)</f>
        <v>41214.412314814814</v>
      </c>
      <c r="C1504">
        <v>80</v>
      </c>
      <c r="D1504">
        <v>79.733413696</v>
      </c>
      <c r="E1504">
        <v>50</v>
      </c>
      <c r="F1504">
        <v>48.291099547999998</v>
      </c>
      <c r="G1504">
        <v>1317.833374</v>
      </c>
      <c r="H1504">
        <v>1305.1915283000001</v>
      </c>
      <c r="I1504">
        <v>1380.6247559000001</v>
      </c>
      <c r="J1504">
        <v>1358.6629639</v>
      </c>
      <c r="K1504">
        <v>0</v>
      </c>
      <c r="L1504">
        <v>2400</v>
      </c>
      <c r="M1504">
        <v>2400</v>
      </c>
      <c r="N1504">
        <v>0</v>
      </c>
    </row>
    <row r="1505" spans="1:14" x14ac:dyDescent="0.25">
      <c r="A1505">
        <v>915.47823200000005</v>
      </c>
      <c r="B1505" s="1">
        <f>DATE(2012,11,1) + TIME(11,28,39)</f>
        <v>41214.478229166663</v>
      </c>
      <c r="C1505">
        <v>80</v>
      </c>
      <c r="D1505">
        <v>79.718917847</v>
      </c>
      <c r="E1505">
        <v>50</v>
      </c>
      <c r="F1505">
        <v>48.433780669999997</v>
      </c>
      <c r="G1505">
        <v>1316.6301269999999</v>
      </c>
      <c r="H1505">
        <v>1303.9854736</v>
      </c>
      <c r="I1505">
        <v>1382.3146973</v>
      </c>
      <c r="J1505">
        <v>1360.4677733999999</v>
      </c>
      <c r="K1505">
        <v>0</v>
      </c>
      <c r="L1505">
        <v>2400</v>
      </c>
      <c r="M1505">
        <v>2400</v>
      </c>
      <c r="N1505">
        <v>0</v>
      </c>
    </row>
    <row r="1506" spans="1:14" x14ac:dyDescent="0.25">
      <c r="A1506">
        <v>915.54769299999998</v>
      </c>
      <c r="B1506" s="1">
        <f>DATE(2012,11,1) + TIME(13,8,40)</f>
        <v>41214.547685185185</v>
      </c>
      <c r="C1506">
        <v>80</v>
      </c>
      <c r="D1506">
        <v>79.704307556000003</v>
      </c>
      <c r="E1506">
        <v>50</v>
      </c>
      <c r="F1506">
        <v>48.570178986000002</v>
      </c>
      <c r="G1506">
        <v>1315.5412598</v>
      </c>
      <c r="H1506">
        <v>1302.8944091999999</v>
      </c>
      <c r="I1506">
        <v>1383.8046875</v>
      </c>
      <c r="J1506">
        <v>1362.0718993999999</v>
      </c>
      <c r="K1506">
        <v>0</v>
      </c>
      <c r="L1506">
        <v>2400</v>
      </c>
      <c r="M1506">
        <v>2400</v>
      </c>
      <c r="N1506">
        <v>0</v>
      </c>
    </row>
    <row r="1507" spans="1:14" x14ac:dyDescent="0.25">
      <c r="A1507">
        <v>915.62113899999997</v>
      </c>
      <c r="B1507" s="1">
        <f>DATE(2012,11,1) + TIME(14,54,26)</f>
        <v>41214.621134259258</v>
      </c>
      <c r="C1507">
        <v>80</v>
      </c>
      <c r="D1507">
        <v>79.689468383999994</v>
      </c>
      <c r="E1507">
        <v>50</v>
      </c>
      <c r="F1507">
        <v>48.700431823999999</v>
      </c>
      <c r="G1507">
        <v>1314.5454102000001</v>
      </c>
      <c r="H1507">
        <v>1301.8966064000001</v>
      </c>
      <c r="I1507">
        <v>1385.1347656</v>
      </c>
      <c r="J1507">
        <v>1363.5142822</v>
      </c>
      <c r="K1507">
        <v>0</v>
      </c>
      <c r="L1507">
        <v>2400</v>
      </c>
      <c r="M1507">
        <v>2400</v>
      </c>
      <c r="N1507">
        <v>0</v>
      </c>
    </row>
    <row r="1508" spans="1:14" x14ac:dyDescent="0.25">
      <c r="A1508">
        <v>915.69910000000004</v>
      </c>
      <c r="B1508" s="1">
        <f>DATE(2012,11,1) + TIME(16,46,42)</f>
        <v>41214.699097222219</v>
      </c>
      <c r="C1508">
        <v>80</v>
      </c>
      <c r="D1508">
        <v>79.674278259000005</v>
      </c>
      <c r="E1508">
        <v>50</v>
      </c>
      <c r="F1508">
        <v>48.824657440000003</v>
      </c>
      <c r="G1508">
        <v>1313.6258545000001</v>
      </c>
      <c r="H1508">
        <v>1300.9754639</v>
      </c>
      <c r="I1508">
        <v>1386.3342285000001</v>
      </c>
      <c r="J1508">
        <v>1364.8242187999999</v>
      </c>
      <c r="K1508">
        <v>0</v>
      </c>
      <c r="L1508">
        <v>2400</v>
      </c>
      <c r="M1508">
        <v>2400</v>
      </c>
      <c r="N1508">
        <v>0</v>
      </c>
    </row>
    <row r="1509" spans="1:14" x14ac:dyDescent="0.25">
      <c r="A1509">
        <v>915.78221599999995</v>
      </c>
      <c r="B1509" s="1">
        <f>DATE(2012,11,1) + TIME(18,46,23)</f>
        <v>41214.782210648147</v>
      </c>
      <c r="C1509">
        <v>80</v>
      </c>
      <c r="D1509">
        <v>79.658615112000007</v>
      </c>
      <c r="E1509">
        <v>50</v>
      </c>
      <c r="F1509">
        <v>48.942955017000003</v>
      </c>
      <c r="G1509">
        <v>1312.7696533000001</v>
      </c>
      <c r="H1509">
        <v>1300.1179199000001</v>
      </c>
      <c r="I1509">
        <v>1387.4257812000001</v>
      </c>
      <c r="J1509">
        <v>1366.0239257999999</v>
      </c>
      <c r="K1509">
        <v>0</v>
      </c>
      <c r="L1509">
        <v>2400</v>
      </c>
      <c r="M1509">
        <v>2400</v>
      </c>
      <c r="N1509">
        <v>0</v>
      </c>
    </row>
    <row r="1510" spans="1:14" x14ac:dyDescent="0.25">
      <c r="A1510">
        <v>915.87127899999996</v>
      </c>
      <c r="B1510" s="1">
        <f>DATE(2012,11,1) + TIME(20,54,38)</f>
        <v>41214.87127314815</v>
      </c>
      <c r="C1510">
        <v>80</v>
      </c>
      <c r="D1510">
        <v>79.642364502000007</v>
      </c>
      <c r="E1510">
        <v>50</v>
      </c>
      <c r="F1510">
        <v>49.055412292</v>
      </c>
      <c r="G1510">
        <v>1311.9663086</v>
      </c>
      <c r="H1510">
        <v>1299.3133545000001</v>
      </c>
      <c r="I1510">
        <v>1388.427124</v>
      </c>
      <c r="J1510">
        <v>1367.1309814000001</v>
      </c>
      <c r="K1510">
        <v>0</v>
      </c>
      <c r="L1510">
        <v>2400</v>
      </c>
      <c r="M1510">
        <v>2400</v>
      </c>
      <c r="N1510">
        <v>0</v>
      </c>
    </row>
    <row r="1511" spans="1:14" x14ac:dyDescent="0.25">
      <c r="A1511">
        <v>915.96726799999999</v>
      </c>
      <c r="B1511" s="1">
        <f>DATE(2012,11,1) + TIME(23,12,51)</f>
        <v>41214.967256944445</v>
      </c>
      <c r="C1511">
        <v>80</v>
      </c>
      <c r="D1511">
        <v>79.625381469999994</v>
      </c>
      <c r="E1511">
        <v>50</v>
      </c>
      <c r="F1511">
        <v>49.162078856999997</v>
      </c>
      <c r="G1511">
        <v>1311.2067870999999</v>
      </c>
      <c r="H1511">
        <v>1298.5528564000001</v>
      </c>
      <c r="I1511">
        <v>1389.3526611</v>
      </c>
      <c r="J1511">
        <v>1368.1599120999999</v>
      </c>
      <c r="K1511">
        <v>0</v>
      </c>
      <c r="L1511">
        <v>2400</v>
      </c>
      <c r="M1511">
        <v>2400</v>
      </c>
      <c r="N1511">
        <v>0</v>
      </c>
    </row>
    <row r="1512" spans="1:14" x14ac:dyDescent="0.25">
      <c r="A1512">
        <v>916.07142399999998</v>
      </c>
      <c r="B1512" s="1">
        <f>DATE(2012,11,2) + TIME(1,42,51)</f>
        <v>41215.071423611109</v>
      </c>
      <c r="C1512">
        <v>80</v>
      </c>
      <c r="D1512">
        <v>79.607482910000002</v>
      </c>
      <c r="E1512">
        <v>50</v>
      </c>
      <c r="F1512">
        <v>49.262996674</v>
      </c>
      <c r="G1512">
        <v>1310.4837646000001</v>
      </c>
      <c r="H1512">
        <v>1297.8287353999999</v>
      </c>
      <c r="I1512">
        <v>1390.2141113</v>
      </c>
      <c r="J1512">
        <v>1369.1224365</v>
      </c>
      <c r="K1512">
        <v>0</v>
      </c>
      <c r="L1512">
        <v>2400</v>
      </c>
      <c r="M1512">
        <v>2400</v>
      </c>
      <c r="N1512">
        <v>0</v>
      </c>
    </row>
    <row r="1513" spans="1:14" x14ac:dyDescent="0.25">
      <c r="A1513">
        <v>916.18530599999997</v>
      </c>
      <c r="B1513" s="1">
        <f>DATE(2012,11,2) + TIME(4,26,50)</f>
        <v>41215.185300925928</v>
      </c>
      <c r="C1513">
        <v>80</v>
      </c>
      <c r="D1513">
        <v>79.588478088000002</v>
      </c>
      <c r="E1513">
        <v>50</v>
      </c>
      <c r="F1513">
        <v>49.358146667</v>
      </c>
      <c r="G1513">
        <v>1309.7907714999999</v>
      </c>
      <c r="H1513">
        <v>1297.1347656</v>
      </c>
      <c r="I1513">
        <v>1391.0211182</v>
      </c>
      <c r="J1513">
        <v>1370.0280762</v>
      </c>
      <c r="K1513">
        <v>0</v>
      </c>
      <c r="L1513">
        <v>2400</v>
      </c>
      <c r="M1513">
        <v>2400</v>
      </c>
      <c r="N1513">
        <v>0</v>
      </c>
    </row>
    <row r="1514" spans="1:14" x14ac:dyDescent="0.25">
      <c r="A1514">
        <v>916.31102199999998</v>
      </c>
      <c r="B1514" s="1">
        <f>DATE(2012,11,2) + TIME(7,27,52)</f>
        <v>41215.311018518521</v>
      </c>
      <c r="C1514">
        <v>80</v>
      </c>
      <c r="D1514">
        <v>79.568099975999999</v>
      </c>
      <c r="E1514">
        <v>50</v>
      </c>
      <c r="F1514">
        <v>49.447521209999998</v>
      </c>
      <c r="G1514">
        <v>1309.1217041</v>
      </c>
      <c r="H1514">
        <v>1296.4648437999999</v>
      </c>
      <c r="I1514">
        <v>1391.7822266000001</v>
      </c>
      <c r="J1514">
        <v>1370.8854980000001</v>
      </c>
      <c r="K1514">
        <v>0</v>
      </c>
      <c r="L1514">
        <v>2400</v>
      </c>
      <c r="M1514">
        <v>2400</v>
      </c>
      <c r="N1514">
        <v>0</v>
      </c>
    </row>
    <row r="1515" spans="1:14" x14ac:dyDescent="0.25">
      <c r="A1515">
        <v>916.45136600000001</v>
      </c>
      <c r="B1515" s="1">
        <f>DATE(2012,11,2) + TIME(10,49,58)</f>
        <v>41215.451365740744</v>
      </c>
      <c r="C1515">
        <v>80</v>
      </c>
      <c r="D1515">
        <v>79.546028136999993</v>
      </c>
      <c r="E1515">
        <v>50</v>
      </c>
      <c r="F1515">
        <v>49.531047821000001</v>
      </c>
      <c r="G1515">
        <v>1308.4711914</v>
      </c>
      <c r="H1515">
        <v>1295.8133545000001</v>
      </c>
      <c r="I1515">
        <v>1392.5045166</v>
      </c>
      <c r="J1515">
        <v>1371.7021483999999</v>
      </c>
      <c r="K1515">
        <v>0</v>
      </c>
      <c r="L1515">
        <v>2400</v>
      </c>
      <c r="M1515">
        <v>2400</v>
      </c>
      <c r="N1515">
        <v>0</v>
      </c>
    </row>
    <row r="1516" spans="1:14" x14ac:dyDescent="0.25">
      <c r="A1516">
        <v>916.61020499999995</v>
      </c>
      <c r="B1516" s="1">
        <f>DATE(2012,11,2) + TIME(14,38,41)</f>
        <v>41215.610196759262</v>
      </c>
      <c r="C1516">
        <v>80</v>
      </c>
      <c r="D1516">
        <v>79.521820067999997</v>
      </c>
      <c r="E1516">
        <v>50</v>
      </c>
      <c r="F1516">
        <v>49.608604431000003</v>
      </c>
      <c r="G1516">
        <v>1307.8343506000001</v>
      </c>
      <c r="H1516">
        <v>1295.1756591999999</v>
      </c>
      <c r="I1516">
        <v>1393.1942139</v>
      </c>
      <c r="J1516">
        <v>1372.4840088000001</v>
      </c>
      <c r="K1516">
        <v>0</v>
      </c>
      <c r="L1516">
        <v>2400</v>
      </c>
      <c r="M1516">
        <v>2400</v>
      </c>
      <c r="N1516">
        <v>0</v>
      </c>
    </row>
    <row r="1517" spans="1:14" x14ac:dyDescent="0.25">
      <c r="A1517">
        <v>916.79307100000005</v>
      </c>
      <c r="B1517" s="1">
        <f>DATE(2012,11,2) + TIME(19,2,1)</f>
        <v>41215.793067129627</v>
      </c>
      <c r="C1517">
        <v>80</v>
      </c>
      <c r="D1517">
        <v>79.494873046999999</v>
      </c>
      <c r="E1517">
        <v>50</v>
      </c>
      <c r="F1517">
        <v>49.679996490000001</v>
      </c>
      <c r="G1517">
        <v>1307.2061768000001</v>
      </c>
      <c r="H1517">
        <v>1294.5465088000001</v>
      </c>
      <c r="I1517">
        <v>1393.8566894999999</v>
      </c>
      <c r="J1517">
        <v>1373.2365723</v>
      </c>
      <c r="K1517">
        <v>0</v>
      </c>
      <c r="L1517">
        <v>2400</v>
      </c>
      <c r="M1517">
        <v>2400</v>
      </c>
      <c r="N1517">
        <v>0</v>
      </c>
    </row>
    <row r="1518" spans="1:14" x14ac:dyDescent="0.25">
      <c r="A1518">
        <v>916.98947099999998</v>
      </c>
      <c r="B1518" s="1">
        <f>DATE(2012,11,2) + TIME(23,44,50)</f>
        <v>41215.98946759259</v>
      </c>
      <c r="C1518">
        <v>80</v>
      </c>
      <c r="D1518">
        <v>79.466453552000004</v>
      </c>
      <c r="E1518">
        <v>50</v>
      </c>
      <c r="F1518">
        <v>49.740478516000003</v>
      </c>
      <c r="G1518">
        <v>1306.6286620999999</v>
      </c>
      <c r="H1518">
        <v>1293.9680175999999</v>
      </c>
      <c r="I1518">
        <v>1394.4462891000001</v>
      </c>
      <c r="J1518">
        <v>1373.9088135</v>
      </c>
      <c r="K1518">
        <v>0</v>
      </c>
      <c r="L1518">
        <v>2400</v>
      </c>
      <c r="M1518">
        <v>2400</v>
      </c>
      <c r="N1518">
        <v>0</v>
      </c>
    </row>
    <row r="1519" spans="1:14" x14ac:dyDescent="0.25">
      <c r="A1519">
        <v>917.18687699999998</v>
      </c>
      <c r="B1519" s="1">
        <f>DATE(2012,11,3) + TIME(4,29,6)</f>
        <v>41216.186874999999</v>
      </c>
      <c r="C1519">
        <v>80</v>
      </c>
      <c r="D1519">
        <v>79.437973021999994</v>
      </c>
      <c r="E1519">
        <v>50</v>
      </c>
      <c r="F1519">
        <v>49.788417815999999</v>
      </c>
      <c r="G1519">
        <v>1306.1281738</v>
      </c>
      <c r="H1519">
        <v>1293.4666748</v>
      </c>
      <c r="I1519">
        <v>1394.9390868999999</v>
      </c>
      <c r="J1519">
        <v>1374.4733887</v>
      </c>
      <c r="K1519">
        <v>0</v>
      </c>
      <c r="L1519">
        <v>2400</v>
      </c>
      <c r="M1519">
        <v>2400</v>
      </c>
      <c r="N1519">
        <v>0</v>
      </c>
    </row>
    <row r="1520" spans="1:14" x14ac:dyDescent="0.25">
      <c r="A1520">
        <v>917.38812399999995</v>
      </c>
      <c r="B1520" s="1">
        <f>DATE(2012,11,3) + TIME(9,18,53)</f>
        <v>41216.388113425928</v>
      </c>
      <c r="C1520">
        <v>80</v>
      </c>
      <c r="D1520">
        <v>79.409141540999997</v>
      </c>
      <c r="E1520">
        <v>50</v>
      </c>
      <c r="F1520">
        <v>49.826843261999997</v>
      </c>
      <c r="G1520">
        <v>1305.6870117000001</v>
      </c>
      <c r="H1520">
        <v>1293.0245361</v>
      </c>
      <c r="I1520">
        <v>1395.3598632999999</v>
      </c>
      <c r="J1520">
        <v>1374.9570312000001</v>
      </c>
      <c r="K1520">
        <v>0</v>
      </c>
      <c r="L1520">
        <v>2400</v>
      </c>
      <c r="M1520">
        <v>2400</v>
      </c>
      <c r="N1520">
        <v>0</v>
      </c>
    </row>
    <row r="1521" spans="1:14" x14ac:dyDescent="0.25">
      <c r="A1521">
        <v>917.594829</v>
      </c>
      <c r="B1521" s="1">
        <f>DATE(2012,11,3) + TIME(14,16,33)</f>
        <v>41216.594826388886</v>
      </c>
      <c r="C1521">
        <v>80</v>
      </c>
      <c r="D1521">
        <v>79.379821777000004</v>
      </c>
      <c r="E1521">
        <v>50</v>
      </c>
      <c r="F1521">
        <v>49.857719420999999</v>
      </c>
      <c r="G1521">
        <v>1305.2946777</v>
      </c>
      <c r="H1521">
        <v>1292.6312256000001</v>
      </c>
      <c r="I1521">
        <v>1395.7216797000001</v>
      </c>
      <c r="J1521">
        <v>1375.3746338000001</v>
      </c>
      <c r="K1521">
        <v>0</v>
      </c>
      <c r="L1521">
        <v>2400</v>
      </c>
      <c r="M1521">
        <v>2400</v>
      </c>
      <c r="N1521">
        <v>0</v>
      </c>
    </row>
    <row r="1522" spans="1:14" x14ac:dyDescent="0.25">
      <c r="A1522">
        <v>917.808718</v>
      </c>
      <c r="B1522" s="1">
        <f>DATE(2012,11,3) + TIME(19,24,33)</f>
        <v>41216.808715277781</v>
      </c>
      <c r="C1522">
        <v>80</v>
      </c>
      <c r="D1522">
        <v>79.349822997999993</v>
      </c>
      <c r="E1522">
        <v>50</v>
      </c>
      <c r="F1522">
        <v>49.882545471</v>
      </c>
      <c r="G1522">
        <v>1304.9431152</v>
      </c>
      <c r="H1522">
        <v>1292.2786865</v>
      </c>
      <c r="I1522">
        <v>1396.0340576000001</v>
      </c>
      <c r="J1522">
        <v>1375.7368164</v>
      </c>
      <c r="K1522">
        <v>0</v>
      </c>
      <c r="L1522">
        <v>2400</v>
      </c>
      <c r="M1522">
        <v>2400</v>
      </c>
      <c r="N1522">
        <v>0</v>
      </c>
    </row>
    <row r="1523" spans="1:14" x14ac:dyDescent="0.25">
      <c r="A1523">
        <v>918.03162799999996</v>
      </c>
      <c r="B1523" s="1">
        <f>DATE(2012,11,4) + TIME(0,45,32)</f>
        <v>41217.03162037037</v>
      </c>
      <c r="C1523">
        <v>80</v>
      </c>
      <c r="D1523">
        <v>79.318954468000001</v>
      </c>
      <c r="E1523">
        <v>50</v>
      </c>
      <c r="F1523">
        <v>49.902484893999997</v>
      </c>
      <c r="G1523">
        <v>1304.6264647999999</v>
      </c>
      <c r="H1523">
        <v>1291.9609375</v>
      </c>
      <c r="I1523">
        <v>1396.3039550999999</v>
      </c>
      <c r="J1523">
        <v>1376.0517577999999</v>
      </c>
      <c r="K1523">
        <v>0</v>
      </c>
      <c r="L1523">
        <v>2400</v>
      </c>
      <c r="M1523">
        <v>2400</v>
      </c>
      <c r="N1523">
        <v>0</v>
      </c>
    </row>
    <row r="1524" spans="1:14" x14ac:dyDescent="0.25">
      <c r="A1524">
        <v>918.26561000000004</v>
      </c>
      <c r="B1524" s="1">
        <f>DATE(2012,11,4) + TIME(6,22,28)</f>
        <v>41217.265601851854</v>
      </c>
      <c r="C1524">
        <v>80</v>
      </c>
      <c r="D1524">
        <v>79.287002563000001</v>
      </c>
      <c r="E1524">
        <v>50</v>
      </c>
      <c r="F1524">
        <v>49.918437957999998</v>
      </c>
      <c r="G1524">
        <v>1304.3400879000001</v>
      </c>
      <c r="H1524">
        <v>1291.6734618999999</v>
      </c>
      <c r="I1524">
        <v>1396.5363769999999</v>
      </c>
      <c r="J1524">
        <v>1376.3251952999999</v>
      </c>
      <c r="K1524">
        <v>0</v>
      </c>
      <c r="L1524">
        <v>2400</v>
      </c>
      <c r="M1524">
        <v>2400</v>
      </c>
      <c r="N1524">
        <v>0</v>
      </c>
    </row>
    <row r="1525" spans="1:14" x14ac:dyDescent="0.25">
      <c r="A1525">
        <v>918.51303499999995</v>
      </c>
      <c r="B1525" s="1">
        <f>DATE(2012,11,4) + TIME(12,18,46)</f>
        <v>41217.513032407405</v>
      </c>
      <c r="C1525">
        <v>80</v>
      </c>
      <c r="D1525">
        <v>79.253730774000005</v>
      </c>
      <c r="E1525">
        <v>50</v>
      </c>
      <c r="F1525">
        <v>49.931140900000003</v>
      </c>
      <c r="G1525">
        <v>1304.0803223</v>
      </c>
      <c r="H1525">
        <v>1291.4124756000001</v>
      </c>
      <c r="I1525">
        <v>1396.7353516000001</v>
      </c>
      <c r="J1525">
        <v>1376.5620117000001</v>
      </c>
      <c r="K1525">
        <v>0</v>
      </c>
      <c r="L1525">
        <v>2400</v>
      </c>
      <c r="M1525">
        <v>2400</v>
      </c>
      <c r="N1525">
        <v>0</v>
      </c>
    </row>
    <row r="1526" spans="1:14" x14ac:dyDescent="0.25">
      <c r="A1526">
        <v>918.77673400000003</v>
      </c>
      <c r="B1526" s="1">
        <f>DATE(2012,11,4) + TIME(18,38,29)</f>
        <v>41217.776724537034</v>
      </c>
      <c r="C1526">
        <v>80</v>
      </c>
      <c r="D1526">
        <v>79.218849182</v>
      </c>
      <c r="E1526">
        <v>50</v>
      </c>
      <c r="F1526">
        <v>49.941181182999998</v>
      </c>
      <c r="G1526">
        <v>1303.8441161999999</v>
      </c>
      <c r="H1526">
        <v>1291.1749268000001</v>
      </c>
      <c r="I1526">
        <v>1396.9036865</v>
      </c>
      <c r="J1526">
        <v>1376.765625</v>
      </c>
      <c r="K1526">
        <v>0</v>
      </c>
      <c r="L1526">
        <v>2400</v>
      </c>
      <c r="M1526">
        <v>2400</v>
      </c>
      <c r="N1526">
        <v>0</v>
      </c>
    </row>
    <row r="1527" spans="1:14" x14ac:dyDescent="0.25">
      <c r="A1527">
        <v>919.06013099999996</v>
      </c>
      <c r="B1527" s="1">
        <f>DATE(2012,11,5) + TIME(1,26,35)</f>
        <v>41218.060127314813</v>
      </c>
      <c r="C1527">
        <v>80</v>
      </c>
      <c r="D1527">
        <v>79.182006835999999</v>
      </c>
      <c r="E1527">
        <v>50</v>
      </c>
      <c r="F1527">
        <v>49.949039458999998</v>
      </c>
      <c r="G1527">
        <v>1303.6291504000001</v>
      </c>
      <c r="H1527">
        <v>1290.9587402</v>
      </c>
      <c r="I1527">
        <v>1397.043457</v>
      </c>
      <c r="J1527">
        <v>1376.9385986</v>
      </c>
      <c r="K1527">
        <v>0</v>
      </c>
      <c r="L1527">
        <v>2400</v>
      </c>
      <c r="M1527">
        <v>2400</v>
      </c>
      <c r="N1527">
        <v>0</v>
      </c>
    </row>
    <row r="1528" spans="1:14" x14ac:dyDescent="0.25">
      <c r="A1528">
        <v>919.36762099999999</v>
      </c>
      <c r="B1528" s="1">
        <f>DATE(2012,11,5) + TIME(8,49,22)</f>
        <v>41218.367615740739</v>
      </c>
      <c r="C1528">
        <v>80</v>
      </c>
      <c r="D1528">
        <v>79.142791747999993</v>
      </c>
      <c r="E1528">
        <v>50</v>
      </c>
      <c r="F1528">
        <v>49.955116271999998</v>
      </c>
      <c r="G1528">
        <v>1303.4334716999999</v>
      </c>
      <c r="H1528">
        <v>1290.7614745999999</v>
      </c>
      <c r="I1528">
        <v>1397.1566161999999</v>
      </c>
      <c r="J1528">
        <v>1377.0832519999999</v>
      </c>
      <c r="K1528">
        <v>0</v>
      </c>
      <c r="L1528">
        <v>2400</v>
      </c>
      <c r="M1528">
        <v>2400</v>
      </c>
      <c r="N1528">
        <v>0</v>
      </c>
    </row>
    <row r="1529" spans="1:14" x14ac:dyDescent="0.25">
      <c r="A1529">
        <v>919.699566</v>
      </c>
      <c r="B1529" s="1">
        <f>DATE(2012,11,5) + TIME(16,47,22)</f>
        <v>41218.699560185189</v>
      </c>
      <c r="C1529">
        <v>80</v>
      </c>
      <c r="D1529">
        <v>79.101112365999995</v>
      </c>
      <c r="E1529">
        <v>50</v>
      </c>
      <c r="F1529">
        <v>49.959701537999997</v>
      </c>
      <c r="G1529">
        <v>1303.2572021000001</v>
      </c>
      <c r="H1529">
        <v>1290.5836182</v>
      </c>
      <c r="I1529">
        <v>1397.2420654</v>
      </c>
      <c r="J1529">
        <v>1377.1990966999999</v>
      </c>
      <c r="K1529">
        <v>0</v>
      </c>
      <c r="L1529">
        <v>2400</v>
      </c>
      <c r="M1529">
        <v>2400</v>
      </c>
      <c r="N1529">
        <v>0</v>
      </c>
    </row>
    <row r="1530" spans="1:14" x14ac:dyDescent="0.25">
      <c r="A1530">
        <v>920.05957100000001</v>
      </c>
      <c r="B1530" s="1">
        <f>DATE(2012,11,6) + TIME(1,25,46)</f>
        <v>41219.059560185182</v>
      </c>
      <c r="C1530">
        <v>80</v>
      </c>
      <c r="D1530">
        <v>79.056640625</v>
      </c>
      <c r="E1530">
        <v>50</v>
      </c>
      <c r="F1530">
        <v>49.963092803999999</v>
      </c>
      <c r="G1530">
        <v>1303.0992432</v>
      </c>
      <c r="H1530">
        <v>1290.4239502</v>
      </c>
      <c r="I1530">
        <v>1397.3018798999999</v>
      </c>
      <c r="J1530">
        <v>1377.2883300999999</v>
      </c>
      <c r="K1530">
        <v>0</v>
      </c>
      <c r="L1530">
        <v>2400</v>
      </c>
      <c r="M1530">
        <v>2400</v>
      </c>
      <c r="N1530">
        <v>0</v>
      </c>
    </row>
    <row r="1531" spans="1:14" x14ac:dyDescent="0.25">
      <c r="A1531">
        <v>920.45400500000005</v>
      </c>
      <c r="B1531" s="1">
        <f>DATE(2012,11,6) + TIME(10,53,46)</f>
        <v>41219.454004629632</v>
      </c>
      <c r="C1531">
        <v>80</v>
      </c>
      <c r="D1531">
        <v>79.008811950999998</v>
      </c>
      <c r="E1531">
        <v>50</v>
      </c>
      <c r="F1531">
        <v>49.965568542</v>
      </c>
      <c r="G1531">
        <v>1302.9575195</v>
      </c>
      <c r="H1531">
        <v>1290.2801514</v>
      </c>
      <c r="I1531">
        <v>1397.3380127</v>
      </c>
      <c r="J1531">
        <v>1377.3530272999999</v>
      </c>
      <c r="K1531">
        <v>0</v>
      </c>
      <c r="L1531">
        <v>2400</v>
      </c>
      <c r="M1531">
        <v>2400</v>
      </c>
      <c r="N1531">
        <v>0</v>
      </c>
    </row>
    <row r="1532" spans="1:14" x14ac:dyDescent="0.25">
      <c r="A1532">
        <v>920.854465</v>
      </c>
      <c r="B1532" s="1">
        <f>DATE(2012,11,6) + TIME(20,30,25)</f>
        <v>41219.854456018518</v>
      </c>
      <c r="C1532">
        <v>80</v>
      </c>
      <c r="D1532">
        <v>78.959785460999996</v>
      </c>
      <c r="E1532">
        <v>50</v>
      </c>
      <c r="F1532">
        <v>49.967231750000003</v>
      </c>
      <c r="G1532">
        <v>1302.8378906</v>
      </c>
      <c r="H1532">
        <v>1290.1584473</v>
      </c>
      <c r="I1532">
        <v>1397.3465576000001</v>
      </c>
      <c r="J1532">
        <v>1377.3896483999999</v>
      </c>
      <c r="K1532">
        <v>0</v>
      </c>
      <c r="L1532">
        <v>2400</v>
      </c>
      <c r="M1532">
        <v>2400</v>
      </c>
      <c r="N1532">
        <v>0</v>
      </c>
    </row>
    <row r="1533" spans="1:14" x14ac:dyDescent="0.25">
      <c r="A1533">
        <v>921.26011800000003</v>
      </c>
      <c r="B1533" s="1">
        <f>DATE(2012,11,7) + TIME(6,14,34)</f>
        <v>41220.260115740741</v>
      </c>
      <c r="C1533">
        <v>80</v>
      </c>
      <c r="D1533">
        <v>78.909942627000007</v>
      </c>
      <c r="E1533">
        <v>50</v>
      </c>
      <c r="F1533">
        <v>49.968353270999998</v>
      </c>
      <c r="G1533">
        <v>1302.7368164</v>
      </c>
      <c r="H1533">
        <v>1290.0552978999999</v>
      </c>
      <c r="I1533">
        <v>1397.3377685999999</v>
      </c>
      <c r="J1533">
        <v>1377.4068603999999</v>
      </c>
      <c r="K1533">
        <v>0</v>
      </c>
      <c r="L1533">
        <v>2400</v>
      </c>
      <c r="M1533">
        <v>2400</v>
      </c>
      <c r="N1533">
        <v>0</v>
      </c>
    </row>
    <row r="1534" spans="1:14" x14ac:dyDescent="0.25">
      <c r="A1534">
        <v>921.67540399999996</v>
      </c>
      <c r="B1534" s="1">
        <f>DATE(2012,11,7) + TIME(16,12,34)</f>
        <v>41220.675393518519</v>
      </c>
      <c r="C1534">
        <v>80</v>
      </c>
      <c r="D1534">
        <v>78.859169006000002</v>
      </c>
      <c r="E1534">
        <v>50</v>
      </c>
      <c r="F1534">
        <v>49.969120025999999</v>
      </c>
      <c r="G1534">
        <v>1302.6500243999999</v>
      </c>
      <c r="H1534">
        <v>1289.9663086</v>
      </c>
      <c r="I1534">
        <v>1397.3164062000001</v>
      </c>
      <c r="J1534">
        <v>1377.4097899999999</v>
      </c>
      <c r="K1534">
        <v>0</v>
      </c>
      <c r="L1534">
        <v>2400</v>
      </c>
      <c r="M1534">
        <v>2400</v>
      </c>
      <c r="N1534">
        <v>0</v>
      </c>
    </row>
    <row r="1535" spans="1:14" x14ac:dyDescent="0.25">
      <c r="A1535">
        <v>922.10458500000004</v>
      </c>
      <c r="B1535" s="1">
        <f>DATE(2012,11,8) + TIME(2,30,36)</f>
        <v>41221.104583333334</v>
      </c>
      <c r="C1535">
        <v>80</v>
      </c>
      <c r="D1535">
        <v>78.807212829999997</v>
      </c>
      <c r="E1535">
        <v>50</v>
      </c>
      <c r="F1535">
        <v>49.969642639</v>
      </c>
      <c r="G1535">
        <v>1302.5744629000001</v>
      </c>
      <c r="H1535">
        <v>1289.8881836</v>
      </c>
      <c r="I1535">
        <v>1397.2851562000001</v>
      </c>
      <c r="J1535">
        <v>1377.4013672000001</v>
      </c>
      <c r="K1535">
        <v>0</v>
      </c>
      <c r="L1535">
        <v>2400</v>
      </c>
      <c r="M1535">
        <v>2400</v>
      </c>
      <c r="N1535">
        <v>0</v>
      </c>
    </row>
    <row r="1536" spans="1:14" x14ac:dyDescent="0.25">
      <c r="A1536">
        <v>922.55213300000003</v>
      </c>
      <c r="B1536" s="1">
        <f>DATE(2012,11,8) + TIME(13,15,4)</f>
        <v>41221.552129629628</v>
      </c>
      <c r="C1536">
        <v>80</v>
      </c>
      <c r="D1536">
        <v>78.753761291999993</v>
      </c>
      <c r="E1536">
        <v>50</v>
      </c>
      <c r="F1536">
        <v>49.970005035</v>
      </c>
      <c r="G1536">
        <v>1302.5073242000001</v>
      </c>
      <c r="H1536">
        <v>1289.8186035000001</v>
      </c>
      <c r="I1536">
        <v>1397.2457274999999</v>
      </c>
      <c r="J1536">
        <v>1377.3840332</v>
      </c>
      <c r="K1536">
        <v>0</v>
      </c>
      <c r="L1536">
        <v>2400</v>
      </c>
      <c r="M1536">
        <v>2400</v>
      </c>
      <c r="N1536">
        <v>0</v>
      </c>
    </row>
    <row r="1537" spans="1:14" x14ac:dyDescent="0.25">
      <c r="A1537">
        <v>923.02306199999998</v>
      </c>
      <c r="B1537" s="1">
        <f>DATE(2012,11,9) + TIME(0,33,12)</f>
        <v>41222.023055555554</v>
      </c>
      <c r="C1537">
        <v>80</v>
      </c>
      <c r="D1537">
        <v>78.698394774999997</v>
      </c>
      <c r="E1537">
        <v>50</v>
      </c>
      <c r="F1537">
        <v>49.970260619999998</v>
      </c>
      <c r="G1537">
        <v>1302.4468993999999</v>
      </c>
      <c r="H1537">
        <v>1289.7553711</v>
      </c>
      <c r="I1537">
        <v>1397.199707</v>
      </c>
      <c r="J1537">
        <v>1377.359375</v>
      </c>
      <c r="K1537">
        <v>0</v>
      </c>
      <c r="L1537">
        <v>2400</v>
      </c>
      <c r="M1537">
        <v>2400</v>
      </c>
      <c r="N1537">
        <v>0</v>
      </c>
    </row>
    <row r="1538" spans="1:14" x14ac:dyDescent="0.25">
      <c r="A1538">
        <v>923.519904</v>
      </c>
      <c r="B1538" s="1">
        <f>DATE(2012,11,9) + TIME(12,28,39)</f>
        <v>41222.519895833335</v>
      </c>
      <c r="C1538">
        <v>80</v>
      </c>
      <c r="D1538">
        <v>78.640861510999997</v>
      </c>
      <c r="E1538">
        <v>50</v>
      </c>
      <c r="F1538">
        <v>49.970436096</v>
      </c>
      <c r="G1538">
        <v>1302.3917236</v>
      </c>
      <c r="H1538">
        <v>1289.6970214999999</v>
      </c>
      <c r="I1538">
        <v>1397.1479492000001</v>
      </c>
      <c r="J1538">
        <v>1377.3284911999999</v>
      </c>
      <c r="K1538">
        <v>0</v>
      </c>
      <c r="L1538">
        <v>2400</v>
      </c>
      <c r="M1538">
        <v>2400</v>
      </c>
      <c r="N1538">
        <v>0</v>
      </c>
    </row>
    <row r="1539" spans="1:14" x14ac:dyDescent="0.25">
      <c r="A1539">
        <v>924.03955900000005</v>
      </c>
      <c r="B1539" s="1">
        <f>DATE(2012,11,10) + TIME(0,56,57)</f>
        <v>41223.039548611108</v>
      </c>
      <c r="C1539">
        <v>80</v>
      </c>
      <c r="D1539">
        <v>78.581298828000001</v>
      </c>
      <c r="E1539">
        <v>50</v>
      </c>
      <c r="F1539">
        <v>49.970558167</v>
      </c>
      <c r="G1539">
        <v>1302.3408202999999</v>
      </c>
      <c r="H1539">
        <v>1289.6428223</v>
      </c>
      <c r="I1539">
        <v>1397.0916748</v>
      </c>
      <c r="J1539">
        <v>1377.2927245999999</v>
      </c>
      <c r="K1539">
        <v>0</v>
      </c>
      <c r="L1539">
        <v>2400</v>
      </c>
      <c r="M1539">
        <v>2400</v>
      </c>
      <c r="N1539">
        <v>0</v>
      </c>
    </row>
    <row r="1540" spans="1:14" x14ac:dyDescent="0.25">
      <c r="A1540">
        <v>924.587582</v>
      </c>
      <c r="B1540" s="1">
        <f>DATE(2012,11,10) + TIME(14,6,7)</f>
        <v>41223.587581018517</v>
      </c>
      <c r="C1540">
        <v>80</v>
      </c>
      <c r="D1540">
        <v>78.519355774000005</v>
      </c>
      <c r="E1540">
        <v>50</v>
      </c>
      <c r="F1540">
        <v>49.970649719000001</v>
      </c>
      <c r="G1540">
        <v>1302.2932129000001</v>
      </c>
      <c r="H1540">
        <v>1289.5915527</v>
      </c>
      <c r="I1540">
        <v>1397.0323486</v>
      </c>
      <c r="J1540">
        <v>1377.2536620999999</v>
      </c>
      <c r="K1540">
        <v>0</v>
      </c>
      <c r="L1540">
        <v>2400</v>
      </c>
      <c r="M1540">
        <v>2400</v>
      </c>
      <c r="N1540">
        <v>0</v>
      </c>
    </row>
    <row r="1541" spans="1:14" x14ac:dyDescent="0.25">
      <c r="A1541">
        <v>925.17024400000003</v>
      </c>
      <c r="B1541" s="1">
        <f>DATE(2012,11,11) + TIME(4,5,9)</f>
        <v>41224.170243055552</v>
      </c>
      <c r="C1541">
        <v>80</v>
      </c>
      <c r="D1541">
        <v>78.454559325999995</v>
      </c>
      <c r="E1541">
        <v>50</v>
      </c>
      <c r="F1541">
        <v>49.970710754000002</v>
      </c>
      <c r="G1541">
        <v>1302.2475586</v>
      </c>
      <c r="H1541">
        <v>1289.5419922000001</v>
      </c>
      <c r="I1541">
        <v>1396.9707031</v>
      </c>
      <c r="J1541">
        <v>1377.2116699000001</v>
      </c>
      <c r="K1541">
        <v>0</v>
      </c>
      <c r="L1541">
        <v>2400</v>
      </c>
      <c r="M1541">
        <v>2400</v>
      </c>
      <c r="N1541">
        <v>0</v>
      </c>
    </row>
    <row r="1542" spans="1:14" x14ac:dyDescent="0.25">
      <c r="A1542">
        <v>925.79532800000004</v>
      </c>
      <c r="B1542" s="1">
        <f>DATE(2012,11,11) + TIME(19,5,16)</f>
        <v>41224.795324074075</v>
      </c>
      <c r="C1542">
        <v>80</v>
      </c>
      <c r="D1542">
        <v>78.386329650999997</v>
      </c>
      <c r="E1542">
        <v>50</v>
      </c>
      <c r="F1542">
        <v>49.970760345000002</v>
      </c>
      <c r="G1542">
        <v>1302.203125</v>
      </c>
      <c r="H1542">
        <v>1289.4930420000001</v>
      </c>
      <c r="I1542">
        <v>1396.9066161999999</v>
      </c>
      <c r="J1542">
        <v>1377.1673584</v>
      </c>
      <c r="K1542">
        <v>0</v>
      </c>
      <c r="L1542">
        <v>2400</v>
      </c>
      <c r="M1542">
        <v>2400</v>
      </c>
      <c r="N1542">
        <v>0</v>
      </c>
    </row>
    <row r="1543" spans="1:14" x14ac:dyDescent="0.25">
      <c r="A1543">
        <v>926.44003299999997</v>
      </c>
      <c r="B1543" s="1">
        <f>DATE(2012,11,12) + TIME(10,33,38)</f>
        <v>41225.440023148149</v>
      </c>
      <c r="C1543">
        <v>80</v>
      </c>
      <c r="D1543">
        <v>78.315826415999993</v>
      </c>
      <c r="E1543">
        <v>50</v>
      </c>
      <c r="F1543">
        <v>49.970790862999998</v>
      </c>
      <c r="G1543">
        <v>1302.159668</v>
      </c>
      <c r="H1543">
        <v>1289.4447021000001</v>
      </c>
      <c r="I1543">
        <v>1396.8408202999999</v>
      </c>
      <c r="J1543">
        <v>1377.1210937999999</v>
      </c>
      <c r="K1543">
        <v>0</v>
      </c>
      <c r="L1543">
        <v>2400</v>
      </c>
      <c r="M1543">
        <v>2400</v>
      </c>
      <c r="N1543">
        <v>0</v>
      </c>
    </row>
    <row r="1544" spans="1:14" x14ac:dyDescent="0.25">
      <c r="A1544">
        <v>927.09349999999995</v>
      </c>
      <c r="B1544" s="1">
        <f>DATE(2012,11,13) + TIME(2,14,38)</f>
        <v>41226.093495370369</v>
      </c>
      <c r="C1544">
        <v>80</v>
      </c>
      <c r="D1544">
        <v>78.244102478000002</v>
      </c>
      <c r="E1544">
        <v>50</v>
      </c>
      <c r="F1544">
        <v>49.970813751000001</v>
      </c>
      <c r="G1544">
        <v>1302.1174315999999</v>
      </c>
      <c r="H1544">
        <v>1289.3973389</v>
      </c>
      <c r="I1544">
        <v>1396.7758789</v>
      </c>
      <c r="J1544">
        <v>1377.0750731999999</v>
      </c>
      <c r="K1544">
        <v>0</v>
      </c>
      <c r="L1544">
        <v>2400</v>
      </c>
      <c r="M1544">
        <v>2400</v>
      </c>
      <c r="N1544">
        <v>0</v>
      </c>
    </row>
    <row r="1545" spans="1:14" x14ac:dyDescent="0.25">
      <c r="A1545">
        <v>927.762383</v>
      </c>
      <c r="B1545" s="1">
        <f>DATE(2012,11,13) + TIME(18,17,49)</f>
        <v>41226.762372685182</v>
      </c>
      <c r="C1545">
        <v>80</v>
      </c>
      <c r="D1545">
        <v>78.171264648000005</v>
      </c>
      <c r="E1545">
        <v>50</v>
      </c>
      <c r="F1545">
        <v>49.970829010000003</v>
      </c>
      <c r="G1545">
        <v>1302.0761719</v>
      </c>
      <c r="H1545">
        <v>1289.3503418</v>
      </c>
      <c r="I1545">
        <v>1396.7131348</v>
      </c>
      <c r="J1545">
        <v>1377.0302733999999</v>
      </c>
      <c r="K1545">
        <v>0</v>
      </c>
      <c r="L1545">
        <v>2400</v>
      </c>
      <c r="M1545">
        <v>2400</v>
      </c>
      <c r="N1545">
        <v>0</v>
      </c>
    </row>
    <row r="1546" spans="1:14" x14ac:dyDescent="0.25">
      <c r="A1546">
        <v>928.45330899999999</v>
      </c>
      <c r="B1546" s="1">
        <f>DATE(2012,11,14) + TIME(10,52,45)</f>
        <v>41227.453298611108</v>
      </c>
      <c r="C1546">
        <v>80</v>
      </c>
      <c r="D1546">
        <v>78.097061156999999</v>
      </c>
      <c r="E1546">
        <v>50</v>
      </c>
      <c r="F1546">
        <v>49.970844268999997</v>
      </c>
      <c r="G1546">
        <v>1302.0350341999999</v>
      </c>
      <c r="H1546">
        <v>1289.3031006000001</v>
      </c>
      <c r="I1546">
        <v>1396.6522216999999</v>
      </c>
      <c r="J1546">
        <v>1376.9863281</v>
      </c>
      <c r="K1546">
        <v>0</v>
      </c>
      <c r="L1546">
        <v>2400</v>
      </c>
      <c r="M1546">
        <v>2400</v>
      </c>
      <c r="N1546">
        <v>0</v>
      </c>
    </row>
    <row r="1547" spans="1:14" x14ac:dyDescent="0.25">
      <c r="A1547">
        <v>929.17340100000001</v>
      </c>
      <c r="B1547" s="1">
        <f>DATE(2012,11,15) + TIME(4,9,41)</f>
        <v>41228.173391203702</v>
      </c>
      <c r="C1547">
        <v>80</v>
      </c>
      <c r="D1547">
        <v>78.021064757999994</v>
      </c>
      <c r="E1547">
        <v>50</v>
      </c>
      <c r="F1547">
        <v>49.970851897999999</v>
      </c>
      <c r="G1547">
        <v>1301.9935303</v>
      </c>
      <c r="H1547">
        <v>1289.2548827999999</v>
      </c>
      <c r="I1547">
        <v>1396.5924072</v>
      </c>
      <c r="J1547">
        <v>1376.9429932</v>
      </c>
      <c r="K1547">
        <v>0</v>
      </c>
      <c r="L1547">
        <v>2400</v>
      </c>
      <c r="M1547">
        <v>2400</v>
      </c>
      <c r="N1547">
        <v>0</v>
      </c>
    </row>
    <row r="1548" spans="1:14" x14ac:dyDescent="0.25">
      <c r="A1548">
        <v>929.93076799999994</v>
      </c>
      <c r="B1548" s="1">
        <f>DATE(2012,11,15) + TIME(22,20,18)</f>
        <v>41228.930763888886</v>
      </c>
      <c r="C1548">
        <v>80</v>
      </c>
      <c r="D1548">
        <v>77.942672728999995</v>
      </c>
      <c r="E1548">
        <v>50</v>
      </c>
      <c r="F1548">
        <v>49.970859527999998</v>
      </c>
      <c r="G1548">
        <v>1301.9509277</v>
      </c>
      <c r="H1548">
        <v>1289.2048339999999</v>
      </c>
      <c r="I1548">
        <v>1396.5332031</v>
      </c>
      <c r="J1548">
        <v>1376.9000243999999</v>
      </c>
      <c r="K1548">
        <v>0</v>
      </c>
      <c r="L1548">
        <v>2400</v>
      </c>
      <c r="M1548">
        <v>2400</v>
      </c>
      <c r="N1548">
        <v>0</v>
      </c>
    </row>
    <row r="1549" spans="1:14" x14ac:dyDescent="0.25">
      <c r="A1549">
        <v>930.71911399999999</v>
      </c>
      <c r="B1549" s="1">
        <f>DATE(2012,11,16) + TIME(17,15,31)</f>
        <v>41229.719108796293</v>
      </c>
      <c r="C1549">
        <v>80</v>
      </c>
      <c r="D1549">
        <v>77.861976623999993</v>
      </c>
      <c r="E1549">
        <v>50</v>
      </c>
      <c r="F1549">
        <v>49.970867157000001</v>
      </c>
      <c r="G1549">
        <v>1301.9067382999999</v>
      </c>
      <c r="H1549">
        <v>1289.1525879000001</v>
      </c>
      <c r="I1549">
        <v>1396.4743652</v>
      </c>
      <c r="J1549">
        <v>1376.8571777</v>
      </c>
      <c r="K1549">
        <v>0</v>
      </c>
      <c r="L1549">
        <v>2400</v>
      </c>
      <c r="M1549">
        <v>2400</v>
      </c>
      <c r="N1549">
        <v>0</v>
      </c>
    </row>
    <row r="1550" spans="1:14" x14ac:dyDescent="0.25">
      <c r="A1550">
        <v>931.53455499999995</v>
      </c>
      <c r="B1550" s="1">
        <f>DATE(2012,11,17) + TIME(12,49,45)</f>
        <v>41230.534548611111</v>
      </c>
      <c r="C1550">
        <v>80</v>
      </c>
      <c r="D1550">
        <v>77.779243468999994</v>
      </c>
      <c r="E1550">
        <v>50</v>
      </c>
      <c r="F1550">
        <v>49.970870972</v>
      </c>
      <c r="G1550">
        <v>1301.8610839999999</v>
      </c>
      <c r="H1550">
        <v>1289.0980225000001</v>
      </c>
      <c r="I1550">
        <v>1396.4163818</v>
      </c>
      <c r="J1550">
        <v>1376.8146973</v>
      </c>
      <c r="K1550">
        <v>0</v>
      </c>
      <c r="L1550">
        <v>2400</v>
      </c>
      <c r="M1550">
        <v>2400</v>
      </c>
      <c r="N1550">
        <v>0</v>
      </c>
    </row>
    <row r="1551" spans="1:14" x14ac:dyDescent="0.25">
      <c r="A1551">
        <v>932.384862</v>
      </c>
      <c r="B1551" s="1">
        <f>DATE(2012,11,18) + TIME(9,14,12)</f>
        <v>41231.38486111111</v>
      </c>
      <c r="C1551">
        <v>80</v>
      </c>
      <c r="D1551">
        <v>77.694267272999994</v>
      </c>
      <c r="E1551">
        <v>50</v>
      </c>
      <c r="F1551">
        <v>49.970874786000003</v>
      </c>
      <c r="G1551">
        <v>1301.8137207</v>
      </c>
      <c r="H1551">
        <v>1289.0408935999999</v>
      </c>
      <c r="I1551">
        <v>1396.3594971</v>
      </c>
      <c r="J1551">
        <v>1376.7727050999999</v>
      </c>
      <c r="K1551">
        <v>0</v>
      </c>
      <c r="L1551">
        <v>2400</v>
      </c>
      <c r="M1551">
        <v>2400</v>
      </c>
      <c r="N1551">
        <v>0</v>
      </c>
    </row>
    <row r="1552" spans="1:14" x14ac:dyDescent="0.25">
      <c r="A1552">
        <v>933.26722600000005</v>
      </c>
      <c r="B1552" s="1">
        <f>DATE(2012,11,19) + TIME(6,24,48)</f>
        <v>41232.267222222225</v>
      </c>
      <c r="C1552">
        <v>80</v>
      </c>
      <c r="D1552">
        <v>77.607109070000007</v>
      </c>
      <c r="E1552">
        <v>50</v>
      </c>
      <c r="F1552">
        <v>49.970878601000003</v>
      </c>
      <c r="G1552">
        <v>1301.7642822</v>
      </c>
      <c r="H1552">
        <v>1288.9807129000001</v>
      </c>
      <c r="I1552">
        <v>1396.3032227000001</v>
      </c>
      <c r="J1552">
        <v>1376.7312012</v>
      </c>
      <c r="K1552">
        <v>0</v>
      </c>
      <c r="L1552">
        <v>2400</v>
      </c>
      <c r="M1552">
        <v>2400</v>
      </c>
      <c r="N1552">
        <v>0</v>
      </c>
    </row>
    <row r="1553" spans="1:14" x14ac:dyDescent="0.25">
      <c r="A1553">
        <v>934.16485799999998</v>
      </c>
      <c r="B1553" s="1">
        <f>DATE(2012,11,20) + TIME(3,57,23)</f>
        <v>41233.164849537039</v>
      </c>
      <c r="C1553">
        <v>80</v>
      </c>
      <c r="D1553">
        <v>77.518615722999996</v>
      </c>
      <c r="E1553">
        <v>50</v>
      </c>
      <c r="F1553">
        <v>49.970882416000002</v>
      </c>
      <c r="G1553">
        <v>1301.7127685999999</v>
      </c>
      <c r="H1553">
        <v>1288.9174805</v>
      </c>
      <c r="I1553">
        <v>1396.2479248</v>
      </c>
      <c r="J1553">
        <v>1376.6900635</v>
      </c>
      <c r="K1553">
        <v>0</v>
      </c>
      <c r="L1553">
        <v>2400</v>
      </c>
      <c r="M1553">
        <v>2400</v>
      </c>
      <c r="N1553">
        <v>0</v>
      </c>
    </row>
    <row r="1554" spans="1:14" x14ac:dyDescent="0.25">
      <c r="A1554">
        <v>935.08719399999995</v>
      </c>
      <c r="B1554" s="1">
        <f>DATE(2012,11,21) + TIME(2,5,33)</f>
        <v>41234.087187500001</v>
      </c>
      <c r="C1554">
        <v>80</v>
      </c>
      <c r="D1554">
        <v>77.428886414000004</v>
      </c>
      <c r="E1554">
        <v>50</v>
      </c>
      <c r="F1554">
        <v>49.970890044999997</v>
      </c>
      <c r="G1554">
        <v>1301.659668</v>
      </c>
      <c r="H1554">
        <v>1288.8518065999999</v>
      </c>
      <c r="I1554">
        <v>1396.1943358999999</v>
      </c>
      <c r="J1554">
        <v>1376.6501464999999</v>
      </c>
      <c r="K1554">
        <v>0</v>
      </c>
      <c r="L1554">
        <v>2400</v>
      </c>
      <c r="M1554">
        <v>2400</v>
      </c>
      <c r="N1554">
        <v>0</v>
      </c>
    </row>
    <row r="1555" spans="1:14" x14ac:dyDescent="0.25">
      <c r="A1555">
        <v>936.04405499999996</v>
      </c>
      <c r="B1555" s="1">
        <f>DATE(2012,11,22) + TIME(1,3,26)</f>
        <v>41235.044050925928</v>
      </c>
      <c r="C1555">
        <v>80</v>
      </c>
      <c r="D1555">
        <v>77.337509155000006</v>
      </c>
      <c r="E1555">
        <v>50</v>
      </c>
      <c r="F1555">
        <v>49.970893859999997</v>
      </c>
      <c r="G1555">
        <v>1301.6044922000001</v>
      </c>
      <c r="H1555">
        <v>1288.7828368999999</v>
      </c>
      <c r="I1555">
        <v>1396.1418457</v>
      </c>
      <c r="J1555">
        <v>1376.6107178</v>
      </c>
      <c r="K1555">
        <v>0</v>
      </c>
      <c r="L1555">
        <v>2400</v>
      </c>
      <c r="M1555">
        <v>2400</v>
      </c>
      <c r="N1555">
        <v>0</v>
      </c>
    </row>
    <row r="1556" spans="1:14" x14ac:dyDescent="0.25">
      <c r="A1556">
        <v>937.04650300000003</v>
      </c>
      <c r="B1556" s="1">
        <f>DATE(2012,11,23) + TIME(1,6,57)</f>
        <v>41236.046493055554</v>
      </c>
      <c r="C1556">
        <v>80</v>
      </c>
      <c r="D1556">
        <v>77.243804932000003</v>
      </c>
      <c r="E1556">
        <v>50</v>
      </c>
      <c r="F1556">
        <v>49.970901488999999</v>
      </c>
      <c r="G1556">
        <v>1301.5463867000001</v>
      </c>
      <c r="H1556">
        <v>1288.7097168</v>
      </c>
      <c r="I1556">
        <v>1396.0899658000001</v>
      </c>
      <c r="J1556">
        <v>1376.5715332</v>
      </c>
      <c r="K1556">
        <v>0</v>
      </c>
      <c r="L1556">
        <v>2400</v>
      </c>
      <c r="M1556">
        <v>2400</v>
      </c>
      <c r="N1556">
        <v>0</v>
      </c>
    </row>
    <row r="1557" spans="1:14" x14ac:dyDescent="0.25">
      <c r="A1557">
        <v>938.10746600000004</v>
      </c>
      <c r="B1557" s="1">
        <f>DATE(2012,11,24) + TIME(2,34,45)</f>
        <v>41237.107465277775</v>
      </c>
      <c r="C1557">
        <v>80</v>
      </c>
      <c r="D1557">
        <v>77.146896362000007</v>
      </c>
      <c r="E1557">
        <v>50</v>
      </c>
      <c r="F1557">
        <v>49.970912933000001</v>
      </c>
      <c r="G1557">
        <v>1301.4846190999999</v>
      </c>
      <c r="H1557">
        <v>1288.6314697</v>
      </c>
      <c r="I1557">
        <v>1396.0379639</v>
      </c>
      <c r="J1557">
        <v>1376.5322266000001</v>
      </c>
      <c r="K1557">
        <v>0</v>
      </c>
      <c r="L1557">
        <v>2400</v>
      </c>
      <c r="M1557">
        <v>2400</v>
      </c>
      <c r="N1557">
        <v>0</v>
      </c>
    </row>
    <row r="1558" spans="1:14" x14ac:dyDescent="0.25">
      <c r="A1558">
        <v>939.20416599999999</v>
      </c>
      <c r="B1558" s="1">
        <f>DATE(2012,11,25) + TIME(4,53,59)</f>
        <v>41238.204155092593</v>
      </c>
      <c r="C1558">
        <v>80</v>
      </c>
      <c r="D1558">
        <v>77.047172545999999</v>
      </c>
      <c r="E1558">
        <v>50</v>
      </c>
      <c r="F1558">
        <v>49.970920563</v>
      </c>
      <c r="G1558">
        <v>1301.4187012</v>
      </c>
      <c r="H1558">
        <v>1288.5473632999999</v>
      </c>
      <c r="I1558">
        <v>1395.9855957</v>
      </c>
      <c r="J1558">
        <v>1376.4923096</v>
      </c>
      <c r="K1558">
        <v>0</v>
      </c>
      <c r="L1558">
        <v>2400</v>
      </c>
      <c r="M1558">
        <v>2400</v>
      </c>
      <c r="N1558">
        <v>0</v>
      </c>
    </row>
    <row r="1559" spans="1:14" x14ac:dyDescent="0.25">
      <c r="A1559">
        <v>940.32468300000005</v>
      </c>
      <c r="B1559" s="1">
        <f>DATE(2012,11,26) + TIME(7,47,32)</f>
        <v>41239.324675925927</v>
      </c>
      <c r="C1559">
        <v>80</v>
      </c>
      <c r="D1559">
        <v>76.945617675999998</v>
      </c>
      <c r="E1559">
        <v>50</v>
      </c>
      <c r="F1559">
        <v>49.970932007000002</v>
      </c>
      <c r="G1559">
        <v>1301.3493652</v>
      </c>
      <c r="H1559">
        <v>1288.4584961</v>
      </c>
      <c r="I1559">
        <v>1395.9339600000001</v>
      </c>
      <c r="J1559">
        <v>1376.4526367000001</v>
      </c>
      <c r="K1559">
        <v>0</v>
      </c>
      <c r="L1559">
        <v>2400</v>
      </c>
      <c r="M1559">
        <v>2400</v>
      </c>
      <c r="N1559">
        <v>0</v>
      </c>
    </row>
    <row r="1560" spans="1:14" x14ac:dyDescent="0.25">
      <c r="A1560">
        <v>941.47197600000004</v>
      </c>
      <c r="B1560" s="1">
        <f>DATE(2012,11,27) + TIME(11,19,38)</f>
        <v>41240.471967592595</v>
      </c>
      <c r="C1560">
        <v>80</v>
      </c>
      <c r="D1560">
        <v>76.842758179</v>
      </c>
      <c r="E1560">
        <v>50</v>
      </c>
      <c r="F1560">
        <v>49.970943450999997</v>
      </c>
      <c r="G1560">
        <v>1301.2772216999999</v>
      </c>
      <c r="H1560">
        <v>1288.3651123</v>
      </c>
      <c r="I1560">
        <v>1395.8833007999999</v>
      </c>
      <c r="J1560">
        <v>1376.4136963000001</v>
      </c>
      <c r="K1560">
        <v>0</v>
      </c>
      <c r="L1560">
        <v>2400</v>
      </c>
      <c r="M1560">
        <v>2400</v>
      </c>
      <c r="N1560">
        <v>0</v>
      </c>
    </row>
    <row r="1561" spans="1:14" x14ac:dyDescent="0.25">
      <c r="A1561">
        <v>942.64874599999996</v>
      </c>
      <c r="B1561" s="1">
        <f>DATE(2012,11,28) + TIME(15,34,11)</f>
        <v>41241.648738425924</v>
      </c>
      <c r="C1561">
        <v>80</v>
      </c>
      <c r="D1561">
        <v>76.738716124999996</v>
      </c>
      <c r="E1561">
        <v>50</v>
      </c>
      <c r="F1561">
        <v>49.970954894999998</v>
      </c>
      <c r="G1561">
        <v>1301.2020264</v>
      </c>
      <c r="H1561">
        <v>1288.2670897999999</v>
      </c>
      <c r="I1561">
        <v>1395.8338623</v>
      </c>
      <c r="J1561">
        <v>1376.3751221</v>
      </c>
      <c r="K1561">
        <v>0</v>
      </c>
      <c r="L1561">
        <v>2400</v>
      </c>
      <c r="M1561">
        <v>2400</v>
      </c>
      <c r="N1561">
        <v>0</v>
      </c>
    </row>
    <row r="1562" spans="1:14" x14ac:dyDescent="0.25">
      <c r="A1562">
        <v>943.85776199999998</v>
      </c>
      <c r="B1562" s="1">
        <f>DATE(2012,11,29) + TIME(20,35,10)</f>
        <v>41242.857754629629</v>
      </c>
      <c r="C1562">
        <v>80</v>
      </c>
      <c r="D1562">
        <v>76.633399963000002</v>
      </c>
      <c r="E1562">
        <v>50</v>
      </c>
      <c r="F1562">
        <v>49.970970154</v>
      </c>
      <c r="G1562">
        <v>1301.1235352000001</v>
      </c>
      <c r="H1562">
        <v>1288.1641846</v>
      </c>
      <c r="I1562">
        <v>1395.7850341999999</v>
      </c>
      <c r="J1562">
        <v>1376.3371582</v>
      </c>
      <c r="K1562">
        <v>0</v>
      </c>
      <c r="L1562">
        <v>2400</v>
      </c>
      <c r="M1562">
        <v>2400</v>
      </c>
      <c r="N1562">
        <v>0</v>
      </c>
    </row>
    <row r="1563" spans="1:14" x14ac:dyDescent="0.25">
      <c r="A1563">
        <v>945</v>
      </c>
      <c r="B1563" s="1">
        <f>DATE(2012,12,1) + TIME(0,0,0)</f>
        <v>41244</v>
      </c>
      <c r="C1563">
        <v>80</v>
      </c>
      <c r="D1563">
        <v>76.530281067000004</v>
      </c>
      <c r="E1563">
        <v>50</v>
      </c>
      <c r="F1563">
        <v>49.970981598000002</v>
      </c>
      <c r="G1563">
        <v>1301.0426024999999</v>
      </c>
      <c r="H1563">
        <v>1288.0576172000001</v>
      </c>
      <c r="I1563">
        <v>1395.7373047000001</v>
      </c>
      <c r="J1563">
        <v>1376.2996826000001</v>
      </c>
      <c r="K1563">
        <v>0</v>
      </c>
      <c r="L1563">
        <v>2400</v>
      </c>
      <c r="M1563">
        <v>2400</v>
      </c>
      <c r="N1563">
        <v>0</v>
      </c>
    </row>
    <row r="1564" spans="1:14" x14ac:dyDescent="0.25">
      <c r="A1564">
        <v>946.23014499999999</v>
      </c>
      <c r="B1564" s="1">
        <f>DATE(2012,12,2) + TIME(5,31,24)</f>
        <v>41245.230138888888</v>
      </c>
      <c r="C1564">
        <v>80</v>
      </c>
      <c r="D1564">
        <v>76.426849364999995</v>
      </c>
      <c r="E1564">
        <v>50</v>
      </c>
      <c r="F1564">
        <v>49.971000670999999</v>
      </c>
      <c r="G1564">
        <v>1300.9624022999999</v>
      </c>
      <c r="H1564">
        <v>1287.9506836</v>
      </c>
      <c r="I1564">
        <v>1395.6933594</v>
      </c>
      <c r="J1564">
        <v>1376.2648925999999</v>
      </c>
      <c r="K1564">
        <v>0</v>
      </c>
      <c r="L1564">
        <v>2400</v>
      </c>
      <c r="M1564">
        <v>2400</v>
      </c>
      <c r="N1564">
        <v>0</v>
      </c>
    </row>
    <row r="1565" spans="1:14" x14ac:dyDescent="0.25">
      <c r="A1565">
        <v>947.50543400000004</v>
      </c>
      <c r="B1565" s="1">
        <f>DATE(2012,12,3) + TIME(12,7,49)</f>
        <v>41246.505428240744</v>
      </c>
      <c r="C1565">
        <v>80</v>
      </c>
      <c r="D1565">
        <v>76.321159363000007</v>
      </c>
      <c r="E1565">
        <v>50</v>
      </c>
      <c r="F1565">
        <v>49.97101593</v>
      </c>
      <c r="G1565">
        <v>1300.8762207</v>
      </c>
      <c r="H1565">
        <v>1287.8358154</v>
      </c>
      <c r="I1565">
        <v>1395.6481934000001</v>
      </c>
      <c r="J1565">
        <v>1376.2290039</v>
      </c>
      <c r="K1565">
        <v>0</v>
      </c>
      <c r="L1565">
        <v>2400</v>
      </c>
      <c r="M1565">
        <v>2400</v>
      </c>
      <c r="N1565">
        <v>0</v>
      </c>
    </row>
    <row r="1566" spans="1:14" x14ac:dyDescent="0.25">
      <c r="A1566">
        <v>948.80861200000004</v>
      </c>
      <c r="B1566" s="1">
        <f>DATE(2012,12,4) + TIME(19,24,24)</f>
        <v>41247.808611111112</v>
      </c>
      <c r="C1566">
        <v>80</v>
      </c>
      <c r="D1566">
        <v>76.213691710999996</v>
      </c>
      <c r="E1566">
        <v>50</v>
      </c>
      <c r="F1566">
        <v>49.971035004000001</v>
      </c>
      <c r="G1566">
        <v>1300.7856445</v>
      </c>
      <c r="H1566">
        <v>1287.7144774999999</v>
      </c>
      <c r="I1566">
        <v>1395.6030272999999</v>
      </c>
      <c r="J1566">
        <v>1376.1928711</v>
      </c>
      <c r="K1566">
        <v>0</v>
      </c>
      <c r="L1566">
        <v>2400</v>
      </c>
      <c r="M1566">
        <v>2400</v>
      </c>
      <c r="N1566">
        <v>0</v>
      </c>
    </row>
    <row r="1567" spans="1:14" x14ac:dyDescent="0.25">
      <c r="A1567">
        <v>950.14304500000003</v>
      </c>
      <c r="B1567" s="1">
        <f>DATE(2012,12,6) + TIME(3,25,59)</f>
        <v>41249.143043981479</v>
      </c>
      <c r="C1567">
        <v>80</v>
      </c>
      <c r="D1567">
        <v>76.104881286999998</v>
      </c>
      <c r="E1567">
        <v>50</v>
      </c>
      <c r="F1567">
        <v>49.971054076999998</v>
      </c>
      <c r="G1567">
        <v>1300.6914062000001</v>
      </c>
      <c r="H1567">
        <v>1287.5875243999999</v>
      </c>
      <c r="I1567">
        <v>1395.5584716999999</v>
      </c>
      <c r="J1567">
        <v>1376.1572266000001</v>
      </c>
      <c r="K1567">
        <v>0</v>
      </c>
      <c r="L1567">
        <v>2400</v>
      </c>
      <c r="M1567">
        <v>2400</v>
      </c>
      <c r="N1567">
        <v>0</v>
      </c>
    </row>
    <row r="1568" spans="1:14" x14ac:dyDescent="0.25">
      <c r="A1568">
        <v>951.50594100000001</v>
      </c>
      <c r="B1568" s="1">
        <f>DATE(2012,12,7) + TIME(12,8,33)</f>
        <v>41250.505937499998</v>
      </c>
      <c r="C1568">
        <v>80</v>
      </c>
      <c r="D1568">
        <v>75.994949340999995</v>
      </c>
      <c r="E1568">
        <v>50</v>
      </c>
      <c r="F1568">
        <v>49.971076965000002</v>
      </c>
      <c r="G1568">
        <v>1300.5933838000001</v>
      </c>
      <c r="H1568">
        <v>1287.4549560999999</v>
      </c>
      <c r="I1568">
        <v>1395.5146483999999</v>
      </c>
      <c r="J1568">
        <v>1376.1217041</v>
      </c>
      <c r="K1568">
        <v>0</v>
      </c>
      <c r="L1568">
        <v>2400</v>
      </c>
      <c r="M1568">
        <v>2400</v>
      </c>
      <c r="N1568">
        <v>0</v>
      </c>
    </row>
    <row r="1569" spans="1:14" x14ac:dyDescent="0.25">
      <c r="A1569">
        <v>952.89438099999995</v>
      </c>
      <c r="B1569" s="1">
        <f>DATE(2012,12,8) + TIME(21,27,54)</f>
        <v>41251.894375000003</v>
      </c>
      <c r="C1569">
        <v>80</v>
      </c>
      <c r="D1569">
        <v>75.884132385000001</v>
      </c>
      <c r="E1569">
        <v>50</v>
      </c>
      <c r="F1569">
        <v>49.971099854000002</v>
      </c>
      <c r="G1569">
        <v>1300.4919434000001</v>
      </c>
      <c r="H1569">
        <v>1287.3168945</v>
      </c>
      <c r="I1569">
        <v>1395.4713135</v>
      </c>
      <c r="J1569">
        <v>1376.0865478999999</v>
      </c>
      <c r="K1569">
        <v>0</v>
      </c>
      <c r="L1569">
        <v>2400</v>
      </c>
      <c r="M1569">
        <v>2400</v>
      </c>
      <c r="N1569">
        <v>0</v>
      </c>
    </row>
    <row r="1570" spans="1:14" x14ac:dyDescent="0.25">
      <c r="A1570">
        <v>954.31173000000001</v>
      </c>
      <c r="B1570" s="1">
        <f>DATE(2012,12,10) + TIME(7,28,53)</f>
        <v>41253.311724537038</v>
      </c>
      <c r="C1570">
        <v>80</v>
      </c>
      <c r="D1570">
        <v>75.772483825999998</v>
      </c>
      <c r="E1570">
        <v>50</v>
      </c>
      <c r="F1570">
        <v>49.971122741999999</v>
      </c>
      <c r="G1570">
        <v>1300.3868408000001</v>
      </c>
      <c r="H1570">
        <v>1287.1734618999999</v>
      </c>
      <c r="I1570">
        <v>1395.4287108999999</v>
      </c>
      <c r="J1570">
        <v>1376.0517577999999</v>
      </c>
      <c r="K1570">
        <v>0</v>
      </c>
      <c r="L1570">
        <v>2400</v>
      </c>
      <c r="M1570">
        <v>2400</v>
      </c>
      <c r="N1570">
        <v>0</v>
      </c>
    </row>
    <row r="1571" spans="1:14" x14ac:dyDescent="0.25">
      <c r="A1571">
        <v>955.76126999999997</v>
      </c>
      <c r="B1571" s="1">
        <f>DATE(2012,12,11) + TIME(18,16,13)</f>
        <v>41254.761261574073</v>
      </c>
      <c r="C1571">
        <v>80</v>
      </c>
      <c r="D1571">
        <v>75.659881592000005</v>
      </c>
      <c r="E1571">
        <v>50</v>
      </c>
      <c r="F1571">
        <v>49.971145630000002</v>
      </c>
      <c r="G1571">
        <v>1300.2780762</v>
      </c>
      <c r="H1571">
        <v>1287.0244141000001</v>
      </c>
      <c r="I1571">
        <v>1395.3867187999999</v>
      </c>
      <c r="J1571">
        <v>1376.0172118999999</v>
      </c>
      <c r="K1571">
        <v>0</v>
      </c>
      <c r="L1571">
        <v>2400</v>
      </c>
      <c r="M1571">
        <v>2400</v>
      </c>
      <c r="N1571">
        <v>0</v>
      </c>
    </row>
    <row r="1572" spans="1:14" x14ac:dyDescent="0.25">
      <c r="A1572">
        <v>957.239643</v>
      </c>
      <c r="B1572" s="1">
        <f>DATE(2012,12,13) + TIME(5,45,5)</f>
        <v>41256.239641203705</v>
      </c>
      <c r="C1572">
        <v>80</v>
      </c>
      <c r="D1572">
        <v>75.546287536999998</v>
      </c>
      <c r="E1572">
        <v>50</v>
      </c>
      <c r="F1572">
        <v>49.971172332999998</v>
      </c>
      <c r="G1572">
        <v>1300.1655272999999</v>
      </c>
      <c r="H1572">
        <v>1286.8695068</v>
      </c>
      <c r="I1572">
        <v>1395.3452147999999</v>
      </c>
      <c r="J1572">
        <v>1375.9830322</v>
      </c>
      <c r="K1572">
        <v>0</v>
      </c>
      <c r="L1572">
        <v>2400</v>
      </c>
      <c r="M1572">
        <v>2400</v>
      </c>
      <c r="N1572">
        <v>0</v>
      </c>
    </row>
    <row r="1573" spans="1:14" x14ac:dyDescent="0.25">
      <c r="A1573">
        <v>958.74931600000002</v>
      </c>
      <c r="B1573" s="1">
        <f>DATE(2012,12,14) + TIME(17,59,0)</f>
        <v>41257.749305555553</v>
      </c>
      <c r="C1573">
        <v>80</v>
      </c>
      <c r="D1573">
        <v>75.431724548000005</v>
      </c>
      <c r="E1573">
        <v>50</v>
      </c>
      <c r="F1573">
        <v>49.971199036000002</v>
      </c>
      <c r="G1573">
        <v>1300.0490723</v>
      </c>
      <c r="H1573">
        <v>1286.7087402</v>
      </c>
      <c r="I1573">
        <v>1395.3043213000001</v>
      </c>
      <c r="J1573">
        <v>1375.9489745999999</v>
      </c>
      <c r="K1573">
        <v>0</v>
      </c>
      <c r="L1573">
        <v>2400</v>
      </c>
      <c r="M1573">
        <v>2400</v>
      </c>
      <c r="N1573">
        <v>0</v>
      </c>
    </row>
    <row r="1574" spans="1:14" x14ac:dyDescent="0.25">
      <c r="A1574">
        <v>960.29373799999996</v>
      </c>
      <c r="B1574" s="1">
        <f>DATE(2012,12,16) + TIME(7,2,58)</f>
        <v>41259.293726851851</v>
      </c>
      <c r="C1574">
        <v>80</v>
      </c>
      <c r="D1574">
        <v>75.316040039000001</v>
      </c>
      <c r="E1574">
        <v>50</v>
      </c>
      <c r="F1574">
        <v>49.971225738999998</v>
      </c>
      <c r="G1574">
        <v>1299.9287108999999</v>
      </c>
      <c r="H1574">
        <v>1286.5419922000001</v>
      </c>
      <c r="I1574">
        <v>1395.2637939000001</v>
      </c>
      <c r="J1574">
        <v>1375.9151611</v>
      </c>
      <c r="K1574">
        <v>0</v>
      </c>
      <c r="L1574">
        <v>2400</v>
      </c>
      <c r="M1574">
        <v>2400</v>
      </c>
      <c r="N1574">
        <v>0</v>
      </c>
    </row>
    <row r="1575" spans="1:14" x14ac:dyDescent="0.25">
      <c r="A1575">
        <v>961.87636099999997</v>
      </c>
      <c r="B1575" s="1">
        <f>DATE(2012,12,17) + TIME(21,1,57)</f>
        <v>41260.876354166663</v>
      </c>
      <c r="C1575">
        <v>80</v>
      </c>
      <c r="D1575">
        <v>75.199035644999995</v>
      </c>
      <c r="E1575">
        <v>50</v>
      </c>
      <c r="F1575">
        <v>49.971252440999997</v>
      </c>
      <c r="G1575">
        <v>1299.8040771000001</v>
      </c>
      <c r="H1575">
        <v>1286.3687743999999</v>
      </c>
      <c r="I1575">
        <v>1395.2236327999999</v>
      </c>
      <c r="J1575">
        <v>1375.8814697</v>
      </c>
      <c r="K1575">
        <v>0</v>
      </c>
      <c r="L1575">
        <v>2400</v>
      </c>
      <c r="M1575">
        <v>2400</v>
      </c>
      <c r="N1575">
        <v>0</v>
      </c>
    </row>
    <row r="1576" spans="1:14" x14ac:dyDescent="0.25">
      <c r="A1576">
        <v>963.50071600000001</v>
      </c>
      <c r="B1576" s="1">
        <f>DATE(2012,12,19) + TIME(12,1,1)</f>
        <v>41262.500706018516</v>
      </c>
      <c r="C1576">
        <v>80</v>
      </c>
      <c r="D1576">
        <v>75.080474854000002</v>
      </c>
      <c r="E1576">
        <v>50</v>
      </c>
      <c r="F1576">
        <v>49.971282959</v>
      </c>
      <c r="G1576">
        <v>1299.6750488</v>
      </c>
      <c r="H1576">
        <v>1286.1888428</v>
      </c>
      <c r="I1576">
        <v>1395.1837158000001</v>
      </c>
      <c r="J1576">
        <v>1375.8479004000001</v>
      </c>
      <c r="K1576">
        <v>0</v>
      </c>
      <c r="L1576">
        <v>2400</v>
      </c>
      <c r="M1576">
        <v>2400</v>
      </c>
      <c r="N1576">
        <v>0</v>
      </c>
    </row>
    <row r="1577" spans="1:14" x14ac:dyDescent="0.25">
      <c r="A1577">
        <v>965.17042900000001</v>
      </c>
      <c r="B1577" s="1">
        <f>DATE(2012,12,21) + TIME(4,5,25)</f>
        <v>41264.170428240737</v>
      </c>
      <c r="C1577">
        <v>80</v>
      </c>
      <c r="D1577">
        <v>74.960121154999996</v>
      </c>
      <c r="E1577">
        <v>50</v>
      </c>
      <c r="F1577">
        <v>49.971313477000002</v>
      </c>
      <c r="G1577">
        <v>1299.5410156</v>
      </c>
      <c r="H1577">
        <v>1286.0017089999999</v>
      </c>
      <c r="I1577">
        <v>1395.1439209</v>
      </c>
      <c r="J1577">
        <v>1375.8143310999999</v>
      </c>
      <c r="K1577">
        <v>0</v>
      </c>
      <c r="L1577">
        <v>2400</v>
      </c>
      <c r="M1577">
        <v>2400</v>
      </c>
      <c r="N1577">
        <v>0</v>
      </c>
    </row>
    <row r="1578" spans="1:14" x14ac:dyDescent="0.25">
      <c r="A1578">
        <v>966.88923399999999</v>
      </c>
      <c r="B1578" s="1">
        <f>DATE(2012,12,22) + TIME(21,20,29)</f>
        <v>41265.889224537037</v>
      </c>
      <c r="C1578">
        <v>80</v>
      </c>
      <c r="D1578">
        <v>74.837669372999997</v>
      </c>
      <c r="E1578">
        <v>50</v>
      </c>
      <c r="F1578">
        <v>49.971347809000001</v>
      </c>
      <c r="G1578">
        <v>1299.4018555</v>
      </c>
      <c r="H1578">
        <v>1285.8067627</v>
      </c>
      <c r="I1578">
        <v>1395.1043701000001</v>
      </c>
      <c r="J1578">
        <v>1375.7806396000001</v>
      </c>
      <c r="K1578">
        <v>0</v>
      </c>
      <c r="L1578">
        <v>2400</v>
      </c>
      <c r="M1578">
        <v>2400</v>
      </c>
      <c r="N1578">
        <v>0</v>
      </c>
    </row>
    <row r="1579" spans="1:14" x14ac:dyDescent="0.25">
      <c r="A1579">
        <v>968.66117499999996</v>
      </c>
      <c r="B1579" s="1">
        <f>DATE(2012,12,24) + TIME(15,52,5)</f>
        <v>41267.661168981482</v>
      </c>
      <c r="C1579">
        <v>80</v>
      </c>
      <c r="D1579">
        <v>74.712890625</v>
      </c>
      <c r="E1579">
        <v>50</v>
      </c>
      <c r="F1579">
        <v>49.971382140999999</v>
      </c>
      <c r="G1579">
        <v>1299.2572021000001</v>
      </c>
      <c r="H1579">
        <v>1285.6036377</v>
      </c>
      <c r="I1579">
        <v>1395.0648193</v>
      </c>
      <c r="J1579">
        <v>1375.7468262</v>
      </c>
      <c r="K1579">
        <v>0</v>
      </c>
      <c r="L1579">
        <v>2400</v>
      </c>
      <c r="M1579">
        <v>2400</v>
      </c>
      <c r="N1579">
        <v>0</v>
      </c>
    </row>
    <row r="1580" spans="1:14" x14ac:dyDescent="0.25">
      <c r="A1580">
        <v>970.490498</v>
      </c>
      <c r="B1580" s="1">
        <f>DATE(2012,12,26) + TIME(11,46,18)</f>
        <v>41269.490486111114</v>
      </c>
      <c r="C1580">
        <v>80</v>
      </c>
      <c r="D1580">
        <v>74.585494995000005</v>
      </c>
      <c r="E1580">
        <v>50</v>
      </c>
      <c r="F1580">
        <v>49.971416472999998</v>
      </c>
      <c r="G1580">
        <v>1299.1066894999999</v>
      </c>
      <c r="H1580">
        <v>1285.3917236</v>
      </c>
      <c r="I1580">
        <v>1395.0251464999999</v>
      </c>
      <c r="J1580">
        <v>1375.7127685999999</v>
      </c>
      <c r="K1580">
        <v>0</v>
      </c>
      <c r="L1580">
        <v>2400</v>
      </c>
      <c r="M1580">
        <v>2400</v>
      </c>
      <c r="N1580">
        <v>0</v>
      </c>
    </row>
    <row r="1581" spans="1:14" x14ac:dyDescent="0.25">
      <c r="A1581">
        <v>972.37775399999998</v>
      </c>
      <c r="B1581" s="1">
        <f>DATE(2012,12,28) + TIME(9,3,57)</f>
        <v>41271.377743055556</v>
      </c>
      <c r="C1581">
        <v>80</v>
      </c>
      <c r="D1581">
        <v>74.455276488999999</v>
      </c>
      <c r="E1581">
        <v>50</v>
      </c>
      <c r="F1581">
        <v>49.971454620000003</v>
      </c>
      <c r="G1581">
        <v>1298.9499512</v>
      </c>
      <c r="H1581">
        <v>1285.1706543</v>
      </c>
      <c r="I1581">
        <v>1394.9854736</v>
      </c>
      <c r="J1581">
        <v>1375.6784668</v>
      </c>
      <c r="K1581">
        <v>0</v>
      </c>
      <c r="L1581">
        <v>2400</v>
      </c>
      <c r="M1581">
        <v>2400</v>
      </c>
      <c r="N1581">
        <v>0</v>
      </c>
    </row>
    <row r="1582" spans="1:14" x14ac:dyDescent="0.25">
      <c r="A1582">
        <v>974.30749700000001</v>
      </c>
      <c r="B1582" s="1">
        <f>DATE(2012,12,30) + TIME(7,22,47)</f>
        <v>41273.307488425926</v>
      </c>
      <c r="C1582">
        <v>80</v>
      </c>
      <c r="D1582">
        <v>74.322441100999995</v>
      </c>
      <c r="E1582">
        <v>50</v>
      </c>
      <c r="F1582">
        <v>49.971488952999998</v>
      </c>
      <c r="G1582">
        <v>1298.7868652</v>
      </c>
      <c r="H1582">
        <v>1284.9403076000001</v>
      </c>
      <c r="I1582">
        <v>1394.9456786999999</v>
      </c>
      <c r="J1582">
        <v>1375.644043</v>
      </c>
      <c r="K1582">
        <v>0</v>
      </c>
      <c r="L1582">
        <v>2400</v>
      </c>
      <c r="M1582">
        <v>2400</v>
      </c>
      <c r="N1582">
        <v>0</v>
      </c>
    </row>
    <row r="1583" spans="1:14" x14ac:dyDescent="0.25">
      <c r="A1583">
        <v>976</v>
      </c>
      <c r="B1583" s="1">
        <f>DATE(2013,1,1) + TIME(0,0,0)</f>
        <v>41275</v>
      </c>
      <c r="C1583">
        <v>80</v>
      </c>
      <c r="D1583">
        <v>74.193481445000003</v>
      </c>
      <c r="E1583">
        <v>50</v>
      </c>
      <c r="F1583">
        <v>49.971519469999997</v>
      </c>
      <c r="G1583">
        <v>1298.621582</v>
      </c>
      <c r="H1583">
        <v>1284.7070312000001</v>
      </c>
      <c r="I1583">
        <v>1394.9067382999999</v>
      </c>
      <c r="J1583">
        <v>1375.6101074000001</v>
      </c>
      <c r="K1583">
        <v>0</v>
      </c>
      <c r="L1583">
        <v>2400</v>
      </c>
      <c r="M1583">
        <v>2400</v>
      </c>
      <c r="N1583">
        <v>0</v>
      </c>
    </row>
    <row r="1584" spans="1:14" x14ac:dyDescent="0.25">
      <c r="A1584">
        <v>977.97721300000001</v>
      </c>
      <c r="B1584" s="1">
        <f>DATE(2013,1,2) + TIME(23,27,11)</f>
        <v>41276.977210648147</v>
      </c>
      <c r="C1584">
        <v>80</v>
      </c>
      <c r="D1584">
        <v>74.066818237000007</v>
      </c>
      <c r="E1584">
        <v>50</v>
      </c>
      <c r="F1584">
        <v>49.971565247000001</v>
      </c>
      <c r="G1584">
        <v>1298.4672852000001</v>
      </c>
      <c r="H1584">
        <v>1284.4860839999999</v>
      </c>
      <c r="I1584">
        <v>1394.8721923999999</v>
      </c>
      <c r="J1584">
        <v>1375.5798339999999</v>
      </c>
      <c r="K1584">
        <v>0</v>
      </c>
      <c r="L1584">
        <v>2400</v>
      </c>
      <c r="M1584">
        <v>2400</v>
      </c>
      <c r="N1584">
        <v>0</v>
      </c>
    </row>
    <row r="1585" spans="1:14" x14ac:dyDescent="0.25">
      <c r="A1585">
        <v>980.05098699999996</v>
      </c>
      <c r="B1585" s="1">
        <f>DATE(2013,1,5) + TIME(1,13,25)</f>
        <v>41279.050983796296</v>
      </c>
      <c r="C1585">
        <v>80</v>
      </c>
      <c r="D1585">
        <v>73.931625366000006</v>
      </c>
      <c r="E1585">
        <v>50</v>
      </c>
      <c r="F1585">
        <v>49.971603393999999</v>
      </c>
      <c r="G1585">
        <v>1298.293457</v>
      </c>
      <c r="H1585">
        <v>1284.239624</v>
      </c>
      <c r="I1585">
        <v>1394.8338623</v>
      </c>
      <c r="J1585">
        <v>1375.5461425999999</v>
      </c>
      <c r="K1585">
        <v>0</v>
      </c>
      <c r="L1585">
        <v>2400</v>
      </c>
      <c r="M1585">
        <v>2400</v>
      </c>
      <c r="N1585">
        <v>0</v>
      </c>
    </row>
    <row r="1586" spans="1:14" x14ac:dyDescent="0.25">
      <c r="A1586">
        <v>982.17633499999999</v>
      </c>
      <c r="B1586" s="1">
        <f>DATE(2013,1,7) + TIME(4,13,55)</f>
        <v>41281.17633101852</v>
      </c>
      <c r="C1586">
        <v>80</v>
      </c>
      <c r="D1586">
        <v>73.790679932000003</v>
      </c>
      <c r="E1586">
        <v>50</v>
      </c>
      <c r="F1586">
        <v>49.971645355</v>
      </c>
      <c r="G1586">
        <v>1298.1094971</v>
      </c>
      <c r="H1586">
        <v>1283.9782714999999</v>
      </c>
      <c r="I1586">
        <v>1394.7945557</v>
      </c>
      <c r="J1586">
        <v>1375.5115966999999</v>
      </c>
      <c r="K1586">
        <v>0</v>
      </c>
      <c r="L1586">
        <v>2400</v>
      </c>
      <c r="M1586">
        <v>2400</v>
      </c>
      <c r="N1586">
        <v>0</v>
      </c>
    </row>
    <row r="1587" spans="1:14" x14ac:dyDescent="0.25">
      <c r="A1587">
        <v>984.35759299999995</v>
      </c>
      <c r="B1587" s="1">
        <f>DATE(2013,1,9) + TIME(8,34,56)</f>
        <v>41283.357592592591</v>
      </c>
      <c r="C1587">
        <v>80</v>
      </c>
      <c r="D1587">
        <v>73.646087645999998</v>
      </c>
      <c r="E1587">
        <v>50</v>
      </c>
      <c r="F1587">
        <v>49.971691131999997</v>
      </c>
      <c r="G1587">
        <v>1297.9189452999999</v>
      </c>
      <c r="H1587">
        <v>1283.7069091999999</v>
      </c>
      <c r="I1587">
        <v>1394.7553711</v>
      </c>
      <c r="J1587">
        <v>1375.4768065999999</v>
      </c>
      <c r="K1587">
        <v>0</v>
      </c>
      <c r="L1587">
        <v>2400</v>
      </c>
      <c r="M1587">
        <v>2400</v>
      </c>
      <c r="N1587">
        <v>0</v>
      </c>
    </row>
    <row r="1588" spans="1:14" x14ac:dyDescent="0.25">
      <c r="A1588">
        <v>986.58281299999999</v>
      </c>
      <c r="B1588" s="1">
        <f>DATE(2013,1,11) + TIME(13,59,15)</f>
        <v>41285.582812499997</v>
      </c>
      <c r="C1588">
        <v>80</v>
      </c>
      <c r="D1588">
        <v>73.498458862000007</v>
      </c>
      <c r="E1588">
        <v>50</v>
      </c>
      <c r="F1588">
        <v>49.971733092999997</v>
      </c>
      <c r="G1588">
        <v>1297.7220459</v>
      </c>
      <c r="H1588">
        <v>1283.4259033000001</v>
      </c>
      <c r="I1588">
        <v>1394.7160644999999</v>
      </c>
      <c r="J1588">
        <v>1375.4418945</v>
      </c>
      <c r="K1588">
        <v>0</v>
      </c>
      <c r="L1588">
        <v>2400</v>
      </c>
      <c r="M1588">
        <v>2400</v>
      </c>
      <c r="N1588">
        <v>0</v>
      </c>
    </row>
    <row r="1589" spans="1:14" x14ac:dyDescent="0.25">
      <c r="A1589">
        <v>988.84995200000003</v>
      </c>
      <c r="B1589" s="1">
        <f>DATE(2013,1,13) + TIME(20,23,55)</f>
        <v>41287.849942129629</v>
      </c>
      <c r="C1589">
        <v>80</v>
      </c>
      <c r="D1589">
        <v>73.348297118999994</v>
      </c>
      <c r="E1589">
        <v>50</v>
      </c>
      <c r="F1589">
        <v>49.971778870000001</v>
      </c>
      <c r="G1589">
        <v>1297.5196533000001</v>
      </c>
      <c r="H1589">
        <v>1283.1367187999999</v>
      </c>
      <c r="I1589">
        <v>1394.677124</v>
      </c>
      <c r="J1589">
        <v>1375.4071045000001</v>
      </c>
      <c r="K1589">
        <v>0</v>
      </c>
      <c r="L1589">
        <v>2400</v>
      </c>
      <c r="M1589">
        <v>2400</v>
      </c>
      <c r="N1589">
        <v>0</v>
      </c>
    </row>
    <row r="1590" spans="1:14" x14ac:dyDescent="0.25">
      <c r="A1590">
        <v>991.16331500000001</v>
      </c>
      <c r="B1590" s="1">
        <f>DATE(2013,1,16) + TIME(3,55,10)</f>
        <v>41290.163310185184</v>
      </c>
      <c r="C1590">
        <v>80</v>
      </c>
      <c r="D1590">
        <v>73.195678710999999</v>
      </c>
      <c r="E1590">
        <v>50</v>
      </c>
      <c r="F1590">
        <v>49.971828461000001</v>
      </c>
      <c r="G1590">
        <v>1297.3121338000001</v>
      </c>
      <c r="H1590">
        <v>1282.8395995999999</v>
      </c>
      <c r="I1590">
        <v>1394.6383057</v>
      </c>
      <c r="J1590">
        <v>1375.3723144999999</v>
      </c>
      <c r="K1590">
        <v>0</v>
      </c>
      <c r="L1590">
        <v>2400</v>
      </c>
      <c r="M1590">
        <v>2400</v>
      </c>
      <c r="N1590">
        <v>0</v>
      </c>
    </row>
    <row r="1591" spans="1:14" x14ac:dyDescent="0.25">
      <c r="A1591">
        <v>993.52680599999997</v>
      </c>
      <c r="B1591" s="1">
        <f>DATE(2013,1,18) + TIME(12,38,36)</f>
        <v>41292.526805555557</v>
      </c>
      <c r="C1591">
        <v>80</v>
      </c>
      <c r="D1591">
        <v>73.040344238000003</v>
      </c>
      <c r="E1591">
        <v>50</v>
      </c>
      <c r="F1591">
        <v>49.971874237000002</v>
      </c>
      <c r="G1591">
        <v>1297.0991211</v>
      </c>
      <c r="H1591">
        <v>1282.5344238</v>
      </c>
      <c r="I1591">
        <v>1394.5996094</v>
      </c>
      <c r="J1591">
        <v>1375.3375243999999</v>
      </c>
      <c r="K1591">
        <v>0</v>
      </c>
      <c r="L1591">
        <v>2400</v>
      </c>
      <c r="M1591">
        <v>2400</v>
      </c>
      <c r="N1591">
        <v>0</v>
      </c>
    </row>
    <row r="1592" spans="1:14" x14ac:dyDescent="0.25">
      <c r="A1592">
        <v>995.929618</v>
      </c>
      <c r="B1592" s="1">
        <f>DATE(2013,1,20) + TIME(22,18,38)</f>
        <v>41294.929606481484</v>
      </c>
      <c r="C1592">
        <v>80</v>
      </c>
      <c r="D1592">
        <v>72.882110596000004</v>
      </c>
      <c r="E1592">
        <v>50</v>
      </c>
      <c r="F1592">
        <v>49.971923828000001</v>
      </c>
      <c r="G1592">
        <v>1296.8804932</v>
      </c>
      <c r="H1592">
        <v>1282.2207031</v>
      </c>
      <c r="I1592">
        <v>1394.5610352000001</v>
      </c>
      <c r="J1592">
        <v>1375.3026123</v>
      </c>
      <c r="K1592">
        <v>0</v>
      </c>
      <c r="L1592">
        <v>2400</v>
      </c>
      <c r="M1592">
        <v>2400</v>
      </c>
      <c r="N1592">
        <v>0</v>
      </c>
    </row>
    <row r="1593" spans="1:14" x14ac:dyDescent="0.25">
      <c r="A1593">
        <v>998.37859100000003</v>
      </c>
      <c r="B1593" s="1">
        <f>DATE(2013,1,23) + TIME(9,5,10)</f>
        <v>41297.378587962965</v>
      </c>
      <c r="C1593">
        <v>80</v>
      </c>
      <c r="D1593">
        <v>72.721076964999995</v>
      </c>
      <c r="E1593">
        <v>50</v>
      </c>
      <c r="F1593">
        <v>49.971973419000001</v>
      </c>
      <c r="G1593">
        <v>1296.6567382999999</v>
      </c>
      <c r="H1593">
        <v>1281.8994141000001</v>
      </c>
      <c r="I1593">
        <v>1394.5227050999999</v>
      </c>
      <c r="J1593">
        <v>1375.2678223</v>
      </c>
      <c r="K1593">
        <v>0</v>
      </c>
      <c r="L1593">
        <v>2400</v>
      </c>
      <c r="M1593">
        <v>2400</v>
      </c>
      <c r="N1593">
        <v>0</v>
      </c>
    </row>
    <row r="1594" spans="1:14" x14ac:dyDescent="0.25">
      <c r="A1594">
        <v>1000.877514</v>
      </c>
      <c r="B1594" s="1">
        <f>DATE(2013,1,25) + TIME(21,3,37)</f>
        <v>41299.877511574072</v>
      </c>
      <c r="C1594">
        <v>80</v>
      </c>
      <c r="D1594">
        <v>72.556846618999998</v>
      </c>
      <c r="E1594">
        <v>50</v>
      </c>
      <c r="F1594">
        <v>49.972023010000001</v>
      </c>
      <c r="G1594">
        <v>1296.4276123</v>
      </c>
      <c r="H1594">
        <v>1281.5699463000001</v>
      </c>
      <c r="I1594">
        <v>1394.4844971</v>
      </c>
      <c r="J1594">
        <v>1375.2330322</v>
      </c>
      <c r="K1594">
        <v>0</v>
      </c>
      <c r="L1594">
        <v>2400</v>
      </c>
      <c r="M1594">
        <v>2400</v>
      </c>
      <c r="N1594">
        <v>0</v>
      </c>
    </row>
    <row r="1595" spans="1:14" x14ac:dyDescent="0.25">
      <c r="A1595">
        <v>1003.431048</v>
      </c>
      <c r="B1595" s="1">
        <f>DATE(2013,1,28) + TIME(10,20,42)</f>
        <v>41302.431041666663</v>
      </c>
      <c r="C1595">
        <v>80</v>
      </c>
      <c r="D1595">
        <v>72.388946532999995</v>
      </c>
      <c r="E1595">
        <v>50</v>
      </c>
      <c r="F1595">
        <v>49.972076416</v>
      </c>
      <c r="G1595">
        <v>1296.1926269999999</v>
      </c>
      <c r="H1595">
        <v>1281.2316894999999</v>
      </c>
      <c r="I1595">
        <v>1394.4462891000001</v>
      </c>
      <c r="J1595">
        <v>1375.1981201000001</v>
      </c>
      <c r="K1595">
        <v>0</v>
      </c>
      <c r="L1595">
        <v>2400</v>
      </c>
      <c r="M1595">
        <v>2400</v>
      </c>
      <c r="N1595">
        <v>0</v>
      </c>
    </row>
    <row r="1596" spans="1:14" x14ac:dyDescent="0.25">
      <c r="A1596">
        <v>1006.044025</v>
      </c>
      <c r="B1596" s="1">
        <f>DATE(2013,1,31) + TIME(1,3,23)</f>
        <v>41305.044016203705</v>
      </c>
      <c r="C1596">
        <v>80</v>
      </c>
      <c r="D1596">
        <v>72.216896057</v>
      </c>
      <c r="E1596">
        <v>50</v>
      </c>
      <c r="F1596">
        <v>49.972129821999999</v>
      </c>
      <c r="G1596">
        <v>1295.9512939000001</v>
      </c>
      <c r="H1596">
        <v>1280.8841553</v>
      </c>
      <c r="I1596">
        <v>1394.4080810999999</v>
      </c>
      <c r="J1596">
        <v>1375.1630858999999</v>
      </c>
      <c r="K1596">
        <v>0</v>
      </c>
      <c r="L1596">
        <v>2400</v>
      </c>
      <c r="M1596">
        <v>2400</v>
      </c>
      <c r="N1596">
        <v>0</v>
      </c>
    </row>
    <row r="1597" spans="1:14" x14ac:dyDescent="0.25">
      <c r="A1597">
        <v>1007</v>
      </c>
      <c r="B1597" s="1">
        <f>DATE(2013,2,1) + TIME(0,0,0)</f>
        <v>41306</v>
      </c>
      <c r="C1597">
        <v>80</v>
      </c>
      <c r="D1597">
        <v>72.088996886999993</v>
      </c>
      <c r="E1597">
        <v>50</v>
      </c>
      <c r="F1597">
        <v>49.972133636000002</v>
      </c>
      <c r="G1597">
        <v>1295.7298584</v>
      </c>
      <c r="H1597">
        <v>1280.5737305</v>
      </c>
      <c r="I1597">
        <v>1394.3751221</v>
      </c>
      <c r="J1597">
        <v>1375.1330565999999</v>
      </c>
      <c r="K1597">
        <v>0</v>
      </c>
      <c r="L1597">
        <v>2400</v>
      </c>
      <c r="M1597">
        <v>2400</v>
      </c>
      <c r="N1597">
        <v>0</v>
      </c>
    </row>
    <row r="1598" spans="1:14" x14ac:dyDescent="0.25">
      <c r="A1598">
        <v>1009.677184</v>
      </c>
      <c r="B1598" s="1">
        <f>DATE(2013,2,3) + TIME(16,15,8)</f>
        <v>41308.677175925928</v>
      </c>
      <c r="C1598">
        <v>80</v>
      </c>
      <c r="D1598">
        <v>71.961463928000001</v>
      </c>
      <c r="E1598">
        <v>50</v>
      </c>
      <c r="F1598">
        <v>49.972202301000003</v>
      </c>
      <c r="G1598">
        <v>1295.5986327999999</v>
      </c>
      <c r="H1598">
        <v>1280.3681641000001</v>
      </c>
      <c r="I1598">
        <v>1394.3546143000001</v>
      </c>
      <c r="J1598">
        <v>1375.1137695</v>
      </c>
      <c r="K1598">
        <v>0</v>
      </c>
      <c r="L1598">
        <v>2400</v>
      </c>
      <c r="M1598">
        <v>2400</v>
      </c>
      <c r="N1598">
        <v>0</v>
      </c>
    </row>
    <row r="1599" spans="1:14" x14ac:dyDescent="0.25">
      <c r="A1599">
        <v>1012.446307</v>
      </c>
      <c r="B1599" s="1">
        <f>DATE(2013,2,6) + TIME(10,42,40)</f>
        <v>41311.446296296293</v>
      </c>
      <c r="C1599">
        <v>80</v>
      </c>
      <c r="D1599">
        <v>71.789833068999997</v>
      </c>
      <c r="E1599">
        <v>50</v>
      </c>
      <c r="F1599">
        <v>49.972259520999998</v>
      </c>
      <c r="G1599">
        <v>1295.3529053</v>
      </c>
      <c r="H1599">
        <v>1280.0187988</v>
      </c>
      <c r="I1599">
        <v>1394.3175048999999</v>
      </c>
      <c r="J1599">
        <v>1375.0794678</v>
      </c>
      <c r="K1599">
        <v>0</v>
      </c>
      <c r="L1599">
        <v>2400</v>
      </c>
      <c r="M1599">
        <v>2400</v>
      </c>
      <c r="N1599">
        <v>0</v>
      </c>
    </row>
    <row r="1600" spans="1:14" x14ac:dyDescent="0.25">
      <c r="A1600">
        <v>1015.2952289999999</v>
      </c>
      <c r="B1600" s="1">
        <f>DATE(2013,2,9) + TIME(7,5,7)</f>
        <v>41314.295219907406</v>
      </c>
      <c r="C1600">
        <v>80</v>
      </c>
      <c r="D1600">
        <v>71.602180481000005</v>
      </c>
      <c r="E1600">
        <v>50</v>
      </c>
      <c r="F1600">
        <v>49.972312926999997</v>
      </c>
      <c r="G1600">
        <v>1295.0897216999999</v>
      </c>
      <c r="H1600">
        <v>1279.6398925999999</v>
      </c>
      <c r="I1600">
        <v>1394.2788086</v>
      </c>
      <c r="J1600">
        <v>1375.0435791</v>
      </c>
      <c r="K1600">
        <v>0</v>
      </c>
      <c r="L1600">
        <v>2400</v>
      </c>
      <c r="M1600">
        <v>2400</v>
      </c>
      <c r="N1600">
        <v>0</v>
      </c>
    </row>
    <row r="1601" spans="1:14" x14ac:dyDescent="0.25">
      <c r="A1601">
        <v>1018.225632</v>
      </c>
      <c r="B1601" s="1">
        <f>DATE(2013,2,12) + TIME(5,24,54)</f>
        <v>41317.225624999999</v>
      </c>
      <c r="C1601">
        <v>80</v>
      </c>
      <c r="D1601">
        <v>71.405708313000005</v>
      </c>
      <c r="E1601">
        <v>50</v>
      </c>
      <c r="F1601">
        <v>49.972373961999999</v>
      </c>
      <c r="G1601">
        <v>1294.815918</v>
      </c>
      <c r="H1601">
        <v>1279.2442627</v>
      </c>
      <c r="I1601">
        <v>1394.2397461</v>
      </c>
      <c r="J1601">
        <v>1375.0072021000001</v>
      </c>
      <c r="K1601">
        <v>0</v>
      </c>
      <c r="L1601">
        <v>2400</v>
      </c>
      <c r="M1601">
        <v>2400</v>
      </c>
      <c r="N1601">
        <v>0</v>
      </c>
    </row>
    <row r="1602" spans="1:14" x14ac:dyDescent="0.25">
      <c r="A1602">
        <v>1021.241453</v>
      </c>
      <c r="B1602" s="1">
        <f>DATE(2013,2,15) + TIME(5,47,41)</f>
        <v>41320.241446759261</v>
      </c>
      <c r="C1602">
        <v>80</v>
      </c>
      <c r="D1602">
        <v>71.201156616000006</v>
      </c>
      <c r="E1602">
        <v>50</v>
      </c>
      <c r="F1602">
        <v>49.972431182999998</v>
      </c>
      <c r="G1602">
        <v>1294.5325928</v>
      </c>
      <c r="H1602">
        <v>1278.8339844</v>
      </c>
      <c r="I1602">
        <v>1394.2001952999999</v>
      </c>
      <c r="J1602">
        <v>1374.9702147999999</v>
      </c>
      <c r="K1602">
        <v>0</v>
      </c>
      <c r="L1602">
        <v>2400</v>
      </c>
      <c r="M1602">
        <v>2400</v>
      </c>
      <c r="N1602">
        <v>0</v>
      </c>
    </row>
    <row r="1603" spans="1:14" x14ac:dyDescent="0.25">
      <c r="A1603">
        <v>1024.3222060000001</v>
      </c>
      <c r="B1603" s="1">
        <f>DATE(2013,2,18) + TIME(7,43,58)</f>
        <v>41323.322199074071</v>
      </c>
      <c r="C1603">
        <v>80</v>
      </c>
      <c r="D1603">
        <v>70.988525390999996</v>
      </c>
      <c r="E1603">
        <v>50</v>
      </c>
      <c r="F1603">
        <v>49.972492217999999</v>
      </c>
      <c r="G1603">
        <v>1294.239624</v>
      </c>
      <c r="H1603">
        <v>1278.4095459</v>
      </c>
      <c r="I1603">
        <v>1394.1601562000001</v>
      </c>
      <c r="J1603">
        <v>1374.9328613</v>
      </c>
      <c r="K1603">
        <v>0</v>
      </c>
      <c r="L1603">
        <v>2400</v>
      </c>
      <c r="M1603">
        <v>2400</v>
      </c>
      <c r="N1603">
        <v>0</v>
      </c>
    </row>
    <row r="1604" spans="1:14" x14ac:dyDescent="0.25">
      <c r="A1604">
        <v>1027.4698129999999</v>
      </c>
      <c r="B1604" s="1">
        <f>DATE(2013,2,21) + TIME(11,16,31)</f>
        <v>41326.46980324074</v>
      </c>
      <c r="C1604">
        <v>80</v>
      </c>
      <c r="D1604">
        <v>70.768241881999998</v>
      </c>
      <c r="E1604">
        <v>50</v>
      </c>
      <c r="F1604">
        <v>49.972557068</v>
      </c>
      <c r="G1604">
        <v>1293.9387207</v>
      </c>
      <c r="H1604">
        <v>1277.9727783000001</v>
      </c>
      <c r="I1604">
        <v>1394.1199951000001</v>
      </c>
      <c r="J1604">
        <v>1374.8951416</v>
      </c>
      <c r="K1604">
        <v>0</v>
      </c>
      <c r="L1604">
        <v>2400</v>
      </c>
      <c r="M1604">
        <v>2400</v>
      </c>
      <c r="N1604">
        <v>0</v>
      </c>
    </row>
    <row r="1605" spans="1:14" x14ac:dyDescent="0.25">
      <c r="A1605">
        <v>1030.6900049999999</v>
      </c>
      <c r="B1605" s="1">
        <f>DATE(2013,2,24) + TIME(16,33,36)</f>
        <v>41329.69</v>
      </c>
      <c r="C1605">
        <v>80</v>
      </c>
      <c r="D1605">
        <v>70.539840698000006</v>
      </c>
      <c r="E1605">
        <v>50</v>
      </c>
      <c r="F1605">
        <v>49.972618103000002</v>
      </c>
      <c r="G1605">
        <v>1293.6297606999999</v>
      </c>
      <c r="H1605">
        <v>1277.5238036999999</v>
      </c>
      <c r="I1605">
        <v>1394.0795897999999</v>
      </c>
      <c r="J1605">
        <v>1374.8570557</v>
      </c>
      <c r="K1605">
        <v>0</v>
      </c>
      <c r="L1605">
        <v>2400</v>
      </c>
      <c r="M1605">
        <v>2400</v>
      </c>
      <c r="N1605">
        <v>0</v>
      </c>
    </row>
    <row r="1606" spans="1:14" x14ac:dyDescent="0.25">
      <c r="A1606">
        <v>1033.9887859999999</v>
      </c>
      <c r="B1606" s="1">
        <f>DATE(2013,2,27) + TIME(23,43,51)</f>
        <v>41332.98878472222</v>
      </c>
      <c r="C1606">
        <v>80</v>
      </c>
      <c r="D1606">
        <v>70.302406310999999</v>
      </c>
      <c r="E1606">
        <v>50</v>
      </c>
      <c r="F1606">
        <v>49.972682953000003</v>
      </c>
      <c r="G1606">
        <v>1293.3123779</v>
      </c>
      <c r="H1606">
        <v>1277.0617675999999</v>
      </c>
      <c r="I1606">
        <v>1394.0389404</v>
      </c>
      <c r="J1606">
        <v>1374.8186035000001</v>
      </c>
      <c r="K1606">
        <v>0</v>
      </c>
      <c r="L1606">
        <v>2400</v>
      </c>
      <c r="M1606">
        <v>2400</v>
      </c>
      <c r="N1606">
        <v>0</v>
      </c>
    </row>
    <row r="1607" spans="1:14" x14ac:dyDescent="0.25">
      <c r="A1607">
        <v>1035</v>
      </c>
      <c r="B1607" s="1">
        <f>DATE(2013,3,1) + TIME(0,0,0)</f>
        <v>41334</v>
      </c>
      <c r="C1607">
        <v>80</v>
      </c>
      <c r="D1607">
        <v>70.124725342000005</v>
      </c>
      <c r="E1607">
        <v>50</v>
      </c>
      <c r="F1607">
        <v>49.972686768000003</v>
      </c>
      <c r="G1607">
        <v>1293.0205077999999</v>
      </c>
      <c r="H1607">
        <v>1276.6520995999999</v>
      </c>
      <c r="I1607">
        <v>1394.0059814000001</v>
      </c>
      <c r="J1607">
        <v>1374.7877197</v>
      </c>
      <c r="K1607">
        <v>0</v>
      </c>
      <c r="L1607">
        <v>2400</v>
      </c>
      <c r="M1607">
        <v>2400</v>
      </c>
      <c r="N1607">
        <v>0</v>
      </c>
    </row>
    <row r="1608" spans="1:14" x14ac:dyDescent="0.25">
      <c r="A1608">
        <v>1038.3840049999999</v>
      </c>
      <c r="B1608" s="1">
        <f>DATE(2013,3,4) + TIME(9,12,58)</f>
        <v>41337.384004629632</v>
      </c>
      <c r="C1608">
        <v>80</v>
      </c>
      <c r="D1608">
        <v>69.959854125999996</v>
      </c>
      <c r="E1608">
        <v>50</v>
      </c>
      <c r="F1608">
        <v>49.972770691000001</v>
      </c>
      <c r="G1608">
        <v>1292.8675536999999</v>
      </c>
      <c r="H1608">
        <v>1276.4019774999999</v>
      </c>
      <c r="I1608">
        <v>1393.9836425999999</v>
      </c>
      <c r="J1608">
        <v>1374.7662353999999</v>
      </c>
      <c r="K1608">
        <v>0</v>
      </c>
      <c r="L1608">
        <v>2400</v>
      </c>
      <c r="M1608">
        <v>2400</v>
      </c>
      <c r="N1608">
        <v>0</v>
      </c>
    </row>
    <row r="1609" spans="1:14" x14ac:dyDescent="0.25">
      <c r="A1609">
        <v>1041.877205</v>
      </c>
      <c r="B1609" s="1">
        <f>DATE(2013,3,7) + TIME(21,3,10)</f>
        <v>41340.877199074072</v>
      </c>
      <c r="C1609">
        <v>80</v>
      </c>
      <c r="D1609">
        <v>69.715072632000002</v>
      </c>
      <c r="E1609">
        <v>50</v>
      </c>
      <c r="F1609">
        <v>49.972835541000002</v>
      </c>
      <c r="G1609">
        <v>1292.5444336</v>
      </c>
      <c r="H1609">
        <v>1275.9393310999999</v>
      </c>
      <c r="I1609">
        <v>1393.9436035000001</v>
      </c>
      <c r="J1609">
        <v>1374.7281493999999</v>
      </c>
      <c r="K1609">
        <v>0</v>
      </c>
      <c r="L1609">
        <v>2400</v>
      </c>
      <c r="M1609">
        <v>2400</v>
      </c>
      <c r="N1609">
        <v>0</v>
      </c>
    </row>
    <row r="1610" spans="1:14" x14ac:dyDescent="0.25">
      <c r="A1610">
        <v>1045.4599820000001</v>
      </c>
      <c r="B1610" s="1">
        <f>DATE(2013,3,11) + TIME(11,2,22)</f>
        <v>41344.459976851853</v>
      </c>
      <c r="C1610">
        <v>80</v>
      </c>
      <c r="D1610">
        <v>69.442832946999999</v>
      </c>
      <c r="E1610">
        <v>50</v>
      </c>
      <c r="F1610">
        <v>49.972904204999999</v>
      </c>
      <c r="G1610">
        <v>1292.1983643000001</v>
      </c>
      <c r="H1610">
        <v>1275.4350586</v>
      </c>
      <c r="I1610">
        <v>1393.9017334</v>
      </c>
      <c r="J1610">
        <v>1374.6882324000001</v>
      </c>
      <c r="K1610">
        <v>0</v>
      </c>
      <c r="L1610">
        <v>2400</v>
      </c>
      <c r="M1610">
        <v>2400</v>
      </c>
      <c r="N1610">
        <v>0</v>
      </c>
    </row>
    <row r="1611" spans="1:14" x14ac:dyDescent="0.25">
      <c r="A1611">
        <v>1049.1106930000001</v>
      </c>
      <c r="B1611" s="1">
        <f>DATE(2013,3,15) + TIME(2,39,23)</f>
        <v>41348.110682870371</v>
      </c>
      <c r="C1611">
        <v>80</v>
      </c>
      <c r="D1611">
        <v>69.155532836999996</v>
      </c>
      <c r="E1611">
        <v>50</v>
      </c>
      <c r="F1611">
        <v>49.97297287</v>
      </c>
      <c r="G1611">
        <v>1291.8397216999999</v>
      </c>
      <c r="H1611">
        <v>1274.9101562000001</v>
      </c>
      <c r="I1611">
        <v>1393.8591309000001</v>
      </c>
      <c r="J1611">
        <v>1374.6477050999999</v>
      </c>
      <c r="K1611">
        <v>0</v>
      </c>
      <c r="L1611">
        <v>2400</v>
      </c>
      <c r="M1611">
        <v>2400</v>
      </c>
      <c r="N1611">
        <v>0</v>
      </c>
    </row>
    <row r="1612" spans="1:14" x14ac:dyDescent="0.25">
      <c r="A1612">
        <v>1052.8402269999999</v>
      </c>
      <c r="B1612" s="1">
        <f>DATE(2013,3,18) + TIME(20,9,55)</f>
        <v>41351.840219907404</v>
      </c>
      <c r="C1612">
        <v>80</v>
      </c>
      <c r="D1612">
        <v>68.854324340999995</v>
      </c>
      <c r="E1612">
        <v>50</v>
      </c>
      <c r="F1612">
        <v>49.973045349000003</v>
      </c>
      <c r="G1612">
        <v>1291.4722899999999</v>
      </c>
      <c r="H1612">
        <v>1274.3708495999999</v>
      </c>
      <c r="I1612">
        <v>1393.8162841999999</v>
      </c>
      <c r="J1612">
        <v>1374.6065673999999</v>
      </c>
      <c r="K1612">
        <v>0</v>
      </c>
      <c r="L1612">
        <v>2400</v>
      </c>
      <c r="M1612">
        <v>2400</v>
      </c>
      <c r="N1612">
        <v>0</v>
      </c>
    </row>
    <row r="1613" spans="1:14" x14ac:dyDescent="0.25">
      <c r="A1613">
        <v>1056.653808</v>
      </c>
      <c r="B1613" s="1">
        <f>DATE(2013,3,22) + TIME(15,41,29)</f>
        <v>41355.653807870367</v>
      </c>
      <c r="C1613">
        <v>80</v>
      </c>
      <c r="D1613">
        <v>68.538879394999995</v>
      </c>
      <c r="E1613">
        <v>50</v>
      </c>
      <c r="F1613">
        <v>49.973117827999999</v>
      </c>
      <c r="G1613">
        <v>1291.0954589999999</v>
      </c>
      <c r="H1613">
        <v>1273.8166504000001</v>
      </c>
      <c r="I1613">
        <v>1393.7728271000001</v>
      </c>
      <c r="J1613">
        <v>1374.5649414</v>
      </c>
      <c r="K1613">
        <v>0</v>
      </c>
      <c r="L1613">
        <v>2400</v>
      </c>
      <c r="M1613">
        <v>2400</v>
      </c>
      <c r="N1613">
        <v>0</v>
      </c>
    </row>
    <row r="1614" spans="1:14" x14ac:dyDescent="0.25">
      <c r="A1614">
        <v>1060.5625399999999</v>
      </c>
      <c r="B1614" s="1">
        <f>DATE(2013,3,26) + TIME(13,30,3)</f>
        <v>41359.562534722223</v>
      </c>
      <c r="C1614">
        <v>80</v>
      </c>
      <c r="D1614">
        <v>68.20703125</v>
      </c>
      <c r="E1614">
        <v>50</v>
      </c>
      <c r="F1614">
        <v>49.973190308</v>
      </c>
      <c r="G1614">
        <v>1290.7092285000001</v>
      </c>
      <c r="H1614">
        <v>1273.2471923999999</v>
      </c>
      <c r="I1614">
        <v>1393.7288818</v>
      </c>
      <c r="J1614">
        <v>1374.5225829999999</v>
      </c>
      <c r="K1614">
        <v>0</v>
      </c>
      <c r="L1614">
        <v>2400</v>
      </c>
      <c r="M1614">
        <v>2400</v>
      </c>
      <c r="N1614">
        <v>0</v>
      </c>
    </row>
    <row r="1615" spans="1:14" x14ac:dyDescent="0.25">
      <c r="A1615">
        <v>1064.5479909999999</v>
      </c>
      <c r="B1615" s="1">
        <f>DATE(2013,3,30) + TIME(13,9,6)</f>
        <v>41363.547986111109</v>
      </c>
      <c r="C1615">
        <v>80</v>
      </c>
      <c r="D1615">
        <v>67.858428954999994</v>
      </c>
      <c r="E1615">
        <v>50</v>
      </c>
      <c r="F1615">
        <v>49.973262787000003</v>
      </c>
      <c r="G1615">
        <v>1290.3125</v>
      </c>
      <c r="H1615">
        <v>1272.6612548999999</v>
      </c>
      <c r="I1615">
        <v>1393.6842041</v>
      </c>
      <c r="J1615">
        <v>1374.4796143000001</v>
      </c>
      <c r="K1615">
        <v>0</v>
      </c>
      <c r="L1615">
        <v>2400</v>
      </c>
      <c r="M1615">
        <v>2400</v>
      </c>
      <c r="N1615">
        <v>0</v>
      </c>
    </row>
    <row r="1616" spans="1:14" x14ac:dyDescent="0.25">
      <c r="A1616">
        <v>1066</v>
      </c>
      <c r="B1616" s="1">
        <f>DATE(2013,4,1) + TIME(0,0,0)</f>
        <v>41365</v>
      </c>
      <c r="C1616">
        <v>80</v>
      </c>
      <c r="D1616">
        <v>67.564804077000005</v>
      </c>
      <c r="E1616">
        <v>50</v>
      </c>
      <c r="F1616">
        <v>49.973278045999997</v>
      </c>
      <c r="G1616">
        <v>1289.9366454999999</v>
      </c>
      <c r="H1616">
        <v>1272.1230469</v>
      </c>
      <c r="I1616">
        <v>1393.6477050999999</v>
      </c>
      <c r="J1616">
        <v>1374.4445800999999</v>
      </c>
      <c r="K1616">
        <v>0</v>
      </c>
      <c r="L1616">
        <v>2400</v>
      </c>
      <c r="M1616">
        <v>2400</v>
      </c>
      <c r="N1616">
        <v>0</v>
      </c>
    </row>
    <row r="1617" spans="1:14" x14ac:dyDescent="0.25">
      <c r="A1617">
        <v>1070.059792</v>
      </c>
      <c r="B1617" s="1">
        <f>DATE(2013,4,5) + TIME(1,26,6)</f>
        <v>41369.059791666667</v>
      </c>
      <c r="C1617">
        <v>80</v>
      </c>
      <c r="D1617">
        <v>67.331558228000006</v>
      </c>
      <c r="E1617">
        <v>50</v>
      </c>
      <c r="F1617">
        <v>49.973365784000002</v>
      </c>
      <c r="G1617">
        <v>1289.7393798999999</v>
      </c>
      <c r="H1617">
        <v>1271.7957764</v>
      </c>
      <c r="I1617">
        <v>1393.6204834</v>
      </c>
      <c r="J1617">
        <v>1374.4179687999999</v>
      </c>
      <c r="K1617">
        <v>0</v>
      </c>
      <c r="L1617">
        <v>2400</v>
      </c>
      <c r="M1617">
        <v>2400</v>
      </c>
      <c r="N1617">
        <v>0</v>
      </c>
    </row>
    <row r="1618" spans="1:14" x14ac:dyDescent="0.25">
      <c r="A1618">
        <v>1074.212053</v>
      </c>
      <c r="B1618" s="1">
        <f>DATE(2013,4,9) + TIME(5,5,21)</f>
        <v>41373.212048611109</v>
      </c>
      <c r="C1618">
        <v>80</v>
      </c>
      <c r="D1618">
        <v>66.964324950999995</v>
      </c>
      <c r="E1618">
        <v>50</v>
      </c>
      <c r="F1618">
        <v>49.973438262999998</v>
      </c>
      <c r="G1618">
        <v>1289.3426514</v>
      </c>
      <c r="H1618">
        <v>1271.2193603999999</v>
      </c>
      <c r="I1618">
        <v>1393.5764160000001</v>
      </c>
      <c r="J1618">
        <v>1374.3753661999999</v>
      </c>
      <c r="K1618">
        <v>0</v>
      </c>
      <c r="L1618">
        <v>2400</v>
      </c>
      <c r="M1618">
        <v>2400</v>
      </c>
      <c r="N1618">
        <v>0</v>
      </c>
    </row>
    <row r="1619" spans="1:14" x14ac:dyDescent="0.25">
      <c r="A1619">
        <v>1078.437627</v>
      </c>
      <c r="B1619" s="1">
        <f>DATE(2013,4,13) + TIME(10,30,10)</f>
        <v>41377.437615740739</v>
      </c>
      <c r="C1619">
        <v>80</v>
      </c>
      <c r="D1619">
        <v>66.557929993000002</v>
      </c>
      <c r="E1619">
        <v>50</v>
      </c>
      <c r="F1619">
        <v>49.973514557000001</v>
      </c>
      <c r="G1619">
        <v>1288.9238281</v>
      </c>
      <c r="H1619">
        <v>1270.5974120999999</v>
      </c>
      <c r="I1619">
        <v>1393.5303954999999</v>
      </c>
      <c r="J1619">
        <v>1374.3306885</v>
      </c>
      <c r="K1619">
        <v>0</v>
      </c>
      <c r="L1619">
        <v>2400</v>
      </c>
      <c r="M1619">
        <v>2400</v>
      </c>
      <c r="N1619">
        <v>0</v>
      </c>
    </row>
    <row r="1620" spans="1:14" x14ac:dyDescent="0.25">
      <c r="A1620">
        <v>1082.7164909999999</v>
      </c>
      <c r="B1620" s="1">
        <f>DATE(2013,4,17) + TIME(17,11,44)</f>
        <v>41381.716481481482</v>
      </c>
      <c r="C1620">
        <v>80</v>
      </c>
      <c r="D1620">
        <v>66.130043029999996</v>
      </c>
      <c r="E1620">
        <v>50</v>
      </c>
      <c r="F1620">
        <v>49.973590850999997</v>
      </c>
      <c r="G1620">
        <v>1288.4959716999999</v>
      </c>
      <c r="H1620">
        <v>1269.9581298999999</v>
      </c>
      <c r="I1620">
        <v>1393.4835204999999</v>
      </c>
      <c r="J1620">
        <v>1374.2851562000001</v>
      </c>
      <c r="K1620">
        <v>0</v>
      </c>
      <c r="L1620">
        <v>2400</v>
      </c>
      <c r="M1620">
        <v>2400</v>
      </c>
      <c r="N1620">
        <v>0</v>
      </c>
    </row>
    <row r="1621" spans="1:14" x14ac:dyDescent="0.25">
      <c r="A1621">
        <v>1087.0323310000001</v>
      </c>
      <c r="B1621" s="1">
        <f>DATE(2013,4,22) + TIME(0,46,33)</f>
        <v>41386.032326388886</v>
      </c>
      <c r="C1621">
        <v>80</v>
      </c>
      <c r="D1621">
        <v>65.685409546000002</v>
      </c>
      <c r="E1621">
        <v>50</v>
      </c>
      <c r="F1621">
        <v>49.973667145</v>
      </c>
      <c r="G1621">
        <v>1288.0638428</v>
      </c>
      <c r="H1621">
        <v>1269.3104248</v>
      </c>
      <c r="I1621">
        <v>1393.4362793</v>
      </c>
      <c r="J1621">
        <v>1374.2391356999999</v>
      </c>
      <c r="K1621">
        <v>0</v>
      </c>
      <c r="L1621">
        <v>2400</v>
      </c>
      <c r="M1621">
        <v>2400</v>
      </c>
      <c r="N1621">
        <v>0</v>
      </c>
    </row>
    <row r="1622" spans="1:14" x14ac:dyDescent="0.25">
      <c r="A1622">
        <v>1091.4089980000001</v>
      </c>
      <c r="B1622" s="1">
        <f>DATE(2013,4,26) + TIME(9,48,57)</f>
        <v>41390.408993055556</v>
      </c>
      <c r="C1622">
        <v>80</v>
      </c>
      <c r="D1622">
        <v>65.223632812000005</v>
      </c>
      <c r="E1622">
        <v>50</v>
      </c>
      <c r="F1622">
        <v>49.973743439000003</v>
      </c>
      <c r="G1622">
        <v>1287.6295166</v>
      </c>
      <c r="H1622">
        <v>1268.6567382999999</v>
      </c>
      <c r="I1622">
        <v>1393.3885498</v>
      </c>
      <c r="J1622">
        <v>1374.1926269999999</v>
      </c>
      <c r="K1622">
        <v>0</v>
      </c>
      <c r="L1622">
        <v>2400</v>
      </c>
      <c r="M1622">
        <v>2400</v>
      </c>
      <c r="N1622">
        <v>0</v>
      </c>
    </row>
    <row r="1623" spans="1:14" x14ac:dyDescent="0.25">
      <c r="A1623">
        <v>1093.7044989999999</v>
      </c>
      <c r="B1623" s="1">
        <f>DATE(2013,4,28) + TIME(16,54,28)</f>
        <v>41392.70449074074</v>
      </c>
      <c r="C1623">
        <v>80</v>
      </c>
      <c r="D1623">
        <v>64.794685364000003</v>
      </c>
      <c r="E1623">
        <v>50</v>
      </c>
      <c r="F1623">
        <v>49.973777771000002</v>
      </c>
      <c r="G1623">
        <v>1287.208374</v>
      </c>
      <c r="H1623">
        <v>1268.0350341999999</v>
      </c>
      <c r="I1623">
        <v>1393.3468018000001</v>
      </c>
      <c r="J1623">
        <v>1374.1519774999999</v>
      </c>
      <c r="K1623">
        <v>0</v>
      </c>
      <c r="L1623">
        <v>2400</v>
      </c>
      <c r="M1623">
        <v>2400</v>
      </c>
      <c r="N1623">
        <v>0</v>
      </c>
    </row>
    <row r="1624" spans="1:14" x14ac:dyDescent="0.25">
      <c r="A1624">
        <v>1096</v>
      </c>
      <c r="B1624" s="1">
        <f>DATE(2013,5,1) + TIME(0,0,0)</f>
        <v>41395</v>
      </c>
      <c r="C1624">
        <v>80</v>
      </c>
      <c r="D1624">
        <v>64.499122619999994</v>
      </c>
      <c r="E1624">
        <v>50</v>
      </c>
      <c r="F1624">
        <v>49.973819732999999</v>
      </c>
      <c r="G1624">
        <v>1286.9598389</v>
      </c>
      <c r="H1624">
        <v>1267.6391602000001</v>
      </c>
      <c r="I1624">
        <v>1393.3178711</v>
      </c>
      <c r="J1624">
        <v>1374.1236572</v>
      </c>
      <c r="K1624">
        <v>0</v>
      </c>
      <c r="L1624">
        <v>2400</v>
      </c>
      <c r="M1624">
        <v>2400</v>
      </c>
      <c r="N1624">
        <v>0</v>
      </c>
    </row>
    <row r="1625" spans="1:14" x14ac:dyDescent="0.25">
      <c r="A1625">
        <v>1096.0000010000001</v>
      </c>
      <c r="B1625" s="1">
        <f>DATE(2013,5,1) + TIME(0,0,0)</f>
        <v>41395</v>
      </c>
      <c r="C1625">
        <v>80</v>
      </c>
      <c r="D1625">
        <v>64.499176024999997</v>
      </c>
      <c r="E1625">
        <v>50</v>
      </c>
      <c r="F1625">
        <v>49.973804473999998</v>
      </c>
      <c r="G1625">
        <v>1306.3391113</v>
      </c>
      <c r="H1625">
        <v>1286.9722899999999</v>
      </c>
      <c r="I1625">
        <v>1374.1138916</v>
      </c>
      <c r="J1625">
        <v>1354.9672852000001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1096.000004</v>
      </c>
      <c r="B1626" s="1">
        <f>DATE(2013,5,1) + TIME(0,0,0)</f>
        <v>41395</v>
      </c>
      <c r="C1626">
        <v>80</v>
      </c>
      <c r="D1626">
        <v>64.499336243000002</v>
      </c>
      <c r="E1626">
        <v>50</v>
      </c>
      <c r="F1626">
        <v>49.973758697999997</v>
      </c>
      <c r="G1626">
        <v>1306.3702393000001</v>
      </c>
      <c r="H1626">
        <v>1287.0095214999999</v>
      </c>
      <c r="I1626">
        <v>1374.0843506000001</v>
      </c>
      <c r="J1626">
        <v>1354.9377440999999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1096.0000130000001</v>
      </c>
      <c r="B1627" s="1">
        <f>DATE(2013,5,1) + TIME(0,0,1)</f>
        <v>41395.000011574077</v>
      </c>
      <c r="C1627">
        <v>80</v>
      </c>
      <c r="D1627">
        <v>64.499816894999995</v>
      </c>
      <c r="E1627">
        <v>50</v>
      </c>
      <c r="F1627">
        <v>49.973617554</v>
      </c>
      <c r="G1627">
        <v>1306.4633789</v>
      </c>
      <c r="H1627">
        <v>1287.1204834</v>
      </c>
      <c r="I1627">
        <v>1373.9964600000001</v>
      </c>
      <c r="J1627">
        <v>1354.8498535000001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1096.0000399999999</v>
      </c>
      <c r="B1628" s="1">
        <f>DATE(2013,5,1) + TIME(0,0,3)</f>
        <v>41395.000034722223</v>
      </c>
      <c r="C1628">
        <v>80</v>
      </c>
      <c r="D1628">
        <v>64.501251221000004</v>
      </c>
      <c r="E1628">
        <v>50</v>
      </c>
      <c r="F1628">
        <v>49.973205565999997</v>
      </c>
      <c r="G1628">
        <v>1306.7388916</v>
      </c>
      <c r="H1628">
        <v>1287.4481201000001</v>
      </c>
      <c r="I1628">
        <v>1373.7359618999999</v>
      </c>
      <c r="J1628">
        <v>1354.5891113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1096.000121</v>
      </c>
      <c r="B1629" s="1">
        <f>DATE(2013,5,1) + TIME(0,0,10)</f>
        <v>41395.000115740739</v>
      </c>
      <c r="C1629">
        <v>80</v>
      </c>
      <c r="D1629">
        <v>64.505409240999995</v>
      </c>
      <c r="E1629">
        <v>50</v>
      </c>
      <c r="F1629">
        <v>49.972011565999999</v>
      </c>
      <c r="G1629">
        <v>1307.5318603999999</v>
      </c>
      <c r="H1629">
        <v>1288.3848877</v>
      </c>
      <c r="I1629">
        <v>1372.9829102000001</v>
      </c>
      <c r="J1629">
        <v>1353.8354492000001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1096.000364</v>
      </c>
      <c r="B1630" s="1">
        <f>DATE(2013,5,1) + TIME(0,0,31)</f>
        <v>41395.000358796293</v>
      </c>
      <c r="C1630">
        <v>80</v>
      </c>
      <c r="D1630">
        <v>64.517005920000003</v>
      </c>
      <c r="E1630">
        <v>50</v>
      </c>
      <c r="F1630">
        <v>49.968780518000003</v>
      </c>
      <c r="G1630">
        <v>1309.6553954999999</v>
      </c>
      <c r="H1630">
        <v>1290.8468018000001</v>
      </c>
      <c r="I1630">
        <v>1370.9453125</v>
      </c>
      <c r="J1630">
        <v>1351.7962646000001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1096.0010930000001</v>
      </c>
      <c r="B1631" s="1">
        <f>DATE(2013,5,1) + TIME(0,1,34)</f>
        <v>41395.001087962963</v>
      </c>
      <c r="C1631">
        <v>80</v>
      </c>
      <c r="D1631">
        <v>64.546638489000003</v>
      </c>
      <c r="E1631">
        <v>50</v>
      </c>
      <c r="F1631">
        <v>49.961303710999999</v>
      </c>
      <c r="G1631">
        <v>1314.4816894999999</v>
      </c>
      <c r="H1631">
        <v>1296.1977539</v>
      </c>
      <c r="I1631">
        <v>1366.2341309000001</v>
      </c>
      <c r="J1631">
        <v>1347.0821533000001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1096.0032799999999</v>
      </c>
      <c r="B1632" s="1">
        <f>DATE(2013,5,1) + TIME(0,4,43)</f>
        <v>41395.003275462965</v>
      </c>
      <c r="C1632">
        <v>80</v>
      </c>
      <c r="D1632">
        <v>64.617149353000002</v>
      </c>
      <c r="E1632">
        <v>50</v>
      </c>
      <c r="F1632">
        <v>49.948173523000001</v>
      </c>
      <c r="G1632">
        <v>1322.7817382999999</v>
      </c>
      <c r="H1632">
        <v>1304.8067627</v>
      </c>
      <c r="I1632">
        <v>1358.0009766000001</v>
      </c>
      <c r="J1632">
        <v>1338.8453368999999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1096.0098410000001</v>
      </c>
      <c r="B1633" s="1">
        <f>DATE(2013,5,1) + TIME(0,14,10)</f>
        <v>41395.009837962964</v>
      </c>
      <c r="C1633">
        <v>80</v>
      </c>
      <c r="D1633">
        <v>64.791435242000006</v>
      </c>
      <c r="E1633">
        <v>50</v>
      </c>
      <c r="F1633">
        <v>49.931190491000002</v>
      </c>
      <c r="G1633">
        <v>1333.2478027</v>
      </c>
      <c r="H1633">
        <v>1315.1455077999999</v>
      </c>
      <c r="I1633">
        <v>1347.5509033000001</v>
      </c>
      <c r="J1633">
        <v>1328.3928223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1096.029524</v>
      </c>
      <c r="B1634" s="1">
        <f>DATE(2013,5,1) + TIME(0,42,30)</f>
        <v>41395.029513888891</v>
      </c>
      <c r="C1634">
        <v>80</v>
      </c>
      <c r="D1634">
        <v>65.259735106999997</v>
      </c>
      <c r="E1634">
        <v>50</v>
      </c>
      <c r="F1634">
        <v>49.912532806000002</v>
      </c>
      <c r="G1634">
        <v>1344.1115723</v>
      </c>
      <c r="H1634">
        <v>1325.7913818</v>
      </c>
      <c r="I1634">
        <v>1336.6159668</v>
      </c>
      <c r="J1634">
        <v>1317.4553223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1096.0532840000001</v>
      </c>
      <c r="B1635" s="1">
        <f>DATE(2013,5,1) + TIME(1,16,43)</f>
        <v>41395.05327546296</v>
      </c>
      <c r="C1635">
        <v>80</v>
      </c>
      <c r="D1635">
        <v>65.795021057</v>
      </c>
      <c r="E1635">
        <v>50</v>
      </c>
      <c r="F1635">
        <v>49.900512695000003</v>
      </c>
      <c r="G1635">
        <v>1350.4807129000001</v>
      </c>
      <c r="H1635">
        <v>1332.0883789</v>
      </c>
      <c r="I1635">
        <v>1330.1398925999999</v>
      </c>
      <c r="J1635">
        <v>1310.9770507999999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1096.0781050000001</v>
      </c>
      <c r="B1636" s="1">
        <f>DATE(2013,5,1) + TIME(1,52,28)</f>
        <v>41395.078101851854</v>
      </c>
      <c r="C1636">
        <v>80</v>
      </c>
      <c r="D1636">
        <v>66.330947875999996</v>
      </c>
      <c r="E1636">
        <v>50</v>
      </c>
      <c r="F1636">
        <v>49.891891479000002</v>
      </c>
      <c r="G1636">
        <v>1354.5883789</v>
      </c>
      <c r="H1636">
        <v>1336.2082519999999</v>
      </c>
      <c r="I1636">
        <v>1325.9182129000001</v>
      </c>
      <c r="J1636">
        <v>1306.7531738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1096.1037269999999</v>
      </c>
      <c r="B1637" s="1">
        <f>DATE(2013,5,1) + TIME(2,29,22)</f>
        <v>41395.103726851848</v>
      </c>
      <c r="C1637">
        <v>80</v>
      </c>
      <c r="D1637">
        <v>66.862144470000004</v>
      </c>
      <c r="E1637">
        <v>50</v>
      </c>
      <c r="F1637">
        <v>49.884933472</v>
      </c>
      <c r="G1637">
        <v>1357.5729980000001</v>
      </c>
      <c r="H1637">
        <v>1339.2520752</v>
      </c>
      <c r="I1637">
        <v>1322.8165283000001</v>
      </c>
      <c r="J1637">
        <v>1303.6496582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1096.1300309999999</v>
      </c>
      <c r="B1638" s="1">
        <f>DATE(2013,5,1) + TIME(3,7,14)</f>
        <v>41395.130023148151</v>
      </c>
      <c r="C1638">
        <v>80</v>
      </c>
      <c r="D1638">
        <v>67.385513306000007</v>
      </c>
      <c r="E1638">
        <v>50</v>
      </c>
      <c r="F1638">
        <v>49.878925322999997</v>
      </c>
      <c r="G1638">
        <v>1359.9045410000001</v>
      </c>
      <c r="H1638">
        <v>1341.6691894999999</v>
      </c>
      <c r="I1638">
        <v>1320.3668213000001</v>
      </c>
      <c r="J1638">
        <v>1301.197876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1096.156956</v>
      </c>
      <c r="B1639" s="1">
        <f>DATE(2013,5,1) + TIME(3,46,0)</f>
        <v>41395.156944444447</v>
      </c>
      <c r="C1639">
        <v>80</v>
      </c>
      <c r="D1639">
        <v>67.899253845000004</v>
      </c>
      <c r="E1639">
        <v>50</v>
      </c>
      <c r="F1639">
        <v>49.873516082999998</v>
      </c>
      <c r="G1639">
        <v>1361.8139647999999</v>
      </c>
      <c r="H1639">
        <v>1343.6794434000001</v>
      </c>
      <c r="I1639">
        <v>1318.3376464999999</v>
      </c>
      <c r="J1639">
        <v>1299.166626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1096.184471</v>
      </c>
      <c r="B1640" s="1">
        <f>DATE(2013,5,1) + TIME(4,25,38)</f>
        <v>41395.184467592589</v>
      </c>
      <c r="C1640">
        <v>80</v>
      </c>
      <c r="D1640">
        <v>68.402214049999998</v>
      </c>
      <c r="E1640">
        <v>50</v>
      </c>
      <c r="F1640">
        <v>49.868507385000001</v>
      </c>
      <c r="G1640">
        <v>1363.4298096</v>
      </c>
      <c r="H1640">
        <v>1345.4042969</v>
      </c>
      <c r="I1640">
        <v>1316.6000977000001</v>
      </c>
      <c r="J1640">
        <v>1297.427124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1096.2125659999999</v>
      </c>
      <c r="B1641" s="1">
        <f>DATE(2013,5,1) + TIME(5,6,5)</f>
        <v>41395.212557870371</v>
      </c>
      <c r="C1641">
        <v>80</v>
      </c>
      <c r="D1641">
        <v>68.893722534000005</v>
      </c>
      <c r="E1641">
        <v>50</v>
      </c>
      <c r="F1641">
        <v>49.863788605000003</v>
      </c>
      <c r="G1641">
        <v>1364.8302002</v>
      </c>
      <c r="H1641">
        <v>1346.9178466999999</v>
      </c>
      <c r="I1641">
        <v>1315.0759277</v>
      </c>
      <c r="J1641">
        <v>1295.9011230000001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1096.2412429999999</v>
      </c>
      <c r="B1642" s="1">
        <f>DATE(2013,5,1) + TIME(5,47,23)</f>
        <v>41395.241238425922</v>
      </c>
      <c r="C1642">
        <v>80</v>
      </c>
      <c r="D1642">
        <v>69.373443604000002</v>
      </c>
      <c r="E1642">
        <v>50</v>
      </c>
      <c r="F1642">
        <v>49.859272003000001</v>
      </c>
      <c r="G1642">
        <v>1366.065918</v>
      </c>
      <c r="H1642">
        <v>1348.2681885</v>
      </c>
      <c r="I1642">
        <v>1313.7141113</v>
      </c>
      <c r="J1642">
        <v>1294.5375977000001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1096.2705149999999</v>
      </c>
      <c r="B1643" s="1">
        <f>DATE(2013,5,1) + TIME(6,29,32)</f>
        <v>41395.270509259259</v>
      </c>
      <c r="C1643">
        <v>80</v>
      </c>
      <c r="D1643">
        <v>69.841209411999998</v>
      </c>
      <c r="E1643">
        <v>50</v>
      </c>
      <c r="F1643">
        <v>49.854907990000001</v>
      </c>
      <c r="G1643">
        <v>1367.171875</v>
      </c>
      <c r="H1643">
        <v>1349.4885254000001</v>
      </c>
      <c r="I1643">
        <v>1312.4801024999999</v>
      </c>
      <c r="J1643">
        <v>1293.302124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1096.300399</v>
      </c>
      <c r="B1644" s="1">
        <f>DATE(2013,5,1) + TIME(7,12,34)</f>
        <v>41395.300393518519</v>
      </c>
      <c r="C1644">
        <v>80</v>
      </c>
      <c r="D1644">
        <v>70.296768188000001</v>
      </c>
      <c r="E1644">
        <v>50</v>
      </c>
      <c r="F1644">
        <v>49.850658416999998</v>
      </c>
      <c r="G1644">
        <v>1368.1728516000001</v>
      </c>
      <c r="H1644">
        <v>1350.6027832</v>
      </c>
      <c r="I1644">
        <v>1311.3494873</v>
      </c>
      <c r="J1644">
        <v>1292.1700439000001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1096.330917</v>
      </c>
      <c r="B1645" s="1">
        <f>DATE(2013,5,1) + TIME(7,56,31)</f>
        <v>41395.330914351849</v>
      </c>
      <c r="C1645">
        <v>80</v>
      </c>
      <c r="D1645">
        <v>70.740226746000005</v>
      </c>
      <c r="E1645">
        <v>50</v>
      </c>
      <c r="F1645">
        <v>49.846492767000001</v>
      </c>
      <c r="G1645">
        <v>1369.0870361</v>
      </c>
      <c r="H1645">
        <v>1351.6282959</v>
      </c>
      <c r="I1645">
        <v>1310.3041992000001</v>
      </c>
      <c r="J1645">
        <v>1291.1236572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1096.3620699999999</v>
      </c>
      <c r="B1646" s="1">
        <f>DATE(2013,5,1) + TIME(8,41,22)</f>
        <v>41395.362060185187</v>
      </c>
      <c r="C1646">
        <v>80</v>
      </c>
      <c r="D1646">
        <v>71.171417235999996</v>
      </c>
      <c r="E1646">
        <v>50</v>
      </c>
      <c r="F1646">
        <v>49.842391968000001</v>
      </c>
      <c r="G1646">
        <v>1369.9277344</v>
      </c>
      <c r="H1646">
        <v>1352.5778809000001</v>
      </c>
      <c r="I1646">
        <v>1309.3317870999999</v>
      </c>
      <c r="J1646">
        <v>1290.1501464999999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1096.3938479999999</v>
      </c>
      <c r="B1647" s="1">
        <f>DATE(2013,5,1) + TIME(9,27,8)</f>
        <v>41395.393842592595</v>
      </c>
      <c r="C1647">
        <v>80</v>
      </c>
      <c r="D1647">
        <v>71.589988708000007</v>
      </c>
      <c r="E1647">
        <v>50</v>
      </c>
      <c r="F1647">
        <v>49.838344573999997</v>
      </c>
      <c r="G1647">
        <v>1370.7049560999999</v>
      </c>
      <c r="H1647">
        <v>1353.4613036999999</v>
      </c>
      <c r="I1647">
        <v>1308.4226074000001</v>
      </c>
      <c r="J1647">
        <v>1289.2398682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1096.426279</v>
      </c>
      <c r="B1648" s="1">
        <f>DATE(2013,5,1) + TIME(10,13,50)</f>
        <v>41395.42627314815</v>
      </c>
      <c r="C1648">
        <v>80</v>
      </c>
      <c r="D1648">
        <v>71.996109008999994</v>
      </c>
      <c r="E1648">
        <v>50</v>
      </c>
      <c r="F1648">
        <v>49.834331511999999</v>
      </c>
      <c r="G1648">
        <v>1371.4272461</v>
      </c>
      <c r="H1648">
        <v>1354.2871094</v>
      </c>
      <c r="I1648">
        <v>1307.5682373</v>
      </c>
      <c r="J1648">
        <v>1288.3846435999999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1096.4593890000001</v>
      </c>
      <c r="B1649" s="1">
        <f>DATE(2013,5,1) + TIME(11,1,31)</f>
        <v>41395.459386574075</v>
      </c>
      <c r="C1649">
        <v>80</v>
      </c>
      <c r="D1649">
        <v>72.389892578000001</v>
      </c>
      <c r="E1649">
        <v>50</v>
      </c>
      <c r="F1649">
        <v>49.830345154</v>
      </c>
      <c r="G1649">
        <v>1372.1018065999999</v>
      </c>
      <c r="H1649">
        <v>1355.0622559000001</v>
      </c>
      <c r="I1649">
        <v>1306.7620850000001</v>
      </c>
      <c r="J1649">
        <v>1287.5775146000001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1096.493213</v>
      </c>
      <c r="B1650" s="1">
        <f>DATE(2013,5,1) + TIME(11,50,13)</f>
        <v>41395.493206018517</v>
      </c>
      <c r="C1650">
        <v>80</v>
      </c>
      <c r="D1650">
        <v>72.771568298000005</v>
      </c>
      <c r="E1650">
        <v>50</v>
      </c>
      <c r="F1650">
        <v>49.826374053999999</v>
      </c>
      <c r="G1650">
        <v>1372.7344971</v>
      </c>
      <c r="H1650">
        <v>1355.7924805</v>
      </c>
      <c r="I1650">
        <v>1305.9982910000001</v>
      </c>
      <c r="J1650">
        <v>1286.8129882999999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1096.5277900000001</v>
      </c>
      <c r="B1651" s="1">
        <f>DATE(2013,5,1) + TIME(12,40,1)</f>
        <v>41395.527789351851</v>
      </c>
      <c r="C1651">
        <v>80</v>
      </c>
      <c r="D1651">
        <v>73.141349792</v>
      </c>
      <c r="E1651">
        <v>50</v>
      </c>
      <c r="F1651">
        <v>49.822402953999998</v>
      </c>
      <c r="G1651">
        <v>1373.3300781</v>
      </c>
      <c r="H1651">
        <v>1356.4829102000001</v>
      </c>
      <c r="I1651">
        <v>1305.2723389</v>
      </c>
      <c r="J1651">
        <v>1286.0861815999999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1096.563161</v>
      </c>
      <c r="B1652" s="1">
        <f>DATE(2013,5,1) + TIME(13,30,57)</f>
        <v>41395.563159722224</v>
      </c>
      <c r="C1652">
        <v>80</v>
      </c>
      <c r="D1652">
        <v>73.499443053999997</v>
      </c>
      <c r="E1652">
        <v>50</v>
      </c>
      <c r="F1652">
        <v>49.818428040000001</v>
      </c>
      <c r="G1652">
        <v>1373.8927002</v>
      </c>
      <c r="H1652">
        <v>1357.1374512</v>
      </c>
      <c r="I1652">
        <v>1304.5802002</v>
      </c>
      <c r="J1652">
        <v>1285.3934326000001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1096.599369</v>
      </c>
      <c r="B1653" s="1">
        <f>DATE(2013,5,1) + TIME(14,23,5)</f>
        <v>41395.599363425928</v>
      </c>
      <c r="C1653">
        <v>80</v>
      </c>
      <c r="D1653">
        <v>73.846015929999993</v>
      </c>
      <c r="E1653">
        <v>50</v>
      </c>
      <c r="F1653">
        <v>49.814441680999998</v>
      </c>
      <c r="G1653">
        <v>1374.4257812000001</v>
      </c>
      <c r="H1653">
        <v>1357.7598877</v>
      </c>
      <c r="I1653">
        <v>1303.9185791</v>
      </c>
      <c r="J1653">
        <v>1284.7312012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1096.6364619999999</v>
      </c>
      <c r="B1654" s="1">
        <f>DATE(2013,5,1) + TIME(15,16,30)</f>
        <v>41395.636458333334</v>
      </c>
      <c r="C1654">
        <v>80</v>
      </c>
      <c r="D1654">
        <v>74.181282042999996</v>
      </c>
      <c r="E1654">
        <v>50</v>
      </c>
      <c r="F1654">
        <v>49.810432433999999</v>
      </c>
      <c r="G1654">
        <v>1374.9324951000001</v>
      </c>
      <c r="H1654">
        <v>1358.3531493999999</v>
      </c>
      <c r="I1654">
        <v>1303.284668</v>
      </c>
      <c r="J1654">
        <v>1284.0965576000001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1096.6744900000001</v>
      </c>
      <c r="B1655" s="1">
        <f>DATE(2013,5,1) + TIME(16,11,15)</f>
        <v>41395.674479166664</v>
      </c>
      <c r="C1655">
        <v>80</v>
      </c>
      <c r="D1655">
        <v>74.505409240999995</v>
      </c>
      <c r="E1655">
        <v>50</v>
      </c>
      <c r="F1655">
        <v>49.806396483999997</v>
      </c>
      <c r="G1655">
        <v>1375.4152832</v>
      </c>
      <c r="H1655">
        <v>1358.9199219</v>
      </c>
      <c r="I1655">
        <v>1302.6759033000001</v>
      </c>
      <c r="J1655">
        <v>1283.4871826000001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1096.71351</v>
      </c>
      <c r="B1656" s="1">
        <f>DATE(2013,5,1) + TIME(17,7,27)</f>
        <v>41395.713506944441</v>
      </c>
      <c r="C1656">
        <v>80</v>
      </c>
      <c r="D1656">
        <v>74.818588257000002</v>
      </c>
      <c r="E1656">
        <v>50</v>
      </c>
      <c r="F1656">
        <v>49.802322388</v>
      </c>
      <c r="G1656">
        <v>1375.8763428</v>
      </c>
      <c r="H1656">
        <v>1359.4625243999999</v>
      </c>
      <c r="I1656">
        <v>1302.0900879000001</v>
      </c>
      <c r="J1656">
        <v>1282.9007568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1096.7535829999999</v>
      </c>
      <c r="B1657" s="1">
        <f>DATE(2013,5,1) + TIME(18,5,9)</f>
        <v>41395.753576388888</v>
      </c>
      <c r="C1657">
        <v>80</v>
      </c>
      <c r="D1657">
        <v>75.120918274000005</v>
      </c>
      <c r="E1657">
        <v>50</v>
      </c>
      <c r="F1657">
        <v>49.798210144000002</v>
      </c>
      <c r="G1657">
        <v>1376.3178711</v>
      </c>
      <c r="H1657">
        <v>1359.9831543</v>
      </c>
      <c r="I1657">
        <v>1301.5251464999999</v>
      </c>
      <c r="J1657">
        <v>1282.3353271000001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1096.7947770000001</v>
      </c>
      <c r="B1658" s="1">
        <f>DATE(2013,5,1) + TIME(19,4,28)</f>
        <v>41395.794768518521</v>
      </c>
      <c r="C1658">
        <v>80</v>
      </c>
      <c r="D1658">
        <v>75.412521362000007</v>
      </c>
      <c r="E1658">
        <v>50</v>
      </c>
      <c r="F1658">
        <v>49.794040680000002</v>
      </c>
      <c r="G1658">
        <v>1376.7414550999999</v>
      </c>
      <c r="H1658">
        <v>1360.4835204999999</v>
      </c>
      <c r="I1658">
        <v>1300.9796143000001</v>
      </c>
      <c r="J1658">
        <v>1281.7893065999999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1096.837174</v>
      </c>
      <c r="B1659" s="1">
        <f>DATE(2013,5,1) + TIME(20,5,31)</f>
        <v>41395.837164351855</v>
      </c>
      <c r="C1659">
        <v>80</v>
      </c>
      <c r="D1659">
        <v>75.693756104000002</v>
      </c>
      <c r="E1659">
        <v>50</v>
      </c>
      <c r="F1659">
        <v>49.789817810000002</v>
      </c>
      <c r="G1659">
        <v>1377.1486815999999</v>
      </c>
      <c r="H1659">
        <v>1360.965332</v>
      </c>
      <c r="I1659">
        <v>1300.4517822</v>
      </c>
      <c r="J1659">
        <v>1281.2608643000001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1096.8808590000001</v>
      </c>
      <c r="B1660" s="1">
        <f>DATE(2013,5,1) + TIME(21,8,26)</f>
        <v>41395.880856481483</v>
      </c>
      <c r="C1660">
        <v>80</v>
      </c>
      <c r="D1660">
        <v>75.964790343999994</v>
      </c>
      <c r="E1660">
        <v>50</v>
      </c>
      <c r="F1660">
        <v>49.785526275999999</v>
      </c>
      <c r="G1660">
        <v>1377.5411377</v>
      </c>
      <c r="H1660">
        <v>1361.4302978999999</v>
      </c>
      <c r="I1660">
        <v>1299.9400635</v>
      </c>
      <c r="J1660">
        <v>1280.7486572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1096.925909</v>
      </c>
      <c r="B1661" s="1">
        <f>DATE(2013,5,1) + TIME(22,13,18)</f>
        <v>41395.925902777781</v>
      </c>
      <c r="C1661">
        <v>80</v>
      </c>
      <c r="D1661">
        <v>76.225715636999993</v>
      </c>
      <c r="E1661">
        <v>50</v>
      </c>
      <c r="F1661">
        <v>49.781162262000002</v>
      </c>
      <c r="G1661">
        <v>1377.9199219</v>
      </c>
      <c r="H1661">
        <v>1361.8795166</v>
      </c>
      <c r="I1661">
        <v>1299.4436035000001</v>
      </c>
      <c r="J1661">
        <v>1280.2517089999999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1096.9724229999999</v>
      </c>
      <c r="B1662" s="1">
        <f>DATE(2013,5,1) + TIME(23,20,17)</f>
        <v>41395.972418981481</v>
      </c>
      <c r="C1662">
        <v>80</v>
      </c>
      <c r="D1662">
        <v>76.476692200000002</v>
      </c>
      <c r="E1662">
        <v>50</v>
      </c>
      <c r="F1662">
        <v>49.776714325</v>
      </c>
      <c r="G1662">
        <v>1378.2861327999999</v>
      </c>
      <c r="H1662">
        <v>1362.3142089999999</v>
      </c>
      <c r="I1662">
        <v>1298.9610596</v>
      </c>
      <c r="J1662">
        <v>1279.7686768000001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1097.0205100000001</v>
      </c>
      <c r="B1663" s="1">
        <f>DATE(2013,5,2) + TIME(0,29,32)</f>
        <v>41396.020509259259</v>
      </c>
      <c r="C1663">
        <v>80</v>
      </c>
      <c r="D1663">
        <v>76.717857361</v>
      </c>
      <c r="E1663">
        <v>50</v>
      </c>
      <c r="F1663">
        <v>49.772174835000001</v>
      </c>
      <c r="G1663">
        <v>1378.6407471</v>
      </c>
      <c r="H1663">
        <v>1362.7354736</v>
      </c>
      <c r="I1663">
        <v>1298.4914550999999</v>
      </c>
      <c r="J1663">
        <v>1279.2987060999999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1097.070291</v>
      </c>
      <c r="B1664" s="1">
        <f>DATE(2013,5,2) + TIME(1,41,13)</f>
        <v>41396.070289351854</v>
      </c>
      <c r="C1664">
        <v>80</v>
      </c>
      <c r="D1664">
        <v>76.949378967000001</v>
      </c>
      <c r="E1664">
        <v>50</v>
      </c>
      <c r="F1664">
        <v>49.767536163000003</v>
      </c>
      <c r="G1664">
        <v>1378.9848632999999</v>
      </c>
      <c r="H1664">
        <v>1363.1442870999999</v>
      </c>
      <c r="I1664">
        <v>1298.0339355000001</v>
      </c>
      <c r="J1664">
        <v>1278.8406981999999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1097.121903</v>
      </c>
      <c r="B1665" s="1">
        <f>DATE(2013,5,2) + TIME(2,55,32)</f>
        <v>41396.121898148151</v>
      </c>
      <c r="C1665">
        <v>80</v>
      </c>
      <c r="D1665">
        <v>77.171379088999998</v>
      </c>
      <c r="E1665">
        <v>50</v>
      </c>
      <c r="F1665">
        <v>49.762783051</v>
      </c>
      <c r="G1665">
        <v>1379.3192139</v>
      </c>
      <c r="H1665">
        <v>1363.5417480000001</v>
      </c>
      <c r="I1665">
        <v>1297.5875243999999</v>
      </c>
      <c r="J1665">
        <v>1278.3937988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1097.1754960000001</v>
      </c>
      <c r="B1666" s="1">
        <f>DATE(2013,5,2) + TIME(4,12,42)</f>
        <v>41396.175486111111</v>
      </c>
      <c r="C1666">
        <v>80</v>
      </c>
      <c r="D1666">
        <v>77.384010314999998</v>
      </c>
      <c r="E1666">
        <v>50</v>
      </c>
      <c r="F1666">
        <v>49.757907867</v>
      </c>
      <c r="G1666">
        <v>1379.6445312000001</v>
      </c>
      <c r="H1666">
        <v>1363.9284668</v>
      </c>
      <c r="I1666">
        <v>1297.1514893000001</v>
      </c>
      <c r="J1666">
        <v>1277.9572754000001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1097.2312429999999</v>
      </c>
      <c r="B1667" s="1">
        <f>DATE(2013,5,2) + TIME(5,32,59)</f>
        <v>41396.231238425928</v>
      </c>
      <c r="C1667">
        <v>80</v>
      </c>
      <c r="D1667">
        <v>77.587394713999998</v>
      </c>
      <c r="E1667">
        <v>50</v>
      </c>
      <c r="F1667">
        <v>49.752899169999999</v>
      </c>
      <c r="G1667">
        <v>1379.9615478999999</v>
      </c>
      <c r="H1667">
        <v>1364.3055420000001</v>
      </c>
      <c r="I1667">
        <v>1296.7249756000001</v>
      </c>
      <c r="J1667">
        <v>1277.5303954999999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1097.2893369999999</v>
      </c>
      <c r="B1668" s="1">
        <f>DATE(2013,5,2) + TIME(6,56,38)</f>
        <v>41396.2893287037</v>
      </c>
      <c r="C1668">
        <v>80</v>
      </c>
      <c r="D1668">
        <v>77.781661987000007</v>
      </c>
      <c r="E1668">
        <v>50</v>
      </c>
      <c r="F1668">
        <v>49.747737884999999</v>
      </c>
      <c r="G1668">
        <v>1380.2711182</v>
      </c>
      <c r="H1668">
        <v>1364.6735839999999</v>
      </c>
      <c r="I1668">
        <v>1296.3073730000001</v>
      </c>
      <c r="J1668">
        <v>1277.1123047000001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1097.350003</v>
      </c>
      <c r="B1669" s="1">
        <f>DATE(2013,5,2) + TIME(8,24,0)</f>
        <v>41396.35</v>
      </c>
      <c r="C1669">
        <v>80</v>
      </c>
      <c r="D1669">
        <v>77.966957092000001</v>
      </c>
      <c r="E1669">
        <v>50</v>
      </c>
      <c r="F1669">
        <v>49.742408752000003</v>
      </c>
      <c r="G1669">
        <v>1380.5737305</v>
      </c>
      <c r="H1669">
        <v>1365.0334473</v>
      </c>
      <c r="I1669">
        <v>1295.8979492000001</v>
      </c>
      <c r="J1669">
        <v>1276.7025146000001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1097.413536</v>
      </c>
      <c r="B1670" s="1">
        <f>DATE(2013,5,2) + TIME(9,55,29)</f>
        <v>41396.413530092592</v>
      </c>
      <c r="C1670">
        <v>80</v>
      </c>
      <c r="D1670">
        <v>78.143493652000004</v>
      </c>
      <c r="E1670">
        <v>50</v>
      </c>
      <c r="F1670">
        <v>49.736892699999999</v>
      </c>
      <c r="G1670">
        <v>1380.8702393000001</v>
      </c>
      <c r="H1670">
        <v>1365.3858643000001</v>
      </c>
      <c r="I1670">
        <v>1295.4959716999999</v>
      </c>
      <c r="J1670">
        <v>1276.2999268000001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1097.4801869999999</v>
      </c>
      <c r="B1671" s="1">
        <f>DATE(2013,5,2) + TIME(11,31,28)</f>
        <v>41396.480185185188</v>
      </c>
      <c r="C1671">
        <v>80</v>
      </c>
      <c r="D1671">
        <v>78.311264038000004</v>
      </c>
      <c r="E1671">
        <v>50</v>
      </c>
      <c r="F1671">
        <v>49.731174469000003</v>
      </c>
      <c r="G1671">
        <v>1381.1610106999999</v>
      </c>
      <c r="H1671">
        <v>1365.7313231999999</v>
      </c>
      <c r="I1671">
        <v>1295.1009521000001</v>
      </c>
      <c r="J1671">
        <v>1275.9045410000001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1097.550295</v>
      </c>
      <c r="B1672" s="1">
        <f>DATE(2013,5,2) + TIME(13,12,25)</f>
        <v>41396.55028935185</v>
      </c>
      <c r="C1672">
        <v>80</v>
      </c>
      <c r="D1672">
        <v>78.470375060999999</v>
      </c>
      <c r="E1672">
        <v>50</v>
      </c>
      <c r="F1672">
        <v>49.725227355999998</v>
      </c>
      <c r="G1672">
        <v>1381.4464111</v>
      </c>
      <c r="H1672">
        <v>1366.0703125</v>
      </c>
      <c r="I1672">
        <v>1294.7125243999999</v>
      </c>
      <c r="J1672">
        <v>1275.515625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1097.6242569999999</v>
      </c>
      <c r="B1673" s="1">
        <f>DATE(2013,5,2) + TIME(14,58,55)</f>
        <v>41396.624247685184</v>
      </c>
      <c r="C1673">
        <v>80</v>
      </c>
      <c r="D1673">
        <v>78.620941161999994</v>
      </c>
      <c r="E1673">
        <v>50</v>
      </c>
      <c r="F1673">
        <v>49.719020843999999</v>
      </c>
      <c r="G1673">
        <v>1381.7271728999999</v>
      </c>
      <c r="H1673">
        <v>1366.4036865</v>
      </c>
      <c r="I1673">
        <v>1294.3300781</v>
      </c>
      <c r="J1673">
        <v>1275.1325684000001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1097.7025369999999</v>
      </c>
      <c r="B1674" s="1">
        <f>DATE(2013,5,2) + TIME(16,51,39)</f>
        <v>41396.702534722222</v>
      </c>
      <c r="C1674">
        <v>80</v>
      </c>
      <c r="D1674">
        <v>78.763061523000005</v>
      </c>
      <c r="E1674">
        <v>50</v>
      </c>
      <c r="F1674">
        <v>49.712532043000003</v>
      </c>
      <c r="G1674">
        <v>1382.0036620999999</v>
      </c>
      <c r="H1674">
        <v>1366.7319336</v>
      </c>
      <c r="I1674">
        <v>1293.953125</v>
      </c>
      <c r="J1674">
        <v>1274.755249</v>
      </c>
      <c r="K1674">
        <v>2400</v>
      </c>
      <c r="L1674">
        <v>0</v>
      </c>
      <c r="M1674">
        <v>0</v>
      </c>
      <c r="N1674">
        <v>2400</v>
      </c>
    </row>
    <row r="1675" spans="1:14" x14ac:dyDescent="0.25">
      <c r="A1675">
        <v>1097.785672</v>
      </c>
      <c r="B1675" s="1">
        <f>DATE(2013,5,2) + TIME(18,51,22)</f>
        <v>41396.785671296297</v>
      </c>
      <c r="C1675">
        <v>80</v>
      </c>
      <c r="D1675">
        <v>78.896789550999998</v>
      </c>
      <c r="E1675">
        <v>50</v>
      </c>
      <c r="F1675">
        <v>49.705722809000001</v>
      </c>
      <c r="G1675">
        <v>1382.2762451000001</v>
      </c>
      <c r="H1675">
        <v>1367.0554199000001</v>
      </c>
      <c r="I1675">
        <v>1293.5814209</v>
      </c>
      <c r="J1675">
        <v>1274.3829346</v>
      </c>
      <c r="K1675">
        <v>2400</v>
      </c>
      <c r="L1675">
        <v>0</v>
      </c>
      <c r="M1675">
        <v>0</v>
      </c>
      <c r="N1675">
        <v>2400</v>
      </c>
    </row>
    <row r="1676" spans="1:14" x14ac:dyDescent="0.25">
      <c r="A1676">
        <v>1097.8743380000001</v>
      </c>
      <c r="B1676" s="1">
        <f>DATE(2013,5,2) + TIME(20,59,2)</f>
        <v>41396.874328703707</v>
      </c>
      <c r="C1676">
        <v>80</v>
      </c>
      <c r="D1676">
        <v>79.022254943999997</v>
      </c>
      <c r="E1676">
        <v>50</v>
      </c>
      <c r="F1676">
        <v>49.698547363000003</v>
      </c>
      <c r="G1676">
        <v>1382.5454102000001</v>
      </c>
      <c r="H1676">
        <v>1367.3747559000001</v>
      </c>
      <c r="I1676">
        <v>1293.2143555</v>
      </c>
      <c r="J1676">
        <v>1274.0152588000001</v>
      </c>
      <c r="K1676">
        <v>2400</v>
      </c>
      <c r="L1676">
        <v>0</v>
      </c>
      <c r="M1676">
        <v>0</v>
      </c>
      <c r="N1676">
        <v>2400</v>
      </c>
    </row>
    <row r="1677" spans="1:14" x14ac:dyDescent="0.25">
      <c r="A1677">
        <v>1097.9693460000001</v>
      </c>
      <c r="B1677" s="1">
        <f>DATE(2013,5,2) + TIME(23,15,51)</f>
        <v>41396.969340277778</v>
      </c>
      <c r="C1677">
        <v>80</v>
      </c>
      <c r="D1677">
        <v>79.139533997000001</v>
      </c>
      <c r="E1677">
        <v>50</v>
      </c>
      <c r="F1677">
        <v>49.690956116000002</v>
      </c>
      <c r="G1677">
        <v>1382.8116454999999</v>
      </c>
      <c r="H1677">
        <v>1367.6906738</v>
      </c>
      <c r="I1677">
        <v>1292.8515625</v>
      </c>
      <c r="J1677">
        <v>1273.6519774999999</v>
      </c>
      <c r="K1677">
        <v>2400</v>
      </c>
      <c r="L1677">
        <v>0</v>
      </c>
      <c r="M1677">
        <v>0</v>
      </c>
      <c r="N1677">
        <v>2400</v>
      </c>
    </row>
    <row r="1678" spans="1:14" x14ac:dyDescent="0.25">
      <c r="A1678">
        <v>1098.0716890000001</v>
      </c>
      <c r="B1678" s="1">
        <f>DATE(2013,5,3) + TIME(1,43,13)</f>
        <v>41397.07167824074</v>
      </c>
      <c r="C1678">
        <v>80</v>
      </c>
      <c r="D1678">
        <v>79.248718261999997</v>
      </c>
      <c r="E1678">
        <v>50</v>
      </c>
      <c r="F1678">
        <v>49.682880402000002</v>
      </c>
      <c r="G1678">
        <v>1383.0754394999999</v>
      </c>
      <c r="H1678">
        <v>1368.0036620999999</v>
      </c>
      <c r="I1678">
        <v>1292.4927978999999</v>
      </c>
      <c r="J1678">
        <v>1273.2926024999999</v>
      </c>
      <c r="K1678">
        <v>2400</v>
      </c>
      <c r="L1678">
        <v>0</v>
      </c>
      <c r="M1678">
        <v>0</v>
      </c>
      <c r="N1678">
        <v>2400</v>
      </c>
    </row>
    <row r="1679" spans="1:14" x14ac:dyDescent="0.25">
      <c r="A1679">
        <v>1098.174217</v>
      </c>
      <c r="B1679" s="1">
        <f>DATE(2013,5,3) + TIME(4,10,52)</f>
        <v>41397.174212962964</v>
      </c>
      <c r="C1679">
        <v>80</v>
      </c>
      <c r="D1679">
        <v>79.343238830999994</v>
      </c>
      <c r="E1679">
        <v>50</v>
      </c>
      <c r="F1679">
        <v>49.674823760999999</v>
      </c>
      <c r="G1679">
        <v>1383.3175048999999</v>
      </c>
      <c r="H1679">
        <v>1368.2915039</v>
      </c>
      <c r="I1679">
        <v>1292.1622314000001</v>
      </c>
      <c r="J1679">
        <v>1272.9615478999999</v>
      </c>
      <c r="K1679">
        <v>2400</v>
      </c>
      <c r="L1679">
        <v>0</v>
      </c>
      <c r="M1679">
        <v>0</v>
      </c>
      <c r="N1679">
        <v>2400</v>
      </c>
    </row>
    <row r="1680" spans="1:14" x14ac:dyDescent="0.25">
      <c r="A1680">
        <v>1098.2772</v>
      </c>
      <c r="B1680" s="1">
        <f>DATE(2013,5,3) + TIME(6,39,10)</f>
        <v>41397.277199074073</v>
      </c>
      <c r="C1680">
        <v>80</v>
      </c>
      <c r="D1680">
        <v>79.425277710000003</v>
      </c>
      <c r="E1680">
        <v>50</v>
      </c>
      <c r="F1680">
        <v>49.666767120000003</v>
      </c>
      <c r="G1680">
        <v>1383.5408935999999</v>
      </c>
      <c r="H1680">
        <v>1368.5576172000001</v>
      </c>
      <c r="I1680">
        <v>1291.8568115</v>
      </c>
      <c r="J1680">
        <v>1272.6555175999999</v>
      </c>
      <c r="K1680">
        <v>2400</v>
      </c>
      <c r="L1680">
        <v>0</v>
      </c>
      <c r="M1680">
        <v>0</v>
      </c>
      <c r="N1680">
        <v>2400</v>
      </c>
    </row>
    <row r="1681" spans="1:14" x14ac:dyDescent="0.25">
      <c r="A1681">
        <v>1098.3808730000001</v>
      </c>
      <c r="B1681" s="1">
        <f>DATE(2013,5,3) + TIME(9,8,27)</f>
        <v>41397.380868055552</v>
      </c>
      <c r="C1681">
        <v>80</v>
      </c>
      <c r="D1681">
        <v>79.496597289999997</v>
      </c>
      <c r="E1681">
        <v>50</v>
      </c>
      <c r="F1681">
        <v>49.658691406000003</v>
      </c>
      <c r="G1681">
        <v>1383.7479248</v>
      </c>
      <c r="H1681">
        <v>1368.8048096</v>
      </c>
      <c r="I1681">
        <v>1291.5737305</v>
      </c>
      <c r="J1681">
        <v>1272.3719481999999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1098.485459</v>
      </c>
      <c r="B1682" s="1">
        <f>DATE(2013,5,3) + TIME(11,39,3)</f>
        <v>41397.485451388886</v>
      </c>
      <c r="C1682">
        <v>80</v>
      </c>
      <c r="D1682">
        <v>79.558677673000005</v>
      </c>
      <c r="E1682">
        <v>50</v>
      </c>
      <c r="F1682">
        <v>49.650585175000003</v>
      </c>
      <c r="G1682">
        <v>1383.9403076000001</v>
      </c>
      <c r="H1682">
        <v>1369.0350341999999</v>
      </c>
      <c r="I1682">
        <v>1291.3110352000001</v>
      </c>
      <c r="J1682">
        <v>1272.1086425999999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1098.591179</v>
      </c>
      <c r="B1683" s="1">
        <f>DATE(2013,5,3) + TIME(14,11,17)</f>
        <v>41397.591168981482</v>
      </c>
      <c r="C1683">
        <v>80</v>
      </c>
      <c r="D1683">
        <v>79.612754821999999</v>
      </c>
      <c r="E1683">
        <v>50</v>
      </c>
      <c r="F1683">
        <v>49.642433167</v>
      </c>
      <c r="G1683">
        <v>1384.1193848</v>
      </c>
      <c r="H1683">
        <v>1369.2498779</v>
      </c>
      <c r="I1683">
        <v>1291.0665283000001</v>
      </c>
      <c r="J1683">
        <v>1271.8636475000001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1098.698249</v>
      </c>
      <c r="B1684" s="1">
        <f>DATE(2013,5,3) + TIME(16,45,28)</f>
        <v>41397.698240740741</v>
      </c>
      <c r="C1684">
        <v>80</v>
      </c>
      <c r="D1684">
        <v>79.659896850999999</v>
      </c>
      <c r="E1684">
        <v>50</v>
      </c>
      <c r="F1684">
        <v>49.634220122999999</v>
      </c>
      <c r="G1684">
        <v>1384.2862548999999</v>
      </c>
      <c r="H1684">
        <v>1369.4509277</v>
      </c>
      <c r="I1684">
        <v>1290.8388672000001</v>
      </c>
      <c r="J1684">
        <v>1271.6354980000001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1098.8068900000001</v>
      </c>
      <c r="B1685" s="1">
        <f>DATE(2013,5,3) + TIME(19,21,55)</f>
        <v>41397.806886574072</v>
      </c>
      <c r="C1685">
        <v>80</v>
      </c>
      <c r="D1685">
        <v>79.700988769999995</v>
      </c>
      <c r="E1685">
        <v>50</v>
      </c>
      <c r="F1685">
        <v>49.625926970999998</v>
      </c>
      <c r="G1685">
        <v>1384.4421387</v>
      </c>
      <c r="H1685">
        <v>1369.6392822</v>
      </c>
      <c r="I1685">
        <v>1290.6265868999999</v>
      </c>
      <c r="J1685">
        <v>1271.4226074000001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1098.9171470000001</v>
      </c>
      <c r="B1686" s="1">
        <f>DATE(2013,5,3) + TIME(22,0,41)</f>
        <v>41397.917141203703</v>
      </c>
      <c r="C1686">
        <v>80</v>
      </c>
      <c r="D1686">
        <v>79.736770629999995</v>
      </c>
      <c r="E1686">
        <v>50</v>
      </c>
      <c r="F1686">
        <v>49.617557525999999</v>
      </c>
      <c r="G1686">
        <v>1384.5874022999999</v>
      </c>
      <c r="H1686">
        <v>1369.8157959</v>
      </c>
      <c r="I1686">
        <v>1290.4288329999999</v>
      </c>
      <c r="J1686">
        <v>1271.2242432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1099.0288</v>
      </c>
      <c r="B1687" s="1">
        <f>DATE(2013,5,4) + TIME(0,41,28)</f>
        <v>41398.028796296298</v>
      </c>
      <c r="C1687">
        <v>80</v>
      </c>
      <c r="D1687">
        <v>79.767799377000003</v>
      </c>
      <c r="E1687">
        <v>50</v>
      </c>
      <c r="F1687">
        <v>49.609123230000002</v>
      </c>
      <c r="G1687">
        <v>1384.7224120999999</v>
      </c>
      <c r="H1687">
        <v>1369.9805908000001</v>
      </c>
      <c r="I1687">
        <v>1290.2449951000001</v>
      </c>
      <c r="J1687">
        <v>1271.0399170000001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1099.142057</v>
      </c>
      <c r="B1688" s="1">
        <f>DATE(2013,5,4) + TIME(3,24,33)</f>
        <v>41398.142048611109</v>
      </c>
      <c r="C1688">
        <v>80</v>
      </c>
      <c r="D1688">
        <v>79.794715881000002</v>
      </c>
      <c r="E1688">
        <v>50</v>
      </c>
      <c r="F1688">
        <v>49.600612640000001</v>
      </c>
      <c r="G1688">
        <v>1384.8480225000001</v>
      </c>
      <c r="H1688">
        <v>1370.1346435999999</v>
      </c>
      <c r="I1688">
        <v>1290.0742187999999</v>
      </c>
      <c r="J1688">
        <v>1270.8685303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1099.2571210000001</v>
      </c>
      <c r="B1689" s="1">
        <f>DATE(2013,5,4) + TIME(6,10,15)</f>
        <v>41398.257118055553</v>
      </c>
      <c r="C1689">
        <v>80</v>
      </c>
      <c r="D1689">
        <v>79.818054199000002</v>
      </c>
      <c r="E1689">
        <v>50</v>
      </c>
      <c r="F1689">
        <v>49.592010498</v>
      </c>
      <c r="G1689">
        <v>1384.9647216999999</v>
      </c>
      <c r="H1689">
        <v>1370.2790527</v>
      </c>
      <c r="I1689">
        <v>1289.9154053</v>
      </c>
      <c r="J1689">
        <v>1270.7091064000001</v>
      </c>
      <c r="K1689">
        <v>2400</v>
      </c>
      <c r="L1689">
        <v>0</v>
      </c>
      <c r="M1689">
        <v>0</v>
      </c>
      <c r="N1689">
        <v>2400</v>
      </c>
    </row>
    <row r="1690" spans="1:14" x14ac:dyDescent="0.25">
      <c r="A1690">
        <v>1099.3742</v>
      </c>
      <c r="B1690" s="1">
        <f>DATE(2013,5,4) + TIME(8,58,50)</f>
        <v>41398.374189814815</v>
      </c>
      <c r="C1690">
        <v>80</v>
      </c>
      <c r="D1690">
        <v>79.838279724000003</v>
      </c>
      <c r="E1690">
        <v>50</v>
      </c>
      <c r="F1690">
        <v>49.583301544000001</v>
      </c>
      <c r="G1690">
        <v>1385.0732422000001</v>
      </c>
      <c r="H1690">
        <v>1370.4141846</v>
      </c>
      <c r="I1690">
        <v>1289.7677002</v>
      </c>
      <c r="J1690">
        <v>1270.5609131000001</v>
      </c>
      <c r="K1690">
        <v>2400</v>
      </c>
      <c r="L1690">
        <v>0</v>
      </c>
      <c r="M1690">
        <v>0</v>
      </c>
      <c r="N1690">
        <v>2400</v>
      </c>
    </row>
    <row r="1691" spans="1:14" x14ac:dyDescent="0.25">
      <c r="A1691">
        <v>1099.4935350000001</v>
      </c>
      <c r="B1691" s="1">
        <f>DATE(2013,5,4) + TIME(11,50,41)</f>
        <v>41398.493530092594</v>
      </c>
      <c r="C1691">
        <v>80</v>
      </c>
      <c r="D1691">
        <v>79.855789185000006</v>
      </c>
      <c r="E1691">
        <v>50</v>
      </c>
      <c r="F1691">
        <v>49.574474334999998</v>
      </c>
      <c r="G1691">
        <v>1385.1741943</v>
      </c>
      <c r="H1691">
        <v>1370.5407714999999</v>
      </c>
      <c r="I1691">
        <v>1289.6304932</v>
      </c>
      <c r="J1691">
        <v>1270.4230957</v>
      </c>
      <c r="K1691">
        <v>2400</v>
      </c>
      <c r="L1691">
        <v>0</v>
      </c>
      <c r="M1691">
        <v>0</v>
      </c>
      <c r="N1691">
        <v>2400</v>
      </c>
    </row>
    <row r="1692" spans="1:14" x14ac:dyDescent="0.25">
      <c r="A1692">
        <v>1099.6153790000001</v>
      </c>
      <c r="B1692" s="1">
        <f>DATE(2013,5,4) + TIME(14,46,8)</f>
        <v>41398.615370370368</v>
      </c>
      <c r="C1692">
        <v>80</v>
      </c>
      <c r="D1692">
        <v>79.870948791999993</v>
      </c>
      <c r="E1692">
        <v>50</v>
      </c>
      <c r="F1692">
        <v>49.565505981000001</v>
      </c>
      <c r="G1692">
        <v>1385.2678223</v>
      </c>
      <c r="H1692">
        <v>1370.6594238</v>
      </c>
      <c r="I1692">
        <v>1289.5029297000001</v>
      </c>
      <c r="J1692">
        <v>1270.2949219</v>
      </c>
      <c r="K1692">
        <v>2400</v>
      </c>
      <c r="L1692">
        <v>0</v>
      </c>
      <c r="M1692">
        <v>0</v>
      </c>
      <c r="N1692">
        <v>2400</v>
      </c>
    </row>
    <row r="1693" spans="1:14" x14ac:dyDescent="0.25">
      <c r="A1693">
        <v>1099.739945</v>
      </c>
      <c r="B1693" s="1">
        <f>DATE(2013,5,4) + TIME(17,45,31)</f>
        <v>41398.739942129629</v>
      </c>
      <c r="C1693">
        <v>80</v>
      </c>
      <c r="D1693">
        <v>79.884033203000001</v>
      </c>
      <c r="E1693">
        <v>50</v>
      </c>
      <c r="F1693">
        <v>49.556392670000001</v>
      </c>
      <c r="G1693">
        <v>1385.3544922000001</v>
      </c>
      <c r="H1693">
        <v>1370.7705077999999</v>
      </c>
      <c r="I1693">
        <v>1289.3845214999999</v>
      </c>
      <c r="J1693">
        <v>1270.1759033000001</v>
      </c>
      <c r="K1693">
        <v>2400</v>
      </c>
      <c r="L1693">
        <v>0</v>
      </c>
      <c r="M1693">
        <v>0</v>
      </c>
      <c r="N1693">
        <v>2400</v>
      </c>
    </row>
    <row r="1694" spans="1:14" x14ac:dyDescent="0.25">
      <c r="A1694">
        <v>1099.8675029999999</v>
      </c>
      <c r="B1694" s="1">
        <f>DATE(2013,5,4) + TIME(20,49,12)</f>
        <v>41398.8675</v>
      </c>
      <c r="C1694">
        <v>80</v>
      </c>
      <c r="D1694">
        <v>79.895324707</v>
      </c>
      <c r="E1694">
        <v>50</v>
      </c>
      <c r="F1694">
        <v>49.547107697000001</v>
      </c>
      <c r="G1694">
        <v>1385.4346923999999</v>
      </c>
      <c r="H1694">
        <v>1370.8746338000001</v>
      </c>
      <c r="I1694">
        <v>1289.2747803</v>
      </c>
      <c r="J1694">
        <v>1270.0655518000001</v>
      </c>
      <c r="K1694">
        <v>2400</v>
      </c>
      <c r="L1694">
        <v>0</v>
      </c>
      <c r="M1694">
        <v>0</v>
      </c>
      <c r="N1694">
        <v>2400</v>
      </c>
    </row>
    <row r="1695" spans="1:14" x14ac:dyDescent="0.25">
      <c r="A1695">
        <v>1099.9983440000001</v>
      </c>
      <c r="B1695" s="1">
        <f>DATE(2013,5,4) + TIME(23,57,36)</f>
        <v>41398.998333333337</v>
      </c>
      <c r="C1695">
        <v>80</v>
      </c>
      <c r="D1695">
        <v>79.905036925999994</v>
      </c>
      <c r="E1695">
        <v>50</v>
      </c>
      <c r="F1695">
        <v>49.537639618</v>
      </c>
      <c r="G1695">
        <v>1385.5085449000001</v>
      </c>
      <c r="H1695">
        <v>1370.9718018000001</v>
      </c>
      <c r="I1695">
        <v>1289.1730957</v>
      </c>
      <c r="J1695">
        <v>1269.9632568</v>
      </c>
      <c r="K1695">
        <v>2400</v>
      </c>
      <c r="L1695">
        <v>0</v>
      </c>
      <c r="M1695">
        <v>0</v>
      </c>
      <c r="N1695">
        <v>2400</v>
      </c>
    </row>
    <row r="1696" spans="1:14" x14ac:dyDescent="0.25">
      <c r="A1696">
        <v>1100.132787</v>
      </c>
      <c r="B1696" s="1">
        <f>DATE(2013,5,5) + TIME(3,11,12)</f>
        <v>41399.132777777777</v>
      </c>
      <c r="C1696">
        <v>80</v>
      </c>
      <c r="D1696">
        <v>79.913383483999993</v>
      </c>
      <c r="E1696">
        <v>50</v>
      </c>
      <c r="F1696">
        <v>49.527961730999998</v>
      </c>
      <c r="G1696">
        <v>1385.5765381000001</v>
      </c>
      <c r="H1696">
        <v>1371.0627440999999</v>
      </c>
      <c r="I1696">
        <v>1289.0791016000001</v>
      </c>
      <c r="J1696">
        <v>1269.8687743999999</v>
      </c>
      <c r="K1696">
        <v>2400</v>
      </c>
      <c r="L1696">
        <v>0</v>
      </c>
      <c r="M1696">
        <v>0</v>
      </c>
      <c r="N1696">
        <v>2400</v>
      </c>
    </row>
    <row r="1697" spans="1:14" x14ac:dyDescent="0.25">
      <c r="A1697">
        <v>1100.2711790000001</v>
      </c>
      <c r="B1697" s="1">
        <f>DATE(2013,5,5) + TIME(6,30,29)</f>
        <v>41399.271168981482</v>
      </c>
      <c r="C1697">
        <v>80</v>
      </c>
      <c r="D1697">
        <v>79.920539856000005</v>
      </c>
      <c r="E1697">
        <v>50</v>
      </c>
      <c r="F1697">
        <v>49.518062592</v>
      </c>
      <c r="G1697">
        <v>1385.6386719</v>
      </c>
      <c r="H1697">
        <v>1371.1474608999999</v>
      </c>
      <c r="I1697">
        <v>1288.9924315999999</v>
      </c>
      <c r="J1697">
        <v>1269.7813721</v>
      </c>
      <c r="K1697">
        <v>2400</v>
      </c>
      <c r="L1697">
        <v>0</v>
      </c>
      <c r="M1697">
        <v>0</v>
      </c>
      <c r="N1697">
        <v>2400</v>
      </c>
    </row>
    <row r="1698" spans="1:14" x14ac:dyDescent="0.25">
      <c r="A1698">
        <v>1100.413908</v>
      </c>
      <c r="B1698" s="1">
        <f>DATE(2013,5,5) + TIME(9,56,1)</f>
        <v>41399.413900462961</v>
      </c>
      <c r="C1698">
        <v>80</v>
      </c>
      <c r="D1698">
        <v>79.926658630000006</v>
      </c>
      <c r="E1698">
        <v>50</v>
      </c>
      <c r="F1698">
        <v>49.507907867</v>
      </c>
      <c r="G1698">
        <v>1385.6951904</v>
      </c>
      <c r="H1698">
        <v>1371.2264404</v>
      </c>
      <c r="I1698">
        <v>1288.9127197</v>
      </c>
      <c r="J1698">
        <v>1269.7009277</v>
      </c>
      <c r="K1698">
        <v>2400</v>
      </c>
      <c r="L1698">
        <v>0</v>
      </c>
      <c r="M1698">
        <v>0</v>
      </c>
      <c r="N1698">
        <v>2400</v>
      </c>
    </row>
    <row r="1699" spans="1:14" x14ac:dyDescent="0.25">
      <c r="A1699">
        <v>1100.561404</v>
      </c>
      <c r="B1699" s="1">
        <f>DATE(2013,5,5) + TIME(13,28,25)</f>
        <v>41399.561400462961</v>
      </c>
      <c r="C1699">
        <v>80</v>
      </c>
      <c r="D1699">
        <v>79.931869507000002</v>
      </c>
      <c r="E1699">
        <v>50</v>
      </c>
      <c r="F1699">
        <v>49.497478485000002</v>
      </c>
      <c r="G1699">
        <v>1385.7464600000001</v>
      </c>
      <c r="H1699">
        <v>1371.2998047000001</v>
      </c>
      <c r="I1699">
        <v>1288.8394774999999</v>
      </c>
      <c r="J1699">
        <v>1269.6270752</v>
      </c>
      <c r="K1699">
        <v>2400</v>
      </c>
      <c r="L1699">
        <v>0</v>
      </c>
      <c r="M1699">
        <v>0</v>
      </c>
      <c r="N1699">
        <v>2400</v>
      </c>
    </row>
    <row r="1700" spans="1:14" x14ac:dyDescent="0.25">
      <c r="A1700">
        <v>1100.714148</v>
      </c>
      <c r="B1700" s="1">
        <f>DATE(2013,5,5) + TIME(17,8,22)</f>
        <v>41399.714143518519</v>
      </c>
      <c r="C1700">
        <v>80</v>
      </c>
      <c r="D1700">
        <v>79.936294556000007</v>
      </c>
      <c r="E1700">
        <v>50</v>
      </c>
      <c r="F1700">
        <v>49.486743926999999</v>
      </c>
      <c r="G1700">
        <v>1385.7923584</v>
      </c>
      <c r="H1700">
        <v>1371.3676757999999</v>
      </c>
      <c r="I1700">
        <v>1288.7724608999999</v>
      </c>
      <c r="J1700">
        <v>1269.5593262</v>
      </c>
      <c r="K1700">
        <v>2400</v>
      </c>
      <c r="L1700">
        <v>0</v>
      </c>
      <c r="M1700">
        <v>0</v>
      </c>
      <c r="N1700">
        <v>2400</v>
      </c>
    </row>
    <row r="1701" spans="1:14" x14ac:dyDescent="0.25">
      <c r="A1701">
        <v>1100.8726899999999</v>
      </c>
      <c r="B1701" s="1">
        <f>DATE(2013,5,5) + TIME(20,56,40)</f>
        <v>41399.872685185182</v>
      </c>
      <c r="C1701">
        <v>80</v>
      </c>
      <c r="D1701">
        <v>79.940040588000002</v>
      </c>
      <c r="E1701">
        <v>50</v>
      </c>
      <c r="F1701">
        <v>49.475666046000001</v>
      </c>
      <c r="G1701">
        <v>1385.8331298999999</v>
      </c>
      <c r="H1701">
        <v>1371.4302978999999</v>
      </c>
      <c r="I1701">
        <v>1288.7114257999999</v>
      </c>
      <c r="J1701">
        <v>1269.4976807</v>
      </c>
      <c r="K1701">
        <v>2400</v>
      </c>
      <c r="L1701">
        <v>0</v>
      </c>
      <c r="M1701">
        <v>0</v>
      </c>
      <c r="N1701">
        <v>2400</v>
      </c>
    </row>
    <row r="1702" spans="1:14" x14ac:dyDescent="0.25">
      <c r="A1702">
        <v>1101.0377530000001</v>
      </c>
      <c r="B1702" s="1">
        <f>DATE(2013,5,6) + TIME(0,54,21)</f>
        <v>41400.037743055553</v>
      </c>
      <c r="C1702">
        <v>80</v>
      </c>
      <c r="D1702">
        <v>79.943206786999994</v>
      </c>
      <c r="E1702">
        <v>50</v>
      </c>
      <c r="F1702">
        <v>49.464210510000001</v>
      </c>
      <c r="G1702">
        <v>1385.8688964999999</v>
      </c>
      <c r="H1702">
        <v>1371.4879149999999</v>
      </c>
      <c r="I1702">
        <v>1288.6561279</v>
      </c>
      <c r="J1702">
        <v>1269.4415283000001</v>
      </c>
      <c r="K1702">
        <v>2400</v>
      </c>
      <c r="L1702">
        <v>0</v>
      </c>
      <c r="M1702">
        <v>0</v>
      </c>
      <c r="N1702">
        <v>2400</v>
      </c>
    </row>
    <row r="1703" spans="1:14" x14ac:dyDescent="0.25">
      <c r="A1703">
        <v>1101.209636</v>
      </c>
      <c r="B1703" s="1">
        <f>DATE(2013,5,6) + TIME(5,1,52)</f>
        <v>41400.209629629629</v>
      </c>
      <c r="C1703">
        <v>80</v>
      </c>
      <c r="D1703">
        <v>79.945854186999995</v>
      </c>
      <c r="E1703">
        <v>50</v>
      </c>
      <c r="F1703">
        <v>49.452354431000003</v>
      </c>
      <c r="G1703">
        <v>1385.8995361</v>
      </c>
      <c r="H1703">
        <v>1371.5405272999999</v>
      </c>
      <c r="I1703">
        <v>1288.6063231999999</v>
      </c>
      <c r="J1703">
        <v>1269.3909911999999</v>
      </c>
      <c r="K1703">
        <v>2400</v>
      </c>
      <c r="L1703">
        <v>0</v>
      </c>
      <c r="M1703">
        <v>0</v>
      </c>
      <c r="N1703">
        <v>2400</v>
      </c>
    </row>
    <row r="1704" spans="1:14" x14ac:dyDescent="0.25">
      <c r="A1704">
        <v>1101.3870569999999</v>
      </c>
      <c r="B1704" s="1">
        <f>DATE(2013,5,6) + TIME(9,17,21)</f>
        <v>41400.387048611112</v>
      </c>
      <c r="C1704">
        <v>80</v>
      </c>
      <c r="D1704">
        <v>79.948043823000006</v>
      </c>
      <c r="E1704">
        <v>50</v>
      </c>
      <c r="F1704">
        <v>49.440170287999997</v>
      </c>
      <c r="G1704">
        <v>1385.9244385</v>
      </c>
      <c r="H1704">
        <v>1371.5874022999999</v>
      </c>
      <c r="I1704">
        <v>1288.5621338000001</v>
      </c>
      <c r="J1704">
        <v>1269.3459473</v>
      </c>
      <c r="K1704">
        <v>2400</v>
      </c>
      <c r="L1704">
        <v>0</v>
      </c>
      <c r="M1704">
        <v>0</v>
      </c>
      <c r="N1704">
        <v>2400</v>
      </c>
    </row>
    <row r="1705" spans="1:14" x14ac:dyDescent="0.25">
      <c r="A1705">
        <v>1101.5706110000001</v>
      </c>
      <c r="B1705" s="1">
        <f>DATE(2013,5,6) + TIME(13,41,40)</f>
        <v>41400.570601851854</v>
      </c>
      <c r="C1705">
        <v>80</v>
      </c>
      <c r="D1705">
        <v>79.949851989999999</v>
      </c>
      <c r="E1705">
        <v>50</v>
      </c>
      <c r="F1705">
        <v>49.427619933999999</v>
      </c>
      <c r="G1705">
        <v>1385.9443358999999</v>
      </c>
      <c r="H1705">
        <v>1371.6290283000001</v>
      </c>
      <c r="I1705">
        <v>1288.5231934000001</v>
      </c>
      <c r="J1705">
        <v>1269.3062743999999</v>
      </c>
      <c r="K1705">
        <v>2400</v>
      </c>
      <c r="L1705">
        <v>0</v>
      </c>
      <c r="M1705">
        <v>0</v>
      </c>
      <c r="N1705">
        <v>2400</v>
      </c>
    </row>
    <row r="1706" spans="1:14" x14ac:dyDescent="0.25">
      <c r="A1706">
        <v>1101.7608869999999</v>
      </c>
      <c r="B1706" s="1">
        <f>DATE(2013,5,6) + TIME(18,15,40)</f>
        <v>41400.760879629626</v>
      </c>
      <c r="C1706">
        <v>80</v>
      </c>
      <c r="D1706">
        <v>79.951332092000001</v>
      </c>
      <c r="E1706">
        <v>50</v>
      </c>
      <c r="F1706">
        <v>49.414676665999998</v>
      </c>
      <c r="G1706">
        <v>1385.9591064000001</v>
      </c>
      <c r="H1706">
        <v>1371.6656493999999</v>
      </c>
      <c r="I1706">
        <v>1288.4892577999999</v>
      </c>
      <c r="J1706">
        <v>1269.2714844</v>
      </c>
      <c r="K1706">
        <v>2400</v>
      </c>
      <c r="L1706">
        <v>0</v>
      </c>
      <c r="M1706">
        <v>0</v>
      </c>
      <c r="N1706">
        <v>2400</v>
      </c>
    </row>
    <row r="1707" spans="1:14" x14ac:dyDescent="0.25">
      <c r="A1707">
        <v>1101.9585910000001</v>
      </c>
      <c r="B1707" s="1">
        <f>DATE(2013,5,6) + TIME(23,0,22)</f>
        <v>41400.958587962959</v>
      </c>
      <c r="C1707">
        <v>80</v>
      </c>
      <c r="D1707">
        <v>79.952545165999993</v>
      </c>
      <c r="E1707">
        <v>50</v>
      </c>
      <c r="F1707">
        <v>49.401302338000001</v>
      </c>
      <c r="G1707">
        <v>1385.9692382999999</v>
      </c>
      <c r="H1707">
        <v>1371.6975098</v>
      </c>
      <c r="I1707">
        <v>1288.4598389</v>
      </c>
      <c r="J1707">
        <v>1269.2412108999999</v>
      </c>
      <c r="K1707">
        <v>2400</v>
      </c>
      <c r="L1707">
        <v>0</v>
      </c>
      <c r="M1707">
        <v>0</v>
      </c>
      <c r="N1707">
        <v>2400</v>
      </c>
    </row>
    <row r="1708" spans="1:14" x14ac:dyDescent="0.25">
      <c r="A1708">
        <v>1102.1645679999999</v>
      </c>
      <c r="B1708" s="1">
        <f>DATE(2013,5,7) + TIME(3,56,58)</f>
        <v>41401.164560185185</v>
      </c>
      <c r="C1708">
        <v>80</v>
      </c>
      <c r="D1708">
        <v>79.953536987000007</v>
      </c>
      <c r="E1708">
        <v>50</v>
      </c>
      <c r="F1708">
        <v>49.387443542</v>
      </c>
      <c r="G1708">
        <v>1385.9746094</v>
      </c>
      <c r="H1708">
        <v>1371.7247314000001</v>
      </c>
      <c r="I1708">
        <v>1288.4346923999999</v>
      </c>
      <c r="J1708">
        <v>1269.2152100000001</v>
      </c>
      <c r="K1708">
        <v>2400</v>
      </c>
      <c r="L1708">
        <v>0</v>
      </c>
      <c r="M1708">
        <v>0</v>
      </c>
      <c r="N1708">
        <v>2400</v>
      </c>
    </row>
    <row r="1709" spans="1:14" x14ac:dyDescent="0.25">
      <c r="A1709">
        <v>1102.3768090000001</v>
      </c>
      <c r="B1709" s="1">
        <f>DATE(2013,5,7) + TIME(9,2,36)</f>
        <v>41401.376805555556</v>
      </c>
      <c r="C1709">
        <v>80</v>
      </c>
      <c r="D1709">
        <v>79.954322814999998</v>
      </c>
      <c r="E1709">
        <v>50</v>
      </c>
      <c r="F1709">
        <v>49.373210907000001</v>
      </c>
      <c r="G1709">
        <v>1385.9748535000001</v>
      </c>
      <c r="H1709">
        <v>1371.7468262</v>
      </c>
      <c r="I1709">
        <v>1288.4136963000001</v>
      </c>
      <c r="J1709">
        <v>1269.1932373</v>
      </c>
      <c r="K1709">
        <v>2400</v>
      </c>
      <c r="L1709">
        <v>0</v>
      </c>
      <c r="M1709">
        <v>0</v>
      </c>
      <c r="N1709">
        <v>2400</v>
      </c>
    </row>
    <row r="1710" spans="1:14" x14ac:dyDescent="0.25">
      <c r="A1710">
        <v>1102.590275</v>
      </c>
      <c r="B1710" s="1">
        <f>DATE(2013,5,7) + TIME(14,9,59)</f>
        <v>41401.590266203704</v>
      </c>
      <c r="C1710">
        <v>80</v>
      </c>
      <c r="D1710">
        <v>79.954940796000002</v>
      </c>
      <c r="E1710">
        <v>50</v>
      </c>
      <c r="F1710">
        <v>49.358867644999997</v>
      </c>
      <c r="G1710">
        <v>1385.9694824000001</v>
      </c>
      <c r="H1710">
        <v>1371.7633057</v>
      </c>
      <c r="I1710">
        <v>1288.3968506000001</v>
      </c>
      <c r="J1710">
        <v>1269.1754149999999</v>
      </c>
      <c r="K1710">
        <v>2400</v>
      </c>
      <c r="L1710">
        <v>0</v>
      </c>
      <c r="M1710">
        <v>0</v>
      </c>
      <c r="N1710">
        <v>2400</v>
      </c>
    </row>
    <row r="1711" spans="1:14" x14ac:dyDescent="0.25">
      <c r="A1711">
        <v>1102.8055039999999</v>
      </c>
      <c r="B1711" s="1">
        <f>DATE(2013,5,7) + TIME(19,19,55)</f>
        <v>41401.805497685185</v>
      </c>
      <c r="C1711">
        <v>80</v>
      </c>
      <c r="D1711">
        <v>79.955421447999996</v>
      </c>
      <c r="E1711">
        <v>50</v>
      </c>
      <c r="F1711">
        <v>49.344406128000003</v>
      </c>
      <c r="G1711">
        <v>1385.9604492000001</v>
      </c>
      <c r="H1711">
        <v>1371.7753906</v>
      </c>
      <c r="I1711">
        <v>1288.3833007999999</v>
      </c>
      <c r="J1711">
        <v>1269.1610106999999</v>
      </c>
      <c r="K1711">
        <v>2400</v>
      </c>
      <c r="L1711">
        <v>0</v>
      </c>
      <c r="M1711">
        <v>0</v>
      </c>
      <c r="N1711">
        <v>2400</v>
      </c>
    </row>
    <row r="1712" spans="1:14" x14ac:dyDescent="0.25">
      <c r="A1712">
        <v>1103.0230710000001</v>
      </c>
      <c r="B1712" s="1">
        <f>DATE(2013,5,8) + TIME(0,33,13)</f>
        <v>41402.02306712963</v>
      </c>
      <c r="C1712">
        <v>80</v>
      </c>
      <c r="D1712">
        <v>79.955802917</v>
      </c>
      <c r="E1712">
        <v>50</v>
      </c>
      <c r="F1712">
        <v>49.329803466999998</v>
      </c>
      <c r="G1712">
        <v>1385.9479980000001</v>
      </c>
      <c r="H1712">
        <v>1371.7836914</v>
      </c>
      <c r="I1712">
        <v>1288.3728027</v>
      </c>
      <c r="J1712">
        <v>1269.1495361</v>
      </c>
      <c r="K1712">
        <v>2400</v>
      </c>
      <c r="L1712">
        <v>0</v>
      </c>
      <c r="M1712">
        <v>0</v>
      </c>
      <c r="N1712">
        <v>2400</v>
      </c>
    </row>
    <row r="1713" spans="1:14" x14ac:dyDescent="0.25">
      <c r="A1713">
        <v>1103.243444</v>
      </c>
      <c r="B1713" s="1">
        <f>DATE(2013,5,8) + TIME(5,50,33)</f>
        <v>41402.243437500001</v>
      </c>
      <c r="C1713">
        <v>80</v>
      </c>
      <c r="D1713">
        <v>79.956100464000002</v>
      </c>
      <c r="E1713">
        <v>50</v>
      </c>
      <c r="F1713">
        <v>49.315044403000002</v>
      </c>
      <c r="G1713">
        <v>1385.9326172000001</v>
      </c>
      <c r="H1713">
        <v>1371.7885742000001</v>
      </c>
      <c r="I1713">
        <v>1288.3648682</v>
      </c>
      <c r="J1713">
        <v>1269.1405029</v>
      </c>
      <c r="K1713">
        <v>2400</v>
      </c>
      <c r="L1713">
        <v>0</v>
      </c>
      <c r="M1713">
        <v>0</v>
      </c>
      <c r="N1713">
        <v>2400</v>
      </c>
    </row>
    <row r="1714" spans="1:14" x14ac:dyDescent="0.25">
      <c r="A1714">
        <v>1103.4671040000001</v>
      </c>
      <c r="B1714" s="1">
        <f>DATE(2013,5,8) + TIME(11,12,37)</f>
        <v>41402.467094907406</v>
      </c>
      <c r="C1714">
        <v>80</v>
      </c>
      <c r="D1714">
        <v>79.956329346000004</v>
      </c>
      <c r="E1714">
        <v>50</v>
      </c>
      <c r="F1714">
        <v>49.300113678000002</v>
      </c>
      <c r="G1714">
        <v>1385.9144286999999</v>
      </c>
      <c r="H1714">
        <v>1371.7902832</v>
      </c>
      <c r="I1714">
        <v>1288.3590088000001</v>
      </c>
      <c r="J1714">
        <v>1269.1336670000001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1103.694583</v>
      </c>
      <c r="B1715" s="1">
        <f>DATE(2013,5,8) + TIME(16,40,11)</f>
        <v>41402.694571759261</v>
      </c>
      <c r="C1715">
        <v>80</v>
      </c>
      <c r="D1715">
        <v>79.956512450999995</v>
      </c>
      <c r="E1715">
        <v>50</v>
      </c>
      <c r="F1715">
        <v>49.284980773999997</v>
      </c>
      <c r="G1715">
        <v>1385.8937988</v>
      </c>
      <c r="H1715">
        <v>1371.7891846</v>
      </c>
      <c r="I1715">
        <v>1288.3548584</v>
      </c>
      <c r="J1715">
        <v>1269.1286620999999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1103.9253639999999</v>
      </c>
      <c r="B1716" s="1">
        <f>DATE(2013,5,8) + TIME(22,12,31)</f>
        <v>41402.925358796296</v>
      </c>
      <c r="C1716">
        <v>80</v>
      </c>
      <c r="D1716">
        <v>79.956649780000006</v>
      </c>
      <c r="E1716">
        <v>50</v>
      </c>
      <c r="F1716">
        <v>49.269676208</v>
      </c>
      <c r="G1716">
        <v>1385.8706055</v>
      </c>
      <c r="H1716">
        <v>1371.7852783000001</v>
      </c>
      <c r="I1716">
        <v>1288.3524170000001</v>
      </c>
      <c r="J1716">
        <v>1269.125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1104.1587629999999</v>
      </c>
      <c r="B1717" s="1">
        <f>DATE(2013,5,9) + TIME(3,48,37)</f>
        <v>41403.158761574072</v>
      </c>
      <c r="C1717">
        <v>80</v>
      </c>
      <c r="D1717">
        <v>79.956756592000005</v>
      </c>
      <c r="E1717">
        <v>50</v>
      </c>
      <c r="F1717">
        <v>49.254234314000001</v>
      </c>
      <c r="G1717">
        <v>1385.8452147999999</v>
      </c>
      <c r="H1717">
        <v>1371.7789307</v>
      </c>
      <c r="I1717">
        <v>1288.3510742000001</v>
      </c>
      <c r="J1717">
        <v>1269.1226807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1104.395258</v>
      </c>
      <c r="B1718" s="1">
        <f>DATE(2013,5,9) + TIME(9,29,10)</f>
        <v>41403.395254629628</v>
      </c>
      <c r="C1718">
        <v>80</v>
      </c>
      <c r="D1718">
        <v>79.956840514999996</v>
      </c>
      <c r="E1718">
        <v>50</v>
      </c>
      <c r="F1718">
        <v>49.238639831999997</v>
      </c>
      <c r="G1718">
        <v>1385.8179932</v>
      </c>
      <c r="H1718">
        <v>1371.7703856999999</v>
      </c>
      <c r="I1718">
        <v>1288.3508300999999</v>
      </c>
      <c r="J1718">
        <v>1269.1213379000001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1104.635227</v>
      </c>
      <c r="B1719" s="1">
        <f>DATE(2013,5,9) + TIME(15,14,43)</f>
        <v>41403.63521990741</v>
      </c>
      <c r="C1719">
        <v>80</v>
      </c>
      <c r="D1719">
        <v>79.956901549999998</v>
      </c>
      <c r="E1719">
        <v>50</v>
      </c>
      <c r="F1719">
        <v>49.222873688</v>
      </c>
      <c r="G1719">
        <v>1385.7890625</v>
      </c>
      <c r="H1719">
        <v>1371.7597656</v>
      </c>
      <c r="I1719">
        <v>1288.3513184000001</v>
      </c>
      <c r="J1719">
        <v>1269.1208495999999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1104.879142</v>
      </c>
      <c r="B1720" s="1">
        <f>DATE(2013,5,9) + TIME(21,5,57)</f>
        <v>41403.879131944443</v>
      </c>
      <c r="C1720">
        <v>80</v>
      </c>
      <c r="D1720">
        <v>79.956939696999996</v>
      </c>
      <c r="E1720">
        <v>50</v>
      </c>
      <c r="F1720">
        <v>49.206916808999999</v>
      </c>
      <c r="G1720">
        <v>1385.7586670000001</v>
      </c>
      <c r="H1720">
        <v>1371.7474365</v>
      </c>
      <c r="I1720">
        <v>1288.3524170000001</v>
      </c>
      <c r="J1720">
        <v>1269.1208495999999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1105.127502</v>
      </c>
      <c r="B1721" s="1">
        <f>DATE(2013,5,10) + TIME(3,3,36)</f>
        <v>41404.127500000002</v>
      </c>
      <c r="C1721">
        <v>80</v>
      </c>
      <c r="D1721">
        <v>79.956970214999998</v>
      </c>
      <c r="E1721">
        <v>50</v>
      </c>
      <c r="F1721">
        <v>49.190738678000002</v>
      </c>
      <c r="G1721">
        <v>1385.7266846</v>
      </c>
      <c r="H1721">
        <v>1371.7333983999999</v>
      </c>
      <c r="I1721">
        <v>1288.354126</v>
      </c>
      <c r="J1721">
        <v>1269.1213379000001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1105.380846</v>
      </c>
      <c r="B1722" s="1">
        <f>DATE(2013,5,10) + TIME(9,8,25)</f>
        <v>41404.380844907406</v>
      </c>
      <c r="C1722">
        <v>80</v>
      </c>
      <c r="D1722">
        <v>79.956993103000002</v>
      </c>
      <c r="E1722">
        <v>50</v>
      </c>
      <c r="F1722">
        <v>49.174312592</v>
      </c>
      <c r="G1722">
        <v>1385.6932373</v>
      </c>
      <c r="H1722">
        <v>1371.7176514</v>
      </c>
      <c r="I1722">
        <v>1288.3560791</v>
      </c>
      <c r="J1722">
        <v>1269.1221923999999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1105.639752</v>
      </c>
      <c r="B1723" s="1">
        <f>DATE(2013,5,10) + TIME(15,21,14)</f>
        <v>41404.639745370368</v>
      </c>
      <c r="C1723">
        <v>80</v>
      </c>
      <c r="D1723">
        <v>79.957000731999997</v>
      </c>
      <c r="E1723">
        <v>50</v>
      </c>
      <c r="F1723">
        <v>49.157608031999999</v>
      </c>
      <c r="G1723">
        <v>1385.6585693</v>
      </c>
      <c r="H1723">
        <v>1371.7004394999999</v>
      </c>
      <c r="I1723">
        <v>1288.3582764</v>
      </c>
      <c r="J1723">
        <v>1269.1231689000001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1105.904859</v>
      </c>
      <c r="B1724" s="1">
        <f>DATE(2013,5,10) + TIME(21,42,59)</f>
        <v>41404.904849537037</v>
      </c>
      <c r="C1724">
        <v>80</v>
      </c>
      <c r="D1724">
        <v>79.957000731999997</v>
      </c>
      <c r="E1724">
        <v>50</v>
      </c>
      <c r="F1724">
        <v>49.140598296999997</v>
      </c>
      <c r="G1724">
        <v>1385.6224365</v>
      </c>
      <c r="H1724">
        <v>1371.6817627</v>
      </c>
      <c r="I1724">
        <v>1288.3605957</v>
      </c>
      <c r="J1724">
        <v>1269.1242675999999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1106.1768689999999</v>
      </c>
      <c r="B1725" s="1">
        <f>DATE(2013,5,11) + TIME(4,14,41)</f>
        <v>41405.176863425928</v>
      </c>
      <c r="C1725">
        <v>80</v>
      </c>
      <c r="D1725">
        <v>79.956993103000002</v>
      </c>
      <c r="E1725">
        <v>50</v>
      </c>
      <c r="F1725">
        <v>49.123237609999997</v>
      </c>
      <c r="G1725">
        <v>1385.5849608999999</v>
      </c>
      <c r="H1725">
        <v>1371.6616211</v>
      </c>
      <c r="I1725">
        <v>1288.3629149999999</v>
      </c>
      <c r="J1725">
        <v>1269.1254882999999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1106.4565640000001</v>
      </c>
      <c r="B1726" s="1">
        <f>DATE(2013,5,11) + TIME(10,57,27)</f>
        <v>41405.456562500003</v>
      </c>
      <c r="C1726">
        <v>80</v>
      </c>
      <c r="D1726">
        <v>79.956985474000007</v>
      </c>
      <c r="E1726">
        <v>50</v>
      </c>
      <c r="F1726">
        <v>49.105487822999997</v>
      </c>
      <c r="G1726">
        <v>1385.5461425999999</v>
      </c>
      <c r="H1726">
        <v>1371.6401367000001</v>
      </c>
      <c r="I1726">
        <v>1288.3652344</v>
      </c>
      <c r="J1726">
        <v>1269.1264647999999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1106.7448569999999</v>
      </c>
      <c r="B1727" s="1">
        <f>DATE(2013,5,11) + TIME(17,52,35)</f>
        <v>41405.744849537034</v>
      </c>
      <c r="C1727">
        <v>80</v>
      </c>
      <c r="D1727">
        <v>79.956970214999998</v>
      </c>
      <c r="E1727">
        <v>50</v>
      </c>
      <c r="F1727">
        <v>49.087303161999998</v>
      </c>
      <c r="G1727">
        <v>1385.5059814000001</v>
      </c>
      <c r="H1727">
        <v>1371.6171875</v>
      </c>
      <c r="I1727">
        <v>1288.3674315999999</v>
      </c>
      <c r="J1727">
        <v>1269.1273193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1107.042901</v>
      </c>
      <c r="B1728" s="1">
        <f>DATE(2013,5,12) + TIME(1,1,46)</f>
        <v>41406.042893518519</v>
      </c>
      <c r="C1728">
        <v>80</v>
      </c>
      <c r="D1728">
        <v>79.956947326999995</v>
      </c>
      <c r="E1728">
        <v>50</v>
      </c>
      <c r="F1728">
        <v>49.068618774000001</v>
      </c>
      <c r="G1728">
        <v>1385.4643555</v>
      </c>
      <c r="H1728">
        <v>1371.5928954999999</v>
      </c>
      <c r="I1728">
        <v>1288.3693848</v>
      </c>
      <c r="J1728">
        <v>1269.1279297000001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1107.3516609999999</v>
      </c>
      <c r="B1729" s="1">
        <f>DATE(2013,5,12) + TIME(8,26,23)</f>
        <v>41406.351655092592</v>
      </c>
      <c r="C1729">
        <v>80</v>
      </c>
      <c r="D1729">
        <v>79.956924438000001</v>
      </c>
      <c r="E1729">
        <v>50</v>
      </c>
      <c r="F1729">
        <v>49.049392699999999</v>
      </c>
      <c r="G1729">
        <v>1385.4211425999999</v>
      </c>
      <c r="H1729">
        <v>1371.5671387</v>
      </c>
      <c r="I1729">
        <v>1288.3712158000001</v>
      </c>
      <c r="J1729">
        <v>1269.1282959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1107.667398</v>
      </c>
      <c r="B1730" s="1">
        <f>DATE(2013,5,12) + TIME(16,1,3)</f>
        <v>41406.667395833334</v>
      </c>
      <c r="C1730">
        <v>80</v>
      </c>
      <c r="D1730">
        <v>79.956901549999998</v>
      </c>
      <c r="E1730">
        <v>50</v>
      </c>
      <c r="F1730">
        <v>49.029773712000001</v>
      </c>
      <c r="G1730">
        <v>1385.3764647999999</v>
      </c>
      <c r="H1730">
        <v>1371.5399170000001</v>
      </c>
      <c r="I1730">
        <v>1288.3724365</v>
      </c>
      <c r="J1730">
        <v>1269.1281738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1107.9903300000001</v>
      </c>
      <c r="B1731" s="1">
        <f>DATE(2013,5,12) + TIME(23,46,4)</f>
        <v>41406.990324074075</v>
      </c>
      <c r="C1731">
        <v>80</v>
      </c>
      <c r="D1731">
        <v>79.956871032999999</v>
      </c>
      <c r="E1731">
        <v>50</v>
      </c>
      <c r="F1731">
        <v>49.009765625</v>
      </c>
      <c r="G1731">
        <v>1385.3308105000001</v>
      </c>
      <c r="H1731">
        <v>1371.5115966999999</v>
      </c>
      <c r="I1731">
        <v>1288.3734131000001</v>
      </c>
      <c r="J1731">
        <v>1269.1275635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1108.3212349999999</v>
      </c>
      <c r="B1732" s="1">
        <f>DATE(2013,5,13) + TIME(7,42,34)</f>
        <v>41407.321226851855</v>
      </c>
      <c r="C1732">
        <v>80</v>
      </c>
      <c r="D1732">
        <v>79.956840514999996</v>
      </c>
      <c r="E1732">
        <v>50</v>
      </c>
      <c r="F1732">
        <v>48.989345551</v>
      </c>
      <c r="G1732">
        <v>1385.2841797000001</v>
      </c>
      <c r="H1732">
        <v>1371.4822998</v>
      </c>
      <c r="I1732">
        <v>1288.3737793</v>
      </c>
      <c r="J1732">
        <v>1269.1264647999999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1108.6609659999999</v>
      </c>
      <c r="B1733" s="1">
        <f>DATE(2013,5,13) + TIME(15,51,47)</f>
        <v>41407.660960648151</v>
      </c>
      <c r="C1733">
        <v>80</v>
      </c>
      <c r="D1733">
        <v>79.956809997999997</v>
      </c>
      <c r="E1733">
        <v>50</v>
      </c>
      <c r="F1733">
        <v>48.968479156000001</v>
      </c>
      <c r="G1733">
        <v>1385.2366943</v>
      </c>
      <c r="H1733">
        <v>1371.4519043</v>
      </c>
      <c r="I1733">
        <v>1288.3737793</v>
      </c>
      <c r="J1733">
        <v>1269.1248779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1109.0104839999999</v>
      </c>
      <c r="B1734" s="1">
        <f>DATE(2013,5,14) + TIME(0,15,5)</f>
        <v>41408.010474537034</v>
      </c>
      <c r="C1734">
        <v>80</v>
      </c>
      <c r="D1734">
        <v>79.956771850999999</v>
      </c>
      <c r="E1734">
        <v>50</v>
      </c>
      <c r="F1734">
        <v>48.947124481000003</v>
      </c>
      <c r="G1734">
        <v>1385.1882324000001</v>
      </c>
      <c r="H1734">
        <v>1371.4205322</v>
      </c>
      <c r="I1734">
        <v>1288.3734131000001</v>
      </c>
      <c r="J1734">
        <v>1269.1228027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1109.3647430000001</v>
      </c>
      <c r="B1735" s="1">
        <f>DATE(2013,5,14) + TIME(8,45,13)</f>
        <v>41408.364733796298</v>
      </c>
      <c r="C1735">
        <v>80</v>
      </c>
      <c r="D1735">
        <v>79.956733704000001</v>
      </c>
      <c r="E1735">
        <v>50</v>
      </c>
      <c r="F1735">
        <v>48.925495148000003</v>
      </c>
      <c r="G1735">
        <v>1385.1389160000001</v>
      </c>
      <c r="H1735">
        <v>1371.3881836</v>
      </c>
      <c r="I1735">
        <v>1288.3723144999999</v>
      </c>
      <c r="J1735">
        <v>1269.1199951000001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1109.723954</v>
      </c>
      <c r="B1736" s="1">
        <f>DATE(2013,5,14) + TIME(17,22,29)</f>
        <v>41408.723946759259</v>
      </c>
      <c r="C1736">
        <v>80</v>
      </c>
      <c r="D1736">
        <v>79.956695557000003</v>
      </c>
      <c r="E1736">
        <v>50</v>
      </c>
      <c r="F1736">
        <v>48.903606414999999</v>
      </c>
      <c r="G1736">
        <v>1385.0892334</v>
      </c>
      <c r="H1736">
        <v>1371.3553466999999</v>
      </c>
      <c r="I1736">
        <v>1288.3707274999999</v>
      </c>
      <c r="J1736">
        <v>1269.1168213000001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1110.088598</v>
      </c>
      <c r="B1737" s="1">
        <f>DATE(2013,5,15) + TIME(2,7,34)</f>
        <v>41409.088587962964</v>
      </c>
      <c r="C1737">
        <v>80</v>
      </c>
      <c r="D1737">
        <v>79.956657410000005</v>
      </c>
      <c r="E1737">
        <v>50</v>
      </c>
      <c r="F1737">
        <v>48.881454468000001</v>
      </c>
      <c r="G1737">
        <v>1385.0393065999999</v>
      </c>
      <c r="H1737">
        <v>1371.3218993999999</v>
      </c>
      <c r="I1737">
        <v>1288.3686522999999</v>
      </c>
      <c r="J1737">
        <v>1269.1129149999999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1110.459108</v>
      </c>
      <c r="B1738" s="1">
        <f>DATE(2013,5,15) + TIME(11,1,6)</f>
        <v>41409.459097222221</v>
      </c>
      <c r="C1738">
        <v>80</v>
      </c>
      <c r="D1738">
        <v>79.956619262999993</v>
      </c>
      <c r="E1738">
        <v>50</v>
      </c>
      <c r="F1738">
        <v>48.859035491999997</v>
      </c>
      <c r="G1738">
        <v>1384.9892577999999</v>
      </c>
      <c r="H1738">
        <v>1371.2879639</v>
      </c>
      <c r="I1738">
        <v>1288.3659668</v>
      </c>
      <c r="J1738">
        <v>1269.1086425999999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1110.836405</v>
      </c>
      <c r="B1739" s="1">
        <f>DATE(2013,5,15) + TIME(20,4,25)</f>
        <v>41409.836400462962</v>
      </c>
      <c r="C1739">
        <v>80</v>
      </c>
      <c r="D1739">
        <v>79.956588745000005</v>
      </c>
      <c r="E1739">
        <v>50</v>
      </c>
      <c r="F1739">
        <v>48.836322783999996</v>
      </c>
      <c r="G1739">
        <v>1384.9388428</v>
      </c>
      <c r="H1739">
        <v>1371.2536620999999</v>
      </c>
      <c r="I1739">
        <v>1288.3629149999999</v>
      </c>
      <c r="J1739">
        <v>1269.1037598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1111.2180490000001</v>
      </c>
      <c r="B1740" s="1">
        <f>DATE(2013,5,16) + TIME(5,13,59)</f>
        <v>41410.218043981484</v>
      </c>
      <c r="C1740">
        <v>80</v>
      </c>
      <c r="D1740">
        <v>79.956550598000007</v>
      </c>
      <c r="E1740">
        <v>50</v>
      </c>
      <c r="F1740">
        <v>48.813407898000001</v>
      </c>
      <c r="G1740">
        <v>1384.8883057</v>
      </c>
      <c r="H1740">
        <v>1371.2188721</v>
      </c>
      <c r="I1740">
        <v>1288.359375</v>
      </c>
      <c r="J1740">
        <v>1269.0982666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1111.6034589999999</v>
      </c>
      <c r="B1741" s="1">
        <f>DATE(2013,5,16) + TIME(14,28,58)</f>
        <v>41410.603449074071</v>
      </c>
      <c r="C1741">
        <v>80</v>
      </c>
      <c r="D1741">
        <v>79.956512450999995</v>
      </c>
      <c r="E1741">
        <v>50</v>
      </c>
      <c r="F1741">
        <v>48.790336609000001</v>
      </c>
      <c r="G1741">
        <v>1384.8376464999999</v>
      </c>
      <c r="H1741">
        <v>1371.1838379000001</v>
      </c>
      <c r="I1741">
        <v>1288.3553466999999</v>
      </c>
      <c r="J1741">
        <v>1269.0924072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1111.9934149999999</v>
      </c>
      <c r="B1742" s="1">
        <f>DATE(2013,5,16) + TIME(23,50,31)</f>
        <v>41410.993414351855</v>
      </c>
      <c r="C1742">
        <v>80</v>
      </c>
      <c r="D1742">
        <v>79.956474303999997</v>
      </c>
      <c r="E1742">
        <v>50</v>
      </c>
      <c r="F1742">
        <v>48.767089843999997</v>
      </c>
      <c r="G1742">
        <v>1384.7872314000001</v>
      </c>
      <c r="H1742">
        <v>1371.1485596</v>
      </c>
      <c r="I1742">
        <v>1288.3508300999999</v>
      </c>
      <c r="J1742">
        <v>1269.0859375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1112.388723</v>
      </c>
      <c r="B1743" s="1">
        <f>DATE(2013,5,17) + TIME(9,19,45)</f>
        <v>41411.388715277775</v>
      </c>
      <c r="C1743">
        <v>80</v>
      </c>
      <c r="D1743">
        <v>79.956436156999999</v>
      </c>
      <c r="E1743">
        <v>50</v>
      </c>
      <c r="F1743">
        <v>48.743644713999998</v>
      </c>
      <c r="G1743">
        <v>1384.7369385</v>
      </c>
      <c r="H1743">
        <v>1371.1131591999999</v>
      </c>
      <c r="I1743">
        <v>1288.3459473</v>
      </c>
      <c r="J1743">
        <v>1269.0791016000001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1112.7902329999999</v>
      </c>
      <c r="B1744" s="1">
        <f>DATE(2013,5,17) + TIME(18,57,56)</f>
        <v>41411.790231481478</v>
      </c>
      <c r="C1744">
        <v>80</v>
      </c>
      <c r="D1744">
        <v>79.956398010000001</v>
      </c>
      <c r="E1744">
        <v>50</v>
      </c>
      <c r="F1744">
        <v>48.719966888000002</v>
      </c>
      <c r="G1744">
        <v>1384.6865233999999</v>
      </c>
      <c r="H1744">
        <v>1371.0775146000001</v>
      </c>
      <c r="I1744">
        <v>1288.3406981999999</v>
      </c>
      <c r="J1744">
        <v>1269.0717772999999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1113.1988570000001</v>
      </c>
      <c r="B1745" s="1">
        <f>DATE(2013,5,18) + TIME(4,46,21)</f>
        <v>41412.198854166665</v>
      </c>
      <c r="C1745">
        <v>80</v>
      </c>
      <c r="D1745">
        <v>79.956367493000002</v>
      </c>
      <c r="E1745">
        <v>50</v>
      </c>
      <c r="F1745">
        <v>48.696014404000003</v>
      </c>
      <c r="G1745">
        <v>1384.6361084</v>
      </c>
      <c r="H1745">
        <v>1371.041626</v>
      </c>
      <c r="I1745">
        <v>1288.3349608999999</v>
      </c>
      <c r="J1745">
        <v>1269.0640868999999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1113.6155859999999</v>
      </c>
      <c r="B1746" s="1">
        <f>DATE(2013,5,18) + TIME(14,46,26)</f>
        <v>41412.615578703706</v>
      </c>
      <c r="C1746">
        <v>80</v>
      </c>
      <c r="D1746">
        <v>79.956329346000004</v>
      </c>
      <c r="E1746">
        <v>50</v>
      </c>
      <c r="F1746">
        <v>48.671749114999997</v>
      </c>
      <c r="G1746">
        <v>1384.5854492000001</v>
      </c>
      <c r="H1746">
        <v>1371.0053711</v>
      </c>
      <c r="I1746">
        <v>1288.3287353999999</v>
      </c>
      <c r="J1746">
        <v>1269.0557861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1114.0415009999999</v>
      </c>
      <c r="B1747" s="1">
        <f>DATE(2013,5,19) + TIME(0,59,45)</f>
        <v>41413.041493055556</v>
      </c>
      <c r="C1747">
        <v>80</v>
      </c>
      <c r="D1747">
        <v>79.956298828000001</v>
      </c>
      <c r="E1747">
        <v>50</v>
      </c>
      <c r="F1747">
        <v>48.647117614999999</v>
      </c>
      <c r="G1747">
        <v>1384.5345459</v>
      </c>
      <c r="H1747">
        <v>1370.9686279</v>
      </c>
      <c r="I1747">
        <v>1288.3222656</v>
      </c>
      <c r="J1747">
        <v>1269.0471190999999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1114.4777939999999</v>
      </c>
      <c r="B1748" s="1">
        <f>DATE(2013,5,19) + TIME(11,28,1)</f>
        <v>41413.477789351855</v>
      </c>
      <c r="C1748">
        <v>80</v>
      </c>
      <c r="D1748">
        <v>79.956260681000003</v>
      </c>
      <c r="E1748">
        <v>50</v>
      </c>
      <c r="F1748">
        <v>48.622066498000002</v>
      </c>
      <c r="G1748">
        <v>1384.4832764</v>
      </c>
      <c r="H1748">
        <v>1370.9315185999999</v>
      </c>
      <c r="I1748">
        <v>1288.3153076000001</v>
      </c>
      <c r="J1748">
        <v>1269.0378418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1114.9251449999999</v>
      </c>
      <c r="B1749" s="1">
        <f>DATE(2013,5,19) + TIME(22,12,12)</f>
        <v>41413.925138888888</v>
      </c>
      <c r="C1749">
        <v>80</v>
      </c>
      <c r="D1749">
        <v>79.956230164000004</v>
      </c>
      <c r="E1749">
        <v>50</v>
      </c>
      <c r="F1749">
        <v>48.596557617000002</v>
      </c>
      <c r="G1749">
        <v>1384.4316406</v>
      </c>
      <c r="H1749">
        <v>1370.8939209</v>
      </c>
      <c r="I1749">
        <v>1288.3078613</v>
      </c>
      <c r="J1749">
        <v>1269.0281981999999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1115.3836679999999</v>
      </c>
      <c r="B1750" s="1">
        <f>DATE(2013,5,20) + TIME(9,12,28)</f>
        <v>41414.383657407408</v>
      </c>
      <c r="C1750">
        <v>80</v>
      </c>
      <c r="D1750">
        <v>79.956199646000002</v>
      </c>
      <c r="E1750">
        <v>50</v>
      </c>
      <c r="F1750">
        <v>48.570575714</v>
      </c>
      <c r="G1750">
        <v>1384.3795166</v>
      </c>
      <c r="H1750">
        <v>1370.8557129000001</v>
      </c>
      <c r="I1750">
        <v>1288.2999268000001</v>
      </c>
      <c r="J1750">
        <v>1269.0179443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1115.854754</v>
      </c>
      <c r="B1751" s="1">
        <f>DATE(2013,5,20) + TIME(20,30,50)</f>
        <v>41414.854745370372</v>
      </c>
      <c r="C1751">
        <v>80</v>
      </c>
      <c r="D1751">
        <v>79.956161499000004</v>
      </c>
      <c r="E1751">
        <v>50</v>
      </c>
      <c r="F1751">
        <v>48.544067382999998</v>
      </c>
      <c r="G1751">
        <v>1384.3267822</v>
      </c>
      <c r="H1751">
        <v>1370.8170166</v>
      </c>
      <c r="I1751">
        <v>1288.291626</v>
      </c>
      <c r="J1751">
        <v>1269.0070800999999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1116.33996</v>
      </c>
      <c r="B1752" s="1">
        <f>DATE(2013,5,21) + TIME(8,9,32)</f>
        <v>41415.339953703704</v>
      </c>
      <c r="C1752">
        <v>80</v>
      </c>
      <c r="D1752">
        <v>79.956130981000001</v>
      </c>
      <c r="E1752">
        <v>50</v>
      </c>
      <c r="F1752">
        <v>48.516971587999997</v>
      </c>
      <c r="G1752">
        <v>1384.2735596</v>
      </c>
      <c r="H1752">
        <v>1370.7775879000001</v>
      </c>
      <c r="I1752">
        <v>1288.2828368999999</v>
      </c>
      <c r="J1752">
        <v>1268.9957274999999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1116.832676</v>
      </c>
      <c r="B1753" s="1">
        <f>DATE(2013,5,21) + TIME(19,59,3)</f>
        <v>41415.832673611112</v>
      </c>
      <c r="C1753">
        <v>80</v>
      </c>
      <c r="D1753">
        <v>79.956100464000002</v>
      </c>
      <c r="E1753">
        <v>50</v>
      </c>
      <c r="F1753">
        <v>48.489494323999999</v>
      </c>
      <c r="G1753">
        <v>1384.2197266000001</v>
      </c>
      <c r="H1753">
        <v>1370.7376709</v>
      </c>
      <c r="I1753">
        <v>1288.2734375</v>
      </c>
      <c r="J1753">
        <v>1268.9838867000001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1117.3301980000001</v>
      </c>
      <c r="B1754" s="1">
        <f>DATE(2013,5,22) + TIME(7,55,29)</f>
        <v>41416.330196759256</v>
      </c>
      <c r="C1754">
        <v>80</v>
      </c>
      <c r="D1754">
        <v>79.956069946</v>
      </c>
      <c r="E1754">
        <v>50</v>
      </c>
      <c r="F1754">
        <v>48.461776733000001</v>
      </c>
      <c r="G1754">
        <v>1384.1660156</v>
      </c>
      <c r="H1754">
        <v>1370.6976318</v>
      </c>
      <c r="I1754">
        <v>1288.2637939000001</v>
      </c>
      <c r="J1754">
        <v>1268.9715576000001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1117.83375</v>
      </c>
      <c r="B1755" s="1">
        <f>DATE(2013,5,22) + TIME(20,0,36)</f>
        <v>41416.833749999998</v>
      </c>
      <c r="C1755">
        <v>80</v>
      </c>
      <c r="D1755">
        <v>79.956039429</v>
      </c>
      <c r="E1755">
        <v>50</v>
      </c>
      <c r="F1755">
        <v>48.433830260999997</v>
      </c>
      <c r="G1755">
        <v>1384.1126709</v>
      </c>
      <c r="H1755">
        <v>1370.6575928</v>
      </c>
      <c r="I1755">
        <v>1288.2537841999999</v>
      </c>
      <c r="J1755">
        <v>1268.9588623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1118.344597</v>
      </c>
      <c r="B1756" s="1">
        <f>DATE(2013,5,23) + TIME(8,16,13)</f>
        <v>41417.344594907408</v>
      </c>
      <c r="C1756">
        <v>80</v>
      </c>
      <c r="D1756">
        <v>79.956008910999998</v>
      </c>
      <c r="E1756">
        <v>50</v>
      </c>
      <c r="F1756">
        <v>48.405632019000002</v>
      </c>
      <c r="G1756">
        <v>1384.0594481999999</v>
      </c>
      <c r="H1756">
        <v>1370.6174315999999</v>
      </c>
      <c r="I1756">
        <v>1288.2435303</v>
      </c>
      <c r="J1756">
        <v>1268.9456786999999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1118.8640580000001</v>
      </c>
      <c r="B1757" s="1">
        <f>DATE(2013,5,23) + TIME(20,44,14)</f>
        <v>41417.864050925928</v>
      </c>
      <c r="C1757">
        <v>80</v>
      </c>
      <c r="D1757">
        <v>79.955978393999999</v>
      </c>
      <c r="E1757">
        <v>50</v>
      </c>
      <c r="F1757">
        <v>48.377147675000003</v>
      </c>
      <c r="G1757">
        <v>1384.0063477000001</v>
      </c>
      <c r="H1757">
        <v>1370.5772704999999</v>
      </c>
      <c r="I1757">
        <v>1288.2329102000001</v>
      </c>
      <c r="J1757">
        <v>1268.9321289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1119.393538</v>
      </c>
      <c r="B1758" s="1">
        <f>DATE(2013,5,24) + TIME(9,26,41)</f>
        <v>41418.393530092595</v>
      </c>
      <c r="C1758">
        <v>80</v>
      </c>
      <c r="D1758">
        <v>79.955955505000006</v>
      </c>
      <c r="E1758">
        <v>50</v>
      </c>
      <c r="F1758">
        <v>48.348320006999998</v>
      </c>
      <c r="G1758">
        <v>1383.9532471</v>
      </c>
      <c r="H1758">
        <v>1370.5369873</v>
      </c>
      <c r="I1758">
        <v>1288.2219238</v>
      </c>
      <c r="J1758">
        <v>1268.9182129000001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1119.934536</v>
      </c>
      <c r="B1759" s="1">
        <f>DATE(2013,5,24) + TIME(22,25,43)</f>
        <v>41418.934525462966</v>
      </c>
      <c r="C1759">
        <v>80</v>
      </c>
      <c r="D1759">
        <v>79.955924988000007</v>
      </c>
      <c r="E1759">
        <v>50</v>
      </c>
      <c r="F1759">
        <v>48.319099426000001</v>
      </c>
      <c r="G1759">
        <v>1383.9000243999999</v>
      </c>
      <c r="H1759">
        <v>1370.4963379000001</v>
      </c>
      <c r="I1759">
        <v>1288.2105713000001</v>
      </c>
      <c r="J1759">
        <v>1268.9036865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1120.4886779999999</v>
      </c>
      <c r="B1760" s="1">
        <f>DATE(2013,5,25) + TIME(11,43,41)</f>
        <v>41419.488668981481</v>
      </c>
      <c r="C1760">
        <v>80</v>
      </c>
      <c r="D1760">
        <v>79.955902100000003</v>
      </c>
      <c r="E1760">
        <v>50</v>
      </c>
      <c r="F1760">
        <v>48.289413451999998</v>
      </c>
      <c r="G1760">
        <v>1383.8464355000001</v>
      </c>
      <c r="H1760">
        <v>1370.4553223</v>
      </c>
      <c r="I1760">
        <v>1288.1987305</v>
      </c>
      <c r="J1760">
        <v>1268.8887939000001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1121.0479869999999</v>
      </c>
      <c r="B1761" s="1">
        <f>DATE(2013,5,26) + TIME(1,9,6)</f>
        <v>41420.047986111109</v>
      </c>
      <c r="C1761">
        <v>80</v>
      </c>
      <c r="D1761">
        <v>79.955879210999996</v>
      </c>
      <c r="E1761">
        <v>50</v>
      </c>
      <c r="F1761">
        <v>48.259490966999998</v>
      </c>
      <c r="G1761">
        <v>1383.7928466999999</v>
      </c>
      <c r="H1761">
        <v>1370.4140625</v>
      </c>
      <c r="I1761">
        <v>1288.1865233999999</v>
      </c>
      <c r="J1761">
        <v>1268.8732910000001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1121.609989</v>
      </c>
      <c r="B1762" s="1">
        <f>DATE(2013,5,26) + TIME(14,38,23)</f>
        <v>41420.609988425924</v>
      </c>
      <c r="C1762">
        <v>80</v>
      </c>
      <c r="D1762">
        <v>79.955856323000006</v>
      </c>
      <c r="E1762">
        <v>50</v>
      </c>
      <c r="F1762">
        <v>48.229473114000001</v>
      </c>
      <c r="G1762">
        <v>1383.7395019999999</v>
      </c>
      <c r="H1762">
        <v>1370.3730469</v>
      </c>
      <c r="I1762">
        <v>1288.1740723</v>
      </c>
      <c r="J1762">
        <v>1268.8574219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1122.1755929999999</v>
      </c>
      <c r="B1763" s="1">
        <f>DATE(2013,5,27) + TIME(4,12,51)</f>
        <v>41421.17559027778</v>
      </c>
      <c r="C1763">
        <v>80</v>
      </c>
      <c r="D1763">
        <v>79.955833435000002</v>
      </c>
      <c r="E1763">
        <v>50</v>
      </c>
      <c r="F1763">
        <v>48.199386597</v>
      </c>
      <c r="G1763">
        <v>1383.6867675999999</v>
      </c>
      <c r="H1763">
        <v>1370.3321533000001</v>
      </c>
      <c r="I1763">
        <v>1288.1613769999999</v>
      </c>
      <c r="J1763">
        <v>1268.8411865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1122.7458630000001</v>
      </c>
      <c r="B1764" s="1">
        <f>DATE(2013,5,27) + TIME(17,54,2)</f>
        <v>41421.745856481481</v>
      </c>
      <c r="C1764">
        <v>80</v>
      </c>
      <c r="D1764">
        <v>79.955810546999999</v>
      </c>
      <c r="E1764">
        <v>50</v>
      </c>
      <c r="F1764">
        <v>48.169227599999999</v>
      </c>
      <c r="G1764">
        <v>1383.6346435999999</v>
      </c>
      <c r="H1764">
        <v>1370.2915039</v>
      </c>
      <c r="I1764">
        <v>1288.1484375</v>
      </c>
      <c r="J1764">
        <v>1268.824707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1123.3219549999999</v>
      </c>
      <c r="B1765" s="1">
        <f>DATE(2013,5,28) + TIME(7,43,36)</f>
        <v>41422.321944444448</v>
      </c>
      <c r="C1765">
        <v>80</v>
      </c>
      <c r="D1765">
        <v>79.955787658999995</v>
      </c>
      <c r="E1765">
        <v>50</v>
      </c>
      <c r="F1765">
        <v>48.138961792000003</v>
      </c>
      <c r="G1765">
        <v>1383.5827637</v>
      </c>
      <c r="H1765">
        <v>1370.2510986</v>
      </c>
      <c r="I1765">
        <v>1288.1351318</v>
      </c>
      <c r="J1765">
        <v>1268.8078613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1123.9050830000001</v>
      </c>
      <c r="B1766" s="1">
        <f>DATE(2013,5,28) + TIME(21,43,19)</f>
        <v>41422.905081018522</v>
      </c>
      <c r="C1766">
        <v>80</v>
      </c>
      <c r="D1766">
        <v>79.955764771000005</v>
      </c>
      <c r="E1766">
        <v>50</v>
      </c>
      <c r="F1766">
        <v>48.108551024999997</v>
      </c>
      <c r="G1766">
        <v>1383.53125</v>
      </c>
      <c r="H1766">
        <v>1370.2106934000001</v>
      </c>
      <c r="I1766">
        <v>1288.1217041</v>
      </c>
      <c r="J1766">
        <v>1268.7906493999999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1124.496566</v>
      </c>
      <c r="B1767" s="1">
        <f>DATE(2013,5,29) + TIME(11,55,3)</f>
        <v>41423.496562499997</v>
      </c>
      <c r="C1767">
        <v>80</v>
      </c>
      <c r="D1767">
        <v>79.955749511999997</v>
      </c>
      <c r="E1767">
        <v>50</v>
      </c>
      <c r="F1767">
        <v>48.077945708999998</v>
      </c>
      <c r="G1767">
        <v>1383.4799805</v>
      </c>
      <c r="H1767">
        <v>1370.1702881000001</v>
      </c>
      <c r="I1767">
        <v>1288.1077881000001</v>
      </c>
      <c r="J1767">
        <v>1268.7729492000001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1125.0978170000001</v>
      </c>
      <c r="B1768" s="1">
        <f>DATE(2013,5,30) + TIME(2,20,51)</f>
        <v>41424.097812499997</v>
      </c>
      <c r="C1768">
        <v>80</v>
      </c>
      <c r="D1768">
        <v>79.955726623999993</v>
      </c>
      <c r="E1768">
        <v>50</v>
      </c>
      <c r="F1768">
        <v>48.047084808000001</v>
      </c>
      <c r="G1768">
        <v>1383.4288329999999</v>
      </c>
      <c r="H1768">
        <v>1370.1298827999999</v>
      </c>
      <c r="I1768">
        <v>1288.0936279</v>
      </c>
      <c r="J1768">
        <v>1268.7548827999999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1125.710382</v>
      </c>
      <c r="B1769" s="1">
        <f>DATE(2013,5,30) + TIME(17,2,57)</f>
        <v>41424.710381944446</v>
      </c>
      <c r="C1769">
        <v>80</v>
      </c>
      <c r="D1769">
        <v>79.955711364999999</v>
      </c>
      <c r="E1769">
        <v>50</v>
      </c>
      <c r="F1769">
        <v>48.015903473000002</v>
      </c>
      <c r="G1769">
        <v>1383.3775635</v>
      </c>
      <c r="H1769">
        <v>1370.0892334</v>
      </c>
      <c r="I1769">
        <v>1288.0791016000001</v>
      </c>
      <c r="J1769">
        <v>1268.7362060999999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1126.3359660000001</v>
      </c>
      <c r="B1770" s="1">
        <f>DATE(2013,5,31) + TIME(8,3,47)</f>
        <v>41425.335960648146</v>
      </c>
      <c r="C1770">
        <v>80</v>
      </c>
      <c r="D1770">
        <v>79.955696106000005</v>
      </c>
      <c r="E1770">
        <v>50</v>
      </c>
      <c r="F1770">
        <v>47.984333038000003</v>
      </c>
      <c r="G1770">
        <v>1383.3261719</v>
      </c>
      <c r="H1770">
        <v>1370.0484618999999</v>
      </c>
      <c r="I1770">
        <v>1288.0640868999999</v>
      </c>
      <c r="J1770">
        <v>1268.7169189000001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1126.667983</v>
      </c>
      <c r="B1771" s="1">
        <f>DATE(2013,5,31) + TIME(16,1,53)</f>
        <v>41425.667974537035</v>
      </c>
      <c r="C1771">
        <v>80</v>
      </c>
      <c r="D1771">
        <v>79.955657959000007</v>
      </c>
      <c r="E1771">
        <v>50</v>
      </c>
      <c r="F1771">
        <v>47.963272095000001</v>
      </c>
      <c r="G1771">
        <v>1383.2830810999999</v>
      </c>
      <c r="H1771">
        <v>1370.0155029</v>
      </c>
      <c r="I1771">
        <v>1288.0500488</v>
      </c>
      <c r="J1771">
        <v>1268.7001952999999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1127</v>
      </c>
      <c r="B1772" s="1">
        <f>DATE(2013,6,1) + TIME(0,0,0)</f>
        <v>41426</v>
      </c>
      <c r="C1772">
        <v>80</v>
      </c>
      <c r="D1772">
        <v>79.955642699999999</v>
      </c>
      <c r="E1772">
        <v>50</v>
      </c>
      <c r="F1772">
        <v>47.943466186999999</v>
      </c>
      <c r="G1772">
        <v>1383.2523193</v>
      </c>
      <c r="H1772">
        <v>1369.9903564000001</v>
      </c>
      <c r="I1772">
        <v>1288.0408935999999</v>
      </c>
      <c r="J1772">
        <v>1268.6881103999999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1127.6640339999999</v>
      </c>
      <c r="B1773" s="1">
        <f>DATE(2013,6,1) + TIME(15,56,12)</f>
        <v>41426.664027777777</v>
      </c>
      <c r="C1773">
        <v>80</v>
      </c>
      <c r="D1773">
        <v>79.955665588000002</v>
      </c>
      <c r="E1773">
        <v>50</v>
      </c>
      <c r="F1773">
        <v>47.914131165000001</v>
      </c>
      <c r="G1773">
        <v>1383.2170410000001</v>
      </c>
      <c r="H1773">
        <v>1369.9605713000001</v>
      </c>
      <c r="I1773">
        <v>1288.0313721</v>
      </c>
      <c r="J1773">
        <v>1268.6740723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1128.3417810000001</v>
      </c>
      <c r="B1774" s="1">
        <f>DATE(2013,6,2) + TIME(8,12,9)</f>
        <v>41427.341770833336</v>
      </c>
      <c r="C1774">
        <v>80</v>
      </c>
      <c r="D1774">
        <v>79.955657959000007</v>
      </c>
      <c r="E1774">
        <v>50</v>
      </c>
      <c r="F1774">
        <v>47.882717133</v>
      </c>
      <c r="G1774">
        <v>1383.1665039</v>
      </c>
      <c r="H1774">
        <v>1369.9202881000001</v>
      </c>
      <c r="I1774">
        <v>1288.0151367000001</v>
      </c>
      <c r="J1774">
        <v>1268.6533202999999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1129.0362090000001</v>
      </c>
      <c r="B1775" s="1">
        <f>DATE(2013,6,3) + TIME(0,52,8)</f>
        <v>41428.036203703705</v>
      </c>
      <c r="C1775">
        <v>80</v>
      </c>
      <c r="D1775">
        <v>79.955642699999999</v>
      </c>
      <c r="E1775">
        <v>50</v>
      </c>
      <c r="F1775">
        <v>47.849861144999998</v>
      </c>
      <c r="G1775">
        <v>1383.1137695</v>
      </c>
      <c r="H1775">
        <v>1369.8780518000001</v>
      </c>
      <c r="I1775">
        <v>1287.9978027</v>
      </c>
      <c r="J1775">
        <v>1268.6311035000001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1129.7435599999999</v>
      </c>
      <c r="B1776" s="1">
        <f>DATE(2013,6,3) + TIME(17,50,43)</f>
        <v>41428.74355324074</v>
      </c>
      <c r="C1776">
        <v>80</v>
      </c>
      <c r="D1776">
        <v>79.955627441000004</v>
      </c>
      <c r="E1776">
        <v>50</v>
      </c>
      <c r="F1776">
        <v>47.816032409999998</v>
      </c>
      <c r="G1776">
        <v>1383.0604248</v>
      </c>
      <c r="H1776">
        <v>1369.8349608999999</v>
      </c>
      <c r="I1776">
        <v>1287.9797363</v>
      </c>
      <c r="J1776">
        <v>1268.6079102000001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1130.466034</v>
      </c>
      <c r="B1777" s="1">
        <f>DATE(2013,6,4) + TIME(11,11,5)</f>
        <v>41429.46603009259</v>
      </c>
      <c r="C1777">
        <v>80</v>
      </c>
      <c r="D1777">
        <v>79.955612183</v>
      </c>
      <c r="E1777">
        <v>50</v>
      </c>
      <c r="F1777">
        <v>47.781444550000003</v>
      </c>
      <c r="G1777">
        <v>1383.0068358999999</v>
      </c>
      <c r="H1777">
        <v>1369.7913818</v>
      </c>
      <c r="I1777">
        <v>1287.9613036999999</v>
      </c>
      <c r="J1777">
        <v>1268.5838623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1131.2058730000001</v>
      </c>
      <c r="B1778" s="1">
        <f>DATE(2013,6,5) + TIME(4,56,27)</f>
        <v>41430.205868055556</v>
      </c>
      <c r="C1778">
        <v>80</v>
      </c>
      <c r="D1778">
        <v>79.955604553000001</v>
      </c>
      <c r="E1778">
        <v>50</v>
      </c>
      <c r="F1778">
        <v>47.746154785000002</v>
      </c>
      <c r="G1778">
        <v>1382.9527588000001</v>
      </c>
      <c r="H1778">
        <v>1369.7474365</v>
      </c>
      <c r="I1778">
        <v>1287.9421387</v>
      </c>
      <c r="J1778">
        <v>1268.5589600000001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1131.965553</v>
      </c>
      <c r="B1779" s="1">
        <f>DATE(2013,6,5) + TIME(23,10,23)</f>
        <v>41430.965543981481</v>
      </c>
      <c r="C1779">
        <v>80</v>
      </c>
      <c r="D1779">
        <v>79.955596924000005</v>
      </c>
      <c r="E1779">
        <v>50</v>
      </c>
      <c r="F1779">
        <v>47.710163115999997</v>
      </c>
      <c r="G1779">
        <v>1382.8983154</v>
      </c>
      <c r="H1779">
        <v>1369.7030029</v>
      </c>
      <c r="I1779">
        <v>1287.9222411999999</v>
      </c>
      <c r="J1779">
        <v>1268.5329589999999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1132.347021</v>
      </c>
      <c r="B1780" s="1">
        <f>DATE(2013,6,6) + TIME(8,19,42)</f>
        <v>41431.347013888888</v>
      </c>
      <c r="C1780">
        <v>80</v>
      </c>
      <c r="D1780">
        <v>79.955551146999994</v>
      </c>
      <c r="E1780">
        <v>50</v>
      </c>
      <c r="F1780">
        <v>47.686264037999997</v>
      </c>
      <c r="G1780">
        <v>1382.8533935999999</v>
      </c>
      <c r="H1780">
        <v>1369.6676024999999</v>
      </c>
      <c r="I1780">
        <v>1287.9035644999999</v>
      </c>
      <c r="J1780">
        <v>1268.5102539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1132.72849</v>
      </c>
      <c r="B1781" s="1">
        <f>DATE(2013,6,6) + TIME(17,29,1)</f>
        <v>41431.728483796294</v>
      </c>
      <c r="C1781">
        <v>80</v>
      </c>
      <c r="D1781">
        <v>79.955543517999999</v>
      </c>
      <c r="E1781">
        <v>50</v>
      </c>
      <c r="F1781">
        <v>47.664180756</v>
      </c>
      <c r="G1781">
        <v>1382.8218993999999</v>
      </c>
      <c r="H1781">
        <v>1369.6412353999999</v>
      </c>
      <c r="I1781">
        <v>1287.8919678</v>
      </c>
      <c r="J1781">
        <v>1268.4946289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1133.1099589999999</v>
      </c>
      <c r="B1782" s="1">
        <f>DATE(2013,6,7) + TIME(2,38,20)</f>
        <v>41432.109953703701</v>
      </c>
      <c r="C1782">
        <v>80</v>
      </c>
      <c r="D1782">
        <v>79.955543517999999</v>
      </c>
      <c r="E1782">
        <v>50</v>
      </c>
      <c r="F1782">
        <v>47.643356322999999</v>
      </c>
      <c r="G1782">
        <v>1382.7933350000001</v>
      </c>
      <c r="H1782">
        <v>1369.6174315999999</v>
      </c>
      <c r="I1782">
        <v>1287.8812256000001</v>
      </c>
      <c r="J1782">
        <v>1268.4801024999999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1133.491428</v>
      </c>
      <c r="B1783" s="1">
        <f>DATE(2013,6,7) + TIME(11,47,39)</f>
        <v>41432.491423611114</v>
      </c>
      <c r="C1783">
        <v>80</v>
      </c>
      <c r="D1783">
        <v>79.955543517999999</v>
      </c>
      <c r="E1783">
        <v>50</v>
      </c>
      <c r="F1783">
        <v>47.623405456999997</v>
      </c>
      <c r="G1783">
        <v>1382.7657471</v>
      </c>
      <c r="H1783">
        <v>1369.5946045000001</v>
      </c>
      <c r="I1783">
        <v>1287.8706055</v>
      </c>
      <c r="J1783">
        <v>1268.4656981999999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1133.8728960000001</v>
      </c>
      <c r="B1784" s="1">
        <f>DATE(2013,6,7) + TIME(20,56,58)</f>
        <v>41432.872893518521</v>
      </c>
      <c r="C1784">
        <v>80</v>
      </c>
      <c r="D1784">
        <v>79.955543517999999</v>
      </c>
      <c r="E1784">
        <v>50</v>
      </c>
      <c r="F1784">
        <v>47.604068755999997</v>
      </c>
      <c r="G1784">
        <v>1382.7387695</v>
      </c>
      <c r="H1784">
        <v>1369.5721435999999</v>
      </c>
      <c r="I1784">
        <v>1287.8599853999999</v>
      </c>
      <c r="J1784">
        <v>1268.4512939000001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1134.254365</v>
      </c>
      <c r="B1785" s="1">
        <f>DATE(2013,6,8) + TIME(6,6,17)</f>
        <v>41433.254363425927</v>
      </c>
      <c r="C1785">
        <v>80</v>
      </c>
      <c r="D1785">
        <v>79.955543517999999</v>
      </c>
      <c r="E1785">
        <v>50</v>
      </c>
      <c r="F1785">
        <v>47.585170746000003</v>
      </c>
      <c r="G1785">
        <v>1382.7120361</v>
      </c>
      <c r="H1785">
        <v>1369.5500488</v>
      </c>
      <c r="I1785">
        <v>1287.8492432</v>
      </c>
      <c r="J1785">
        <v>1268.4368896000001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1135.0173030000001</v>
      </c>
      <c r="B1786" s="1">
        <f>DATE(2013,6,9) + TIME(0,24,54)</f>
        <v>41434.017291666663</v>
      </c>
      <c r="C1786">
        <v>80</v>
      </c>
      <c r="D1786">
        <v>79.955566406000003</v>
      </c>
      <c r="E1786">
        <v>50</v>
      </c>
      <c r="F1786">
        <v>47.556949615000001</v>
      </c>
      <c r="G1786">
        <v>1382.6785889</v>
      </c>
      <c r="H1786">
        <v>1369.5211182</v>
      </c>
      <c r="I1786">
        <v>1287.8369141000001</v>
      </c>
      <c r="J1786">
        <v>1268.4191894999999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1135.7817279999999</v>
      </c>
      <c r="B1787" s="1">
        <f>DATE(2013,6,9) + TIME(18,45,41)</f>
        <v>41434.781724537039</v>
      </c>
      <c r="C1787">
        <v>80</v>
      </c>
      <c r="D1787">
        <v>79.955558776999993</v>
      </c>
      <c r="E1787">
        <v>50</v>
      </c>
      <c r="F1787">
        <v>47.525131225999999</v>
      </c>
      <c r="G1787">
        <v>1382.6300048999999</v>
      </c>
      <c r="H1787">
        <v>1369.4813231999999</v>
      </c>
      <c r="I1787">
        <v>1287.815918</v>
      </c>
      <c r="J1787">
        <v>1268.3918457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1136.5510139999999</v>
      </c>
      <c r="B1788" s="1">
        <f>DATE(2013,6,10) + TIME(13,13,27)</f>
        <v>41435.551006944443</v>
      </c>
      <c r="C1788">
        <v>80</v>
      </c>
      <c r="D1788">
        <v>79.955551146999994</v>
      </c>
      <c r="E1788">
        <v>50</v>
      </c>
      <c r="F1788">
        <v>47.491455078000001</v>
      </c>
      <c r="G1788">
        <v>1382.5798339999999</v>
      </c>
      <c r="H1788">
        <v>1369.4396973</v>
      </c>
      <c r="I1788">
        <v>1287.7938231999999</v>
      </c>
      <c r="J1788">
        <v>1268.3629149999999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1137.3269640000001</v>
      </c>
      <c r="B1789" s="1">
        <f>DATE(2013,6,11) + TIME(7,50,49)</f>
        <v>41436.326956018522</v>
      </c>
      <c r="C1789">
        <v>80</v>
      </c>
      <c r="D1789">
        <v>79.955543517999999</v>
      </c>
      <c r="E1789">
        <v>50</v>
      </c>
      <c r="F1789">
        <v>47.456775665000002</v>
      </c>
      <c r="G1789">
        <v>1382.5295410000001</v>
      </c>
      <c r="H1789">
        <v>1369.3977050999999</v>
      </c>
      <c r="I1789">
        <v>1287.7713623</v>
      </c>
      <c r="J1789">
        <v>1268.3330077999999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1138.1114640000001</v>
      </c>
      <c r="B1790" s="1">
        <f>DATE(2013,6,12) + TIME(2,40,30)</f>
        <v>41437.111458333333</v>
      </c>
      <c r="C1790">
        <v>80</v>
      </c>
      <c r="D1790">
        <v>79.955543517999999</v>
      </c>
      <c r="E1790">
        <v>50</v>
      </c>
      <c r="F1790">
        <v>47.421493529999999</v>
      </c>
      <c r="G1790">
        <v>1382.4793701000001</v>
      </c>
      <c r="H1790">
        <v>1369.3557129000001</v>
      </c>
      <c r="I1790">
        <v>1287.7482910000001</v>
      </c>
      <c r="J1790">
        <v>1268.3023682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1138.906516</v>
      </c>
      <c r="B1791" s="1">
        <f>DATE(2013,6,12) + TIME(21,45,22)</f>
        <v>41437.906504629631</v>
      </c>
      <c r="C1791">
        <v>80</v>
      </c>
      <c r="D1791">
        <v>79.955535889000004</v>
      </c>
      <c r="E1791">
        <v>50</v>
      </c>
      <c r="F1791">
        <v>47.38577652</v>
      </c>
      <c r="G1791">
        <v>1382.4293213000001</v>
      </c>
      <c r="H1791">
        <v>1369.3137207</v>
      </c>
      <c r="I1791">
        <v>1287.7247314000001</v>
      </c>
      <c r="J1791">
        <v>1268.2707519999999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1139.7142919999999</v>
      </c>
      <c r="B1792" s="1">
        <f>DATE(2013,6,13) + TIME(17,8,34)</f>
        <v>41438.714282407411</v>
      </c>
      <c r="C1792">
        <v>80</v>
      </c>
      <c r="D1792">
        <v>79.955535889000004</v>
      </c>
      <c r="E1792">
        <v>50</v>
      </c>
      <c r="F1792">
        <v>47.349666595000002</v>
      </c>
      <c r="G1792">
        <v>1382.3792725000001</v>
      </c>
      <c r="H1792">
        <v>1369.2714844</v>
      </c>
      <c r="I1792">
        <v>1287.7005615</v>
      </c>
      <c r="J1792">
        <v>1268.2382812000001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1140.537165</v>
      </c>
      <c r="B1793" s="1">
        <f>DATE(2013,6,14) + TIME(12,53,31)</f>
        <v>41439.537164351852</v>
      </c>
      <c r="C1793">
        <v>80</v>
      </c>
      <c r="D1793">
        <v>79.955535889000004</v>
      </c>
      <c r="E1793">
        <v>50</v>
      </c>
      <c r="F1793">
        <v>47.313140869000001</v>
      </c>
      <c r="G1793">
        <v>1382.3289795000001</v>
      </c>
      <c r="H1793">
        <v>1369.229126</v>
      </c>
      <c r="I1793">
        <v>1287.6757812000001</v>
      </c>
      <c r="J1793">
        <v>1268.2045897999999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1141.377755</v>
      </c>
      <c r="B1794" s="1">
        <f>DATE(2013,6,15) + TIME(9,3,58)</f>
        <v>41440.377754629626</v>
      </c>
      <c r="C1794">
        <v>80</v>
      </c>
      <c r="D1794">
        <v>79.955535889000004</v>
      </c>
      <c r="E1794">
        <v>50</v>
      </c>
      <c r="F1794">
        <v>47.276130676000001</v>
      </c>
      <c r="G1794">
        <v>1382.2785644999999</v>
      </c>
      <c r="H1794">
        <v>1369.1864014</v>
      </c>
      <c r="I1794">
        <v>1287.6500243999999</v>
      </c>
      <c r="J1794">
        <v>1268.1697998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1142.239347</v>
      </c>
      <c r="B1795" s="1">
        <f>DATE(2013,6,16) + TIME(5,44,39)</f>
        <v>41441.239340277774</v>
      </c>
      <c r="C1795">
        <v>80</v>
      </c>
      <c r="D1795">
        <v>79.955535889000004</v>
      </c>
      <c r="E1795">
        <v>50</v>
      </c>
      <c r="F1795">
        <v>47.238533019999998</v>
      </c>
      <c r="G1795">
        <v>1382.2277832</v>
      </c>
      <c r="H1795">
        <v>1369.1431885</v>
      </c>
      <c r="I1795">
        <v>1287.6235352000001</v>
      </c>
      <c r="J1795">
        <v>1268.1335449000001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1143.125262</v>
      </c>
      <c r="B1796" s="1">
        <f>DATE(2013,6,17) + TIME(3,0,22)</f>
        <v>41442.125254629631</v>
      </c>
      <c r="C1796">
        <v>80</v>
      </c>
      <c r="D1796">
        <v>79.955535889000004</v>
      </c>
      <c r="E1796">
        <v>50</v>
      </c>
      <c r="F1796">
        <v>47.200233459000003</v>
      </c>
      <c r="G1796">
        <v>1382.1763916</v>
      </c>
      <c r="H1796">
        <v>1369.0994873</v>
      </c>
      <c r="I1796">
        <v>1287.5959473</v>
      </c>
      <c r="J1796">
        <v>1268.0958252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1144.0308970000001</v>
      </c>
      <c r="B1797" s="1">
        <f>DATE(2013,6,18) + TIME(0,44,29)</f>
        <v>41443.030891203707</v>
      </c>
      <c r="C1797">
        <v>80</v>
      </c>
      <c r="D1797">
        <v>79.955543517999999</v>
      </c>
      <c r="E1797">
        <v>50</v>
      </c>
      <c r="F1797">
        <v>47.161273956000002</v>
      </c>
      <c r="G1797">
        <v>1382.1243896000001</v>
      </c>
      <c r="H1797">
        <v>1369.0550536999999</v>
      </c>
      <c r="I1797">
        <v>1287.5671387</v>
      </c>
      <c r="J1797">
        <v>1268.0563964999999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1144.955782</v>
      </c>
      <c r="B1798" s="1">
        <f>DATE(2013,6,18) + TIME(22,56,19)</f>
        <v>41443.955775462964</v>
      </c>
      <c r="C1798">
        <v>80</v>
      </c>
      <c r="D1798">
        <v>79.955543517999999</v>
      </c>
      <c r="E1798">
        <v>50</v>
      </c>
      <c r="F1798">
        <v>47.121692656999997</v>
      </c>
      <c r="G1798">
        <v>1382.0720214999999</v>
      </c>
      <c r="H1798">
        <v>1369.0102539</v>
      </c>
      <c r="I1798">
        <v>1287.5373535000001</v>
      </c>
      <c r="J1798">
        <v>1268.0155029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1145.9030809999999</v>
      </c>
      <c r="B1799" s="1">
        <f>DATE(2013,6,19) + TIME(21,40,26)</f>
        <v>41444.903078703705</v>
      </c>
      <c r="C1799">
        <v>80</v>
      </c>
      <c r="D1799">
        <v>79.955551146999994</v>
      </c>
      <c r="E1799">
        <v>50</v>
      </c>
      <c r="F1799">
        <v>47.081451416</v>
      </c>
      <c r="G1799">
        <v>1382.0191649999999</v>
      </c>
      <c r="H1799">
        <v>1368.9648437999999</v>
      </c>
      <c r="I1799">
        <v>1287.5064697</v>
      </c>
      <c r="J1799">
        <v>1267.9727783000001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1146.876816</v>
      </c>
      <c r="B1800" s="1">
        <f>DATE(2013,6,20) + TIME(21,2,36)</f>
        <v>41445.876805555556</v>
      </c>
      <c r="C1800">
        <v>80</v>
      </c>
      <c r="D1800">
        <v>79.955558776999993</v>
      </c>
      <c r="E1800">
        <v>50</v>
      </c>
      <c r="F1800">
        <v>47.040454865000001</v>
      </c>
      <c r="G1800">
        <v>1381.9659423999999</v>
      </c>
      <c r="H1800">
        <v>1368.9189452999999</v>
      </c>
      <c r="I1800">
        <v>1287.4743652</v>
      </c>
      <c r="J1800">
        <v>1267.9283447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1147.378825</v>
      </c>
      <c r="B1801" s="1">
        <f>DATE(2013,6,21) + TIME(9,5,30)</f>
        <v>41446.378819444442</v>
      </c>
      <c r="C1801">
        <v>80</v>
      </c>
      <c r="D1801">
        <v>79.955528259000005</v>
      </c>
      <c r="E1801">
        <v>50</v>
      </c>
      <c r="F1801">
        <v>47.011589049999998</v>
      </c>
      <c r="G1801">
        <v>1381.9221190999999</v>
      </c>
      <c r="H1801">
        <v>1368.8823242000001</v>
      </c>
      <c r="I1801">
        <v>1287.4438477000001</v>
      </c>
      <c r="J1801">
        <v>1267.8880615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1147.880834</v>
      </c>
      <c r="B1802" s="1">
        <f>DATE(2013,6,21) + TIME(21,8,24)</f>
        <v>41446.880833333336</v>
      </c>
      <c r="C1802">
        <v>80</v>
      </c>
      <c r="D1802">
        <v>79.955528259000005</v>
      </c>
      <c r="E1802">
        <v>50</v>
      </c>
      <c r="F1802">
        <v>46.985588073999999</v>
      </c>
      <c r="G1802">
        <v>1381.8903809000001</v>
      </c>
      <c r="H1802">
        <v>1368.8544922000001</v>
      </c>
      <c r="I1802">
        <v>1287.4248047000001</v>
      </c>
      <c r="J1802">
        <v>1267.8608397999999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1148.3828430000001</v>
      </c>
      <c r="B1803" s="1">
        <f>DATE(2013,6,22) + TIME(9,11,17)</f>
        <v>41447.382835648146</v>
      </c>
      <c r="C1803">
        <v>80</v>
      </c>
      <c r="D1803">
        <v>79.955535889000004</v>
      </c>
      <c r="E1803">
        <v>50</v>
      </c>
      <c r="F1803">
        <v>46.961380005000002</v>
      </c>
      <c r="G1803">
        <v>1381.8615723</v>
      </c>
      <c r="H1803">
        <v>1368.8292236</v>
      </c>
      <c r="I1803">
        <v>1287.4068603999999</v>
      </c>
      <c r="J1803">
        <v>1267.8349608999999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1148.884851</v>
      </c>
      <c r="B1804" s="1">
        <f>DATE(2013,6,22) + TIME(21,14,11)</f>
        <v>41447.88484953704</v>
      </c>
      <c r="C1804">
        <v>80</v>
      </c>
      <c r="D1804">
        <v>79.955543517999999</v>
      </c>
      <c r="E1804">
        <v>50</v>
      </c>
      <c r="F1804">
        <v>46.938316344999997</v>
      </c>
      <c r="G1804">
        <v>1381.8336182</v>
      </c>
      <c r="H1804">
        <v>1368.8049315999999</v>
      </c>
      <c r="I1804">
        <v>1287.3889160000001</v>
      </c>
      <c r="J1804">
        <v>1267.8093262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1149.3868600000001</v>
      </c>
      <c r="B1805" s="1">
        <f>DATE(2013,6,23) + TIME(9,17,4)</f>
        <v>41448.38685185185</v>
      </c>
      <c r="C1805">
        <v>80</v>
      </c>
      <c r="D1805">
        <v>79.955551146999994</v>
      </c>
      <c r="E1805">
        <v>50</v>
      </c>
      <c r="F1805">
        <v>46.915981293000002</v>
      </c>
      <c r="G1805">
        <v>1381.8062743999999</v>
      </c>
      <c r="H1805">
        <v>1368.7810059000001</v>
      </c>
      <c r="I1805">
        <v>1287.3709716999999</v>
      </c>
      <c r="J1805">
        <v>1267.7838135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1149.8888690000001</v>
      </c>
      <c r="B1806" s="1">
        <f>DATE(2013,6,23) + TIME(21,19,58)</f>
        <v>41448.888865740744</v>
      </c>
      <c r="C1806">
        <v>80</v>
      </c>
      <c r="D1806">
        <v>79.955558776999993</v>
      </c>
      <c r="E1806">
        <v>50</v>
      </c>
      <c r="F1806">
        <v>46.894123077000003</v>
      </c>
      <c r="G1806">
        <v>1381.7791748</v>
      </c>
      <c r="H1806">
        <v>1368.7574463000001</v>
      </c>
      <c r="I1806">
        <v>1287.3527832</v>
      </c>
      <c r="J1806">
        <v>1267.7580565999999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1150.3908779999999</v>
      </c>
      <c r="B1807" s="1">
        <f>DATE(2013,6,24) + TIME(9,22,51)</f>
        <v>41449.390868055554</v>
      </c>
      <c r="C1807">
        <v>80</v>
      </c>
      <c r="D1807">
        <v>79.955558776999993</v>
      </c>
      <c r="E1807">
        <v>50</v>
      </c>
      <c r="F1807">
        <v>46.872589111000003</v>
      </c>
      <c r="G1807">
        <v>1381.7524414</v>
      </c>
      <c r="H1807">
        <v>1368.7341309000001</v>
      </c>
      <c r="I1807">
        <v>1287.3345947</v>
      </c>
      <c r="J1807">
        <v>1267.7322998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1150.8928860000001</v>
      </c>
      <c r="B1808" s="1">
        <f>DATE(2013,6,24) + TIME(21,25,45)</f>
        <v>41449.892881944441</v>
      </c>
      <c r="C1808">
        <v>80</v>
      </c>
      <c r="D1808">
        <v>79.955566406000003</v>
      </c>
      <c r="E1808">
        <v>50</v>
      </c>
      <c r="F1808">
        <v>46.851280211999999</v>
      </c>
      <c r="G1808">
        <v>1381.7259521000001</v>
      </c>
      <c r="H1808">
        <v>1368.7109375</v>
      </c>
      <c r="I1808">
        <v>1287.3161620999999</v>
      </c>
      <c r="J1808">
        <v>1267.7062988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1151.3948949999999</v>
      </c>
      <c r="B1809" s="1">
        <f>DATE(2013,6,25) + TIME(9,28,38)</f>
        <v>41450.394884259258</v>
      </c>
      <c r="C1809">
        <v>80</v>
      </c>
      <c r="D1809">
        <v>79.955574036000002</v>
      </c>
      <c r="E1809">
        <v>50</v>
      </c>
      <c r="F1809">
        <v>46.830131530999999</v>
      </c>
      <c r="G1809">
        <v>1381.699707</v>
      </c>
      <c r="H1809">
        <v>1368.6879882999999</v>
      </c>
      <c r="I1809">
        <v>1287.2977295000001</v>
      </c>
      <c r="J1809">
        <v>1267.6800536999999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1151.8969039999999</v>
      </c>
      <c r="B1810" s="1">
        <f>DATE(2013,6,25) + TIME(21,31,32)</f>
        <v>41450.896898148145</v>
      </c>
      <c r="C1810">
        <v>80</v>
      </c>
      <c r="D1810">
        <v>79.955574036000002</v>
      </c>
      <c r="E1810">
        <v>50</v>
      </c>
      <c r="F1810">
        <v>46.809108733999999</v>
      </c>
      <c r="G1810">
        <v>1381.6735839999999</v>
      </c>
      <c r="H1810">
        <v>1368.6651611</v>
      </c>
      <c r="I1810">
        <v>1287.2790527</v>
      </c>
      <c r="J1810">
        <v>1267.6536865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1152.398913</v>
      </c>
      <c r="B1811" s="1">
        <f>DATE(2013,6,26) + TIME(9,34,26)</f>
        <v>41451.398912037039</v>
      </c>
      <c r="C1811">
        <v>80</v>
      </c>
      <c r="D1811">
        <v>79.955581664999997</v>
      </c>
      <c r="E1811">
        <v>50</v>
      </c>
      <c r="F1811">
        <v>46.788185120000001</v>
      </c>
      <c r="G1811">
        <v>1381.6478271000001</v>
      </c>
      <c r="H1811">
        <v>1368.6424560999999</v>
      </c>
      <c r="I1811">
        <v>1287.260376</v>
      </c>
      <c r="J1811">
        <v>1267.6270752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1152.9009209999999</v>
      </c>
      <c r="B1812" s="1">
        <f>DATE(2013,6,26) + TIME(21,37,19)</f>
        <v>41451.900914351849</v>
      </c>
      <c r="C1812">
        <v>80</v>
      </c>
      <c r="D1812">
        <v>79.955589294000006</v>
      </c>
      <c r="E1812">
        <v>50</v>
      </c>
      <c r="F1812">
        <v>46.767345427999999</v>
      </c>
      <c r="G1812">
        <v>1381.6220702999999</v>
      </c>
      <c r="H1812">
        <v>1368.6198730000001</v>
      </c>
      <c r="I1812">
        <v>1287.2414550999999</v>
      </c>
      <c r="J1812">
        <v>1267.6002197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1153.904939</v>
      </c>
      <c r="B1813" s="1">
        <f>DATE(2013,6,27) + TIME(21,43,6)</f>
        <v>41452.904930555553</v>
      </c>
      <c r="C1813">
        <v>80</v>
      </c>
      <c r="D1813">
        <v>79.955627441000004</v>
      </c>
      <c r="E1813">
        <v>50</v>
      </c>
      <c r="F1813">
        <v>46.737205504999999</v>
      </c>
      <c r="G1813">
        <v>1381.5892334</v>
      </c>
      <c r="H1813">
        <v>1368.5902100000001</v>
      </c>
      <c r="I1813">
        <v>1287.2199707</v>
      </c>
      <c r="J1813">
        <v>1267.5678711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1154.9097650000001</v>
      </c>
      <c r="B1814" s="1">
        <f>DATE(2013,6,28) + TIME(21,50,3)</f>
        <v>41453.909756944442</v>
      </c>
      <c r="C1814">
        <v>80</v>
      </c>
      <c r="D1814">
        <v>79.955635071000003</v>
      </c>
      <c r="E1814">
        <v>50</v>
      </c>
      <c r="F1814">
        <v>46.701034546000002</v>
      </c>
      <c r="G1814">
        <v>1381.5424805</v>
      </c>
      <c r="H1814">
        <v>1368.5495605000001</v>
      </c>
      <c r="I1814">
        <v>1287.1832274999999</v>
      </c>
      <c r="J1814">
        <v>1267.5166016000001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1155.9248459999999</v>
      </c>
      <c r="B1815" s="1">
        <f>DATE(2013,6,29) + TIME(22,11,46)</f>
        <v>41454.924837962964</v>
      </c>
      <c r="C1815">
        <v>80</v>
      </c>
      <c r="D1815">
        <v>79.955642699999999</v>
      </c>
      <c r="E1815">
        <v>50</v>
      </c>
      <c r="F1815">
        <v>46.662086487000003</v>
      </c>
      <c r="G1815">
        <v>1381.4938964999999</v>
      </c>
      <c r="H1815">
        <v>1368.5068358999999</v>
      </c>
      <c r="I1815">
        <v>1287.1447754000001</v>
      </c>
      <c r="J1815">
        <v>1267.4622803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1156.4624229999999</v>
      </c>
      <c r="B1816" s="1">
        <f>DATE(2013,6,30) + TIME(11,5,53)</f>
        <v>41455.462418981479</v>
      </c>
      <c r="C1816">
        <v>80</v>
      </c>
      <c r="D1816">
        <v>79.955619811999995</v>
      </c>
      <c r="E1816">
        <v>50</v>
      </c>
      <c r="F1816">
        <v>46.633380889999998</v>
      </c>
      <c r="G1816">
        <v>1381.4541016000001</v>
      </c>
      <c r="H1816">
        <v>1368.4726562000001</v>
      </c>
      <c r="I1816">
        <v>1287.1086425999999</v>
      </c>
      <c r="J1816">
        <v>1267.4128418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1157</v>
      </c>
      <c r="B1817" s="1">
        <f>DATE(2013,7,1) + TIME(0,0,0)</f>
        <v>41456</v>
      </c>
      <c r="C1817">
        <v>80</v>
      </c>
      <c r="D1817">
        <v>79.955619811999995</v>
      </c>
      <c r="E1817">
        <v>50</v>
      </c>
      <c r="F1817">
        <v>46.607456206999998</v>
      </c>
      <c r="G1817">
        <v>1381.4244385</v>
      </c>
      <c r="H1817">
        <v>1368.4460449000001</v>
      </c>
      <c r="I1817">
        <v>1287.0856934000001</v>
      </c>
      <c r="J1817">
        <v>1267.3790283000001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1158.0432089999999</v>
      </c>
      <c r="B1818" s="1">
        <f>DATE(2013,7,2) + TIME(1,2,13)</f>
        <v>41457.043206018519</v>
      </c>
      <c r="C1818">
        <v>80</v>
      </c>
      <c r="D1818">
        <v>79.955665588000002</v>
      </c>
      <c r="E1818">
        <v>50</v>
      </c>
      <c r="F1818">
        <v>46.573165893999999</v>
      </c>
      <c r="G1818">
        <v>1381.3895264</v>
      </c>
      <c r="H1818">
        <v>1368.4143065999999</v>
      </c>
      <c r="I1818">
        <v>1287.0612793</v>
      </c>
      <c r="J1818">
        <v>1267.3408202999999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1159.089189</v>
      </c>
      <c r="B1819" s="1">
        <f>DATE(2013,7,3) + TIME(2,8,25)</f>
        <v>41458.089178240742</v>
      </c>
      <c r="C1819">
        <v>80</v>
      </c>
      <c r="D1819">
        <v>79.955680846999996</v>
      </c>
      <c r="E1819">
        <v>50</v>
      </c>
      <c r="F1819">
        <v>46.534641266000001</v>
      </c>
      <c r="G1819">
        <v>1381.3427733999999</v>
      </c>
      <c r="H1819">
        <v>1368.3730469</v>
      </c>
      <c r="I1819">
        <v>1287.0207519999999</v>
      </c>
      <c r="J1819">
        <v>1267.2829589999999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1160.1477420000001</v>
      </c>
      <c r="B1820" s="1">
        <f>DATE(2013,7,4) + TIME(3,32,44)</f>
        <v>41459.147731481484</v>
      </c>
      <c r="C1820">
        <v>80</v>
      </c>
      <c r="D1820">
        <v>79.955688476999995</v>
      </c>
      <c r="E1820">
        <v>50</v>
      </c>
      <c r="F1820">
        <v>46.494144439999999</v>
      </c>
      <c r="G1820">
        <v>1381.2944336</v>
      </c>
      <c r="H1820">
        <v>1368.3300781</v>
      </c>
      <c r="I1820">
        <v>1286.9786377</v>
      </c>
      <c r="J1820">
        <v>1267.2222899999999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1161.2219869999999</v>
      </c>
      <c r="B1821" s="1">
        <f>DATE(2013,7,5) + TIME(5,19,39)</f>
        <v>41460.221979166665</v>
      </c>
      <c r="C1821">
        <v>80</v>
      </c>
      <c r="D1821">
        <v>79.955703735</v>
      </c>
      <c r="E1821">
        <v>50</v>
      </c>
      <c r="F1821">
        <v>46.452568053999997</v>
      </c>
      <c r="G1821">
        <v>1381.2456055</v>
      </c>
      <c r="H1821">
        <v>1368.2866211</v>
      </c>
      <c r="I1821">
        <v>1286.9353027</v>
      </c>
      <c r="J1821">
        <v>1267.1593018000001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1162.315431</v>
      </c>
      <c r="B1822" s="1">
        <f>DATE(2013,7,6) + TIME(7,34,13)</f>
        <v>41461.315428240741</v>
      </c>
      <c r="C1822">
        <v>80</v>
      </c>
      <c r="D1822">
        <v>79.955718993999994</v>
      </c>
      <c r="E1822">
        <v>50</v>
      </c>
      <c r="F1822">
        <v>46.410228729000004</v>
      </c>
      <c r="G1822">
        <v>1381.1965332</v>
      </c>
      <c r="H1822">
        <v>1368.2429199000001</v>
      </c>
      <c r="I1822">
        <v>1286.8907471</v>
      </c>
      <c r="J1822">
        <v>1267.0941161999999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1163.4319170000001</v>
      </c>
      <c r="B1823" s="1">
        <f>DATE(2013,7,7) + TIME(10,21,57)</f>
        <v>41462.431909722225</v>
      </c>
      <c r="C1823">
        <v>80</v>
      </c>
      <c r="D1823">
        <v>79.955734253000003</v>
      </c>
      <c r="E1823">
        <v>50</v>
      </c>
      <c r="F1823">
        <v>46.367198944000002</v>
      </c>
      <c r="G1823">
        <v>1381.1470947</v>
      </c>
      <c r="H1823">
        <v>1368.1986084</v>
      </c>
      <c r="I1823">
        <v>1286.8448486</v>
      </c>
      <c r="J1823">
        <v>1267.0267334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1164.576008</v>
      </c>
      <c r="B1824" s="1">
        <f>DATE(2013,7,8) + TIME(13,49,27)</f>
        <v>41463.576006944444</v>
      </c>
      <c r="C1824">
        <v>80</v>
      </c>
      <c r="D1824">
        <v>79.955757141000007</v>
      </c>
      <c r="E1824">
        <v>50</v>
      </c>
      <c r="F1824">
        <v>46.323429107999999</v>
      </c>
      <c r="G1824">
        <v>1381.097168</v>
      </c>
      <c r="H1824">
        <v>1368.1539307</v>
      </c>
      <c r="I1824">
        <v>1286.7973632999999</v>
      </c>
      <c r="J1824">
        <v>1266.9566649999999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1165.7528629999999</v>
      </c>
      <c r="B1825" s="1">
        <f>DATE(2013,7,9) + TIME(18,4,7)</f>
        <v>41464.752858796295</v>
      </c>
      <c r="C1825">
        <v>80</v>
      </c>
      <c r="D1825">
        <v>79.955772400000001</v>
      </c>
      <c r="E1825">
        <v>50</v>
      </c>
      <c r="F1825">
        <v>46.278797150000003</v>
      </c>
      <c r="G1825">
        <v>1381.0466309000001</v>
      </c>
      <c r="H1825">
        <v>1368.1085204999999</v>
      </c>
      <c r="I1825">
        <v>1286.7480469</v>
      </c>
      <c r="J1825">
        <v>1266.8839111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1166.9675520000001</v>
      </c>
      <c r="B1826" s="1">
        <f>DATE(2013,7,10) + TIME(23,13,16)</f>
        <v>41465.967546296299</v>
      </c>
      <c r="C1826">
        <v>80</v>
      </c>
      <c r="D1826">
        <v>79.955795288000004</v>
      </c>
      <c r="E1826">
        <v>50</v>
      </c>
      <c r="F1826">
        <v>46.233150481999999</v>
      </c>
      <c r="G1826">
        <v>1380.9952393000001</v>
      </c>
      <c r="H1826">
        <v>1368.0622559000001</v>
      </c>
      <c r="I1826">
        <v>1286.6967772999999</v>
      </c>
      <c r="J1826">
        <v>1266.8078613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1167.5877860000001</v>
      </c>
      <c r="B1827" s="1">
        <f>DATE(2013,7,11) + TIME(14,6,24)</f>
        <v>41466.587777777779</v>
      </c>
      <c r="C1827">
        <v>80</v>
      </c>
      <c r="D1827">
        <v>79.955780028999996</v>
      </c>
      <c r="E1827">
        <v>50</v>
      </c>
      <c r="F1827">
        <v>46.19984436</v>
      </c>
      <c r="G1827">
        <v>1380.9537353999999</v>
      </c>
      <c r="H1827">
        <v>1368.0257568</v>
      </c>
      <c r="I1827">
        <v>1286.6477050999999</v>
      </c>
      <c r="J1827">
        <v>1266.7380370999999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1168.2080189999999</v>
      </c>
      <c r="B1828" s="1">
        <f>DATE(2013,7,12) + TIME(4,59,32)</f>
        <v>41467.208009259259</v>
      </c>
      <c r="C1828">
        <v>80</v>
      </c>
      <c r="D1828">
        <v>79.955787658999995</v>
      </c>
      <c r="E1828">
        <v>50</v>
      </c>
      <c r="F1828">
        <v>46.170696259000003</v>
      </c>
      <c r="G1828">
        <v>1380.9229736</v>
      </c>
      <c r="H1828">
        <v>1367.9976807</v>
      </c>
      <c r="I1828">
        <v>1286.6175536999999</v>
      </c>
      <c r="J1828">
        <v>1266.6917725000001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1169.448486</v>
      </c>
      <c r="B1829" s="1">
        <f>DATE(2013,7,13) + TIME(10,45,49)</f>
        <v>41468.448483796295</v>
      </c>
      <c r="C1829">
        <v>80</v>
      </c>
      <c r="D1829">
        <v>79.955841063999998</v>
      </c>
      <c r="E1829">
        <v>50</v>
      </c>
      <c r="F1829">
        <v>46.133277892999999</v>
      </c>
      <c r="G1829">
        <v>1380.8864745999999</v>
      </c>
      <c r="H1829">
        <v>1367.9637451000001</v>
      </c>
      <c r="I1829">
        <v>1286.5855713000001</v>
      </c>
      <c r="J1829">
        <v>1266.6400146000001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1170.689836</v>
      </c>
      <c r="B1830" s="1">
        <f>DATE(2013,7,14) + TIME(16,33,21)</f>
        <v>41469.689826388887</v>
      </c>
      <c r="C1830">
        <v>80</v>
      </c>
      <c r="D1830">
        <v>79.955863953000005</v>
      </c>
      <c r="E1830">
        <v>50</v>
      </c>
      <c r="F1830">
        <v>46.090106964</v>
      </c>
      <c r="G1830">
        <v>1380.8374022999999</v>
      </c>
      <c r="H1830">
        <v>1367.9195557</v>
      </c>
      <c r="I1830">
        <v>1286.53125</v>
      </c>
      <c r="J1830">
        <v>1266.5599365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1171.3137690000001</v>
      </c>
      <c r="B1831" s="1">
        <f>DATE(2013,7,15) + TIME(7,31,49)</f>
        <v>41470.313761574071</v>
      </c>
      <c r="C1831">
        <v>80</v>
      </c>
      <c r="D1831">
        <v>79.955848693999997</v>
      </c>
      <c r="E1831">
        <v>50</v>
      </c>
      <c r="F1831">
        <v>46.057598114000001</v>
      </c>
      <c r="G1831">
        <v>1380.7972411999999</v>
      </c>
      <c r="H1831">
        <v>1367.8840332</v>
      </c>
      <c r="I1831">
        <v>1286.4796143000001</v>
      </c>
      <c r="J1831">
        <v>1266.4860839999999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1171.9377030000001</v>
      </c>
      <c r="B1832" s="1">
        <f>DATE(2013,7,15) + TIME(22,30,17)</f>
        <v>41470.937696759262</v>
      </c>
      <c r="C1832">
        <v>80</v>
      </c>
      <c r="D1832">
        <v>79.955856323000006</v>
      </c>
      <c r="E1832">
        <v>50</v>
      </c>
      <c r="F1832">
        <v>46.029052733999997</v>
      </c>
      <c r="G1832">
        <v>1380.7674560999999</v>
      </c>
      <c r="H1832">
        <v>1367.8566894999999</v>
      </c>
      <c r="I1832">
        <v>1286.4483643000001</v>
      </c>
      <c r="J1832">
        <v>1266.4376221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1172.5616359999999</v>
      </c>
      <c r="B1833" s="1">
        <f>DATE(2013,7,16) + TIME(13,28,45)</f>
        <v>41471.561631944445</v>
      </c>
      <c r="C1833">
        <v>80</v>
      </c>
      <c r="D1833">
        <v>79.955871582</v>
      </c>
      <c r="E1833">
        <v>50</v>
      </c>
      <c r="F1833">
        <v>46.002784728999998</v>
      </c>
      <c r="G1833">
        <v>1380.7403564000001</v>
      </c>
      <c r="H1833">
        <v>1367.8319091999999</v>
      </c>
      <c r="I1833">
        <v>1286.4187012</v>
      </c>
      <c r="J1833">
        <v>1266.3916016000001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1173.1855700000001</v>
      </c>
      <c r="B1834" s="1">
        <f>DATE(2013,7,17) + TIME(4,27,13)</f>
        <v>41472.185567129629</v>
      </c>
      <c r="C1834">
        <v>80</v>
      </c>
      <c r="D1834">
        <v>79.955886840999995</v>
      </c>
      <c r="E1834">
        <v>50</v>
      </c>
      <c r="F1834">
        <v>45.977832794000001</v>
      </c>
      <c r="G1834">
        <v>1380.7142334</v>
      </c>
      <c r="H1834">
        <v>1367.8079834</v>
      </c>
      <c r="I1834">
        <v>1286.3892822</v>
      </c>
      <c r="J1834">
        <v>1266.3463135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1173.8095029999999</v>
      </c>
      <c r="B1835" s="1">
        <f>DATE(2013,7,17) + TIME(19,25,41)</f>
        <v>41472.809502314813</v>
      </c>
      <c r="C1835">
        <v>80</v>
      </c>
      <c r="D1835">
        <v>79.955902100000003</v>
      </c>
      <c r="E1835">
        <v>50</v>
      </c>
      <c r="F1835">
        <v>45.953670502000001</v>
      </c>
      <c r="G1835">
        <v>1380.6884766000001</v>
      </c>
      <c r="H1835">
        <v>1367.7845459</v>
      </c>
      <c r="I1835">
        <v>1286.3597411999999</v>
      </c>
      <c r="J1835">
        <v>1266.3012695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1174.4334369999999</v>
      </c>
      <c r="B1836" s="1">
        <f>DATE(2013,7,18) + TIME(10,24,8)</f>
        <v>41473.433425925927</v>
      </c>
      <c r="C1836">
        <v>80</v>
      </c>
      <c r="D1836">
        <v>79.955909728999998</v>
      </c>
      <c r="E1836">
        <v>50</v>
      </c>
      <c r="F1836">
        <v>45.929985045999999</v>
      </c>
      <c r="G1836">
        <v>1380.6632079999999</v>
      </c>
      <c r="H1836">
        <v>1367.7613524999999</v>
      </c>
      <c r="I1836">
        <v>1286.3303223</v>
      </c>
      <c r="J1836">
        <v>1266.2562256000001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1175.05737</v>
      </c>
      <c r="B1837" s="1">
        <f>DATE(2013,7,19) + TIME(1,22,36)</f>
        <v>41474.05736111111</v>
      </c>
      <c r="C1837">
        <v>80</v>
      </c>
      <c r="D1837">
        <v>79.955924988000007</v>
      </c>
      <c r="E1837">
        <v>50</v>
      </c>
      <c r="F1837">
        <v>45.906608581999997</v>
      </c>
      <c r="G1837">
        <v>1380.6380615</v>
      </c>
      <c r="H1837">
        <v>1367.7384033000001</v>
      </c>
      <c r="I1837">
        <v>1286.3006591999999</v>
      </c>
      <c r="J1837">
        <v>1266.2110596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1175.681304</v>
      </c>
      <c r="B1838" s="1">
        <f>DATE(2013,7,19) + TIME(16,21,4)</f>
        <v>41474.681296296294</v>
      </c>
      <c r="C1838">
        <v>80</v>
      </c>
      <c r="D1838">
        <v>79.955940247000001</v>
      </c>
      <c r="E1838">
        <v>50</v>
      </c>
      <c r="F1838">
        <v>45.88343811</v>
      </c>
      <c r="G1838">
        <v>1380.6131591999999</v>
      </c>
      <c r="H1838">
        <v>1367.7155762</v>
      </c>
      <c r="I1838">
        <v>1286.2709961</v>
      </c>
      <c r="J1838">
        <v>1266.1656493999999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1176.305237</v>
      </c>
      <c r="B1839" s="1">
        <f>DATE(2013,7,20) + TIME(7,19,32)</f>
        <v>41475.305231481485</v>
      </c>
      <c r="C1839">
        <v>80</v>
      </c>
      <c r="D1839">
        <v>79.955947875999996</v>
      </c>
      <c r="E1839">
        <v>50</v>
      </c>
      <c r="F1839">
        <v>45.860424041999998</v>
      </c>
      <c r="G1839">
        <v>1380.588501</v>
      </c>
      <c r="H1839">
        <v>1367.6929932</v>
      </c>
      <c r="I1839">
        <v>1286.2410889</v>
      </c>
      <c r="J1839">
        <v>1266.1201172000001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1176.929171</v>
      </c>
      <c r="B1840" s="1">
        <f>DATE(2013,7,20) + TIME(22,18,0)</f>
        <v>41475.929166666669</v>
      </c>
      <c r="C1840">
        <v>80</v>
      </c>
      <c r="D1840">
        <v>79.955963135000005</v>
      </c>
      <c r="E1840">
        <v>50</v>
      </c>
      <c r="F1840">
        <v>45.837535858000003</v>
      </c>
      <c r="G1840">
        <v>1380.5639647999999</v>
      </c>
      <c r="H1840">
        <v>1367.6705322</v>
      </c>
      <c r="I1840">
        <v>1286.2111815999999</v>
      </c>
      <c r="J1840">
        <v>1266.0743408000001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1177.5531040000001</v>
      </c>
      <c r="B1841" s="1">
        <f>DATE(2013,7,21) + TIME(13,16,28)</f>
        <v>41476.553101851852</v>
      </c>
      <c r="C1841">
        <v>80</v>
      </c>
      <c r="D1841">
        <v>79.955978393999999</v>
      </c>
      <c r="E1841">
        <v>50</v>
      </c>
      <c r="F1841">
        <v>45.814758300999998</v>
      </c>
      <c r="G1841">
        <v>1380.5396728999999</v>
      </c>
      <c r="H1841">
        <v>1367.6483154</v>
      </c>
      <c r="I1841">
        <v>1286.1811522999999</v>
      </c>
      <c r="J1841">
        <v>1266.0283202999999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1178.177038</v>
      </c>
      <c r="B1842" s="1">
        <f>DATE(2013,7,22) + TIME(4,14,56)</f>
        <v>41477.177037037036</v>
      </c>
      <c r="C1842">
        <v>80</v>
      </c>
      <c r="D1842">
        <v>79.955986022999994</v>
      </c>
      <c r="E1842">
        <v>50</v>
      </c>
      <c r="F1842">
        <v>45.792079926</v>
      </c>
      <c r="G1842">
        <v>1380.5153809000001</v>
      </c>
      <c r="H1842">
        <v>1367.6260986</v>
      </c>
      <c r="I1842">
        <v>1286.151001</v>
      </c>
      <c r="J1842">
        <v>1265.9821777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1178.800972</v>
      </c>
      <c r="B1843" s="1">
        <f>DATE(2013,7,22) + TIME(19,13,23)</f>
        <v>41477.80096064815</v>
      </c>
      <c r="C1843">
        <v>80</v>
      </c>
      <c r="D1843">
        <v>79.956001282000003</v>
      </c>
      <c r="E1843">
        <v>50</v>
      </c>
      <c r="F1843">
        <v>45.769496918000002</v>
      </c>
      <c r="G1843">
        <v>1380.4914550999999</v>
      </c>
      <c r="H1843">
        <v>1367.6040039</v>
      </c>
      <c r="I1843">
        <v>1286.1208495999999</v>
      </c>
      <c r="J1843">
        <v>1265.9356689000001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1180.048839</v>
      </c>
      <c r="B1844" s="1">
        <f>DATE(2013,7,24) + TIME(1,10,19)</f>
        <v>41479.048831018517</v>
      </c>
      <c r="C1844">
        <v>80</v>
      </c>
      <c r="D1844">
        <v>79.956047057999996</v>
      </c>
      <c r="E1844">
        <v>50</v>
      </c>
      <c r="F1844">
        <v>45.738151549999998</v>
      </c>
      <c r="G1844">
        <v>1380.4598389</v>
      </c>
      <c r="H1844">
        <v>1367.5744629000001</v>
      </c>
      <c r="I1844">
        <v>1286.0867920000001</v>
      </c>
      <c r="J1844">
        <v>1265.8808594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1181.301892</v>
      </c>
      <c r="B1845" s="1">
        <f>DATE(2013,7,25) + TIME(7,14,43)</f>
        <v>41480.301886574074</v>
      </c>
      <c r="C1845">
        <v>80</v>
      </c>
      <c r="D1845">
        <v>79.956069946</v>
      </c>
      <c r="E1845">
        <v>50</v>
      </c>
      <c r="F1845">
        <v>45.698780059999997</v>
      </c>
      <c r="G1845">
        <v>1380.4162598</v>
      </c>
      <c r="H1845">
        <v>1367.534668</v>
      </c>
      <c r="I1845">
        <v>1286.0285644999999</v>
      </c>
      <c r="J1845">
        <v>1265.7930908000001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1182.5718710000001</v>
      </c>
      <c r="B1846" s="1">
        <f>DATE(2013,7,26) + TIME(13,43,29)</f>
        <v>41481.571863425925</v>
      </c>
      <c r="C1846">
        <v>80</v>
      </c>
      <c r="D1846">
        <v>79.956085204999994</v>
      </c>
      <c r="E1846">
        <v>50</v>
      </c>
      <c r="F1846">
        <v>45.656192779999998</v>
      </c>
      <c r="G1846">
        <v>1380.3706055</v>
      </c>
      <c r="H1846">
        <v>1367.4926757999999</v>
      </c>
      <c r="I1846">
        <v>1285.9678954999999</v>
      </c>
      <c r="J1846">
        <v>1265.7003173999999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1183.862979</v>
      </c>
      <c r="B1847" s="1">
        <f>DATE(2013,7,27) + TIME(20,42,41)</f>
        <v>41482.862974537034</v>
      </c>
      <c r="C1847">
        <v>80</v>
      </c>
      <c r="D1847">
        <v>79.956115722999996</v>
      </c>
      <c r="E1847">
        <v>50</v>
      </c>
      <c r="F1847">
        <v>45.612159728999998</v>
      </c>
      <c r="G1847">
        <v>1380.3240966999999</v>
      </c>
      <c r="H1847">
        <v>1367.4498291</v>
      </c>
      <c r="I1847">
        <v>1285.9056396000001</v>
      </c>
      <c r="J1847">
        <v>1265.6040039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1185.179901</v>
      </c>
      <c r="B1848" s="1">
        <f>DATE(2013,7,29) + TIME(4,19,3)</f>
        <v>41484.179895833331</v>
      </c>
      <c r="C1848">
        <v>80</v>
      </c>
      <c r="D1848">
        <v>79.956138611</v>
      </c>
      <c r="E1848">
        <v>50</v>
      </c>
      <c r="F1848">
        <v>45.567306518999999</v>
      </c>
      <c r="G1848">
        <v>1380.2769774999999</v>
      </c>
      <c r="H1848">
        <v>1367.4063721</v>
      </c>
      <c r="I1848">
        <v>1285.8419189000001</v>
      </c>
      <c r="J1848">
        <v>1265.5048827999999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1186.5278479999999</v>
      </c>
      <c r="B1849" s="1">
        <f>DATE(2013,7,30) + TIME(12,40,6)</f>
        <v>41485.52784722222</v>
      </c>
      <c r="C1849">
        <v>80</v>
      </c>
      <c r="D1849">
        <v>79.956169127999999</v>
      </c>
      <c r="E1849">
        <v>50</v>
      </c>
      <c r="F1849">
        <v>45.521812439000001</v>
      </c>
      <c r="G1849">
        <v>1380.2292480000001</v>
      </c>
      <c r="H1849">
        <v>1367.3623047000001</v>
      </c>
      <c r="I1849">
        <v>1285.7764893000001</v>
      </c>
      <c r="J1849">
        <v>1265.4025879000001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1187.913474</v>
      </c>
      <c r="B1850" s="1">
        <f>DATE(2013,7,31) + TIME(21,55,24)</f>
        <v>41486.913472222222</v>
      </c>
      <c r="C1850">
        <v>80</v>
      </c>
      <c r="D1850">
        <v>79.956192017000006</v>
      </c>
      <c r="E1850">
        <v>50</v>
      </c>
      <c r="F1850">
        <v>45.475650786999999</v>
      </c>
      <c r="G1850">
        <v>1380.1809082</v>
      </c>
      <c r="H1850">
        <v>1367.3175048999999</v>
      </c>
      <c r="I1850">
        <v>1285.7091064000001</v>
      </c>
      <c r="J1850">
        <v>1265.2969971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1188</v>
      </c>
      <c r="B1851" s="1">
        <f>DATE(2013,8,1) + TIME(0,0,0)</f>
        <v>41487</v>
      </c>
      <c r="C1851">
        <v>80</v>
      </c>
      <c r="D1851">
        <v>79.956176757999998</v>
      </c>
      <c r="E1851">
        <v>50</v>
      </c>
      <c r="F1851">
        <v>45.468475341999998</v>
      </c>
      <c r="G1851">
        <v>1380.1696777</v>
      </c>
      <c r="H1851">
        <v>1367.3089600000001</v>
      </c>
      <c r="I1851">
        <v>1285.6647949000001</v>
      </c>
      <c r="J1851">
        <v>1265.2354736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1189.4242650000001</v>
      </c>
      <c r="B1852" s="1">
        <f>DATE(2013,8,2) + TIME(10,10,56)</f>
        <v>41488.424259259256</v>
      </c>
      <c r="C1852">
        <v>80</v>
      </c>
      <c r="D1852">
        <v>79.956222534000005</v>
      </c>
      <c r="E1852">
        <v>50</v>
      </c>
      <c r="F1852">
        <v>45.424350738999998</v>
      </c>
      <c r="G1852">
        <v>1380.1271973</v>
      </c>
      <c r="H1852">
        <v>1367.2677002</v>
      </c>
      <c r="I1852">
        <v>1285.6336670000001</v>
      </c>
      <c r="J1852">
        <v>1265.1782227000001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1190.864092</v>
      </c>
      <c r="B1853" s="1">
        <f>DATE(2013,8,3) + TIME(20,44,17)</f>
        <v>41489.864085648151</v>
      </c>
      <c r="C1853">
        <v>80</v>
      </c>
      <c r="D1853">
        <v>79.956260681000003</v>
      </c>
      <c r="E1853">
        <v>50</v>
      </c>
      <c r="F1853">
        <v>45.378101348999998</v>
      </c>
      <c r="G1853">
        <v>1380.0784911999999</v>
      </c>
      <c r="H1853">
        <v>1367.2225341999999</v>
      </c>
      <c r="I1853">
        <v>1285.5632324000001</v>
      </c>
      <c r="J1853">
        <v>1265.0672606999999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1192.3235500000001</v>
      </c>
      <c r="B1854" s="1">
        <f>DATE(2013,8,5) + TIME(7,45,54)</f>
        <v>41491.323541666665</v>
      </c>
      <c r="C1854">
        <v>80</v>
      </c>
      <c r="D1854">
        <v>79.956291199000006</v>
      </c>
      <c r="E1854">
        <v>50</v>
      </c>
      <c r="F1854">
        <v>45.331134796000001</v>
      </c>
      <c r="G1854">
        <v>1380.0288086</v>
      </c>
      <c r="H1854">
        <v>1367.1762695</v>
      </c>
      <c r="I1854">
        <v>1285.4907227000001</v>
      </c>
      <c r="J1854">
        <v>1264.9525146000001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1193.80755</v>
      </c>
      <c r="B1855" s="1">
        <f>DATE(2013,8,6) + TIME(19,22,52)</f>
        <v>41492.807546296295</v>
      </c>
      <c r="C1855">
        <v>80</v>
      </c>
      <c r="D1855">
        <v>79.956321716000005</v>
      </c>
      <c r="E1855">
        <v>50</v>
      </c>
      <c r="F1855">
        <v>45.283927917</v>
      </c>
      <c r="G1855">
        <v>1379.9787598</v>
      </c>
      <c r="H1855">
        <v>1367.1296387</v>
      </c>
      <c r="I1855">
        <v>1285.4167480000001</v>
      </c>
      <c r="J1855">
        <v>1264.8352050999999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1194.5561049999999</v>
      </c>
      <c r="B1856" s="1">
        <f>DATE(2013,8,7) + TIME(13,20,47)</f>
        <v>41493.55609953704</v>
      </c>
      <c r="C1856">
        <v>80</v>
      </c>
      <c r="D1856">
        <v>79.956314086999996</v>
      </c>
      <c r="E1856">
        <v>50</v>
      </c>
      <c r="F1856">
        <v>45.248962401999997</v>
      </c>
      <c r="G1856">
        <v>1379.9394531</v>
      </c>
      <c r="H1856">
        <v>1367.09375</v>
      </c>
      <c r="I1856">
        <v>1285.3474120999999</v>
      </c>
      <c r="J1856">
        <v>1264.7290039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1195.30466</v>
      </c>
      <c r="B1857" s="1">
        <f>DATE(2013,8,8) + TIME(7,18,42)</f>
        <v>41494.304652777777</v>
      </c>
      <c r="C1857">
        <v>80</v>
      </c>
      <c r="D1857">
        <v>79.956329346000004</v>
      </c>
      <c r="E1857">
        <v>50</v>
      </c>
      <c r="F1857">
        <v>45.219673157000003</v>
      </c>
      <c r="G1857">
        <v>1379.909668</v>
      </c>
      <c r="H1857">
        <v>1367.0656738</v>
      </c>
      <c r="I1857">
        <v>1285.3059082</v>
      </c>
      <c r="J1857">
        <v>1264.6601562000001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1196.8017689999999</v>
      </c>
      <c r="B1858" s="1">
        <f>DATE(2013,8,9) + TIME(19,14,32)</f>
        <v>41495.801759259259</v>
      </c>
      <c r="C1858">
        <v>80</v>
      </c>
      <c r="D1858">
        <v>79.956390381000006</v>
      </c>
      <c r="E1858">
        <v>50</v>
      </c>
      <c r="F1858">
        <v>45.184276580999999</v>
      </c>
      <c r="G1858">
        <v>1379.8737793</v>
      </c>
      <c r="H1858">
        <v>1367.0313721</v>
      </c>
      <c r="I1858">
        <v>1285.2619629000001</v>
      </c>
      <c r="J1858">
        <v>1264.5847168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1198.299487</v>
      </c>
      <c r="B1859" s="1">
        <f>DATE(2013,8,11) + TIME(7,11,15)</f>
        <v>41497.299479166664</v>
      </c>
      <c r="C1859">
        <v>80</v>
      </c>
      <c r="D1859">
        <v>79.956420898000005</v>
      </c>
      <c r="E1859">
        <v>50</v>
      </c>
      <c r="F1859">
        <v>45.142383574999997</v>
      </c>
      <c r="G1859">
        <v>1379.8267822</v>
      </c>
      <c r="H1859">
        <v>1366.9876709</v>
      </c>
      <c r="I1859">
        <v>1285.1883545000001</v>
      </c>
      <c r="J1859">
        <v>1264.4686279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1199.8061789999999</v>
      </c>
      <c r="B1860" s="1">
        <f>DATE(2013,8,12) + TIME(19,20,53)</f>
        <v>41498.806168981479</v>
      </c>
      <c r="C1860">
        <v>80</v>
      </c>
      <c r="D1860">
        <v>79.956451415999993</v>
      </c>
      <c r="E1860">
        <v>50</v>
      </c>
      <c r="F1860">
        <v>45.098808288999997</v>
      </c>
      <c r="G1860">
        <v>1379.7783202999999</v>
      </c>
      <c r="H1860">
        <v>1366.9422606999999</v>
      </c>
      <c r="I1860">
        <v>1285.1129149999999</v>
      </c>
      <c r="J1860">
        <v>1264.3479004000001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1201.3265690000001</v>
      </c>
      <c r="B1861" s="1">
        <f>DATE(2013,8,14) + TIME(7,50,15)</f>
        <v>41500.326562499999</v>
      </c>
      <c r="C1861">
        <v>80</v>
      </c>
      <c r="D1861">
        <v>79.956489563000005</v>
      </c>
      <c r="E1861">
        <v>50</v>
      </c>
      <c r="F1861">
        <v>45.055194855000003</v>
      </c>
      <c r="G1861">
        <v>1379.7294922000001</v>
      </c>
      <c r="H1861">
        <v>1366.8964844</v>
      </c>
      <c r="I1861">
        <v>1285.0368652</v>
      </c>
      <c r="J1861">
        <v>1264.2250977000001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1202.8658029999999</v>
      </c>
      <c r="B1862" s="1">
        <f>DATE(2013,8,15) + TIME(20,46,45)</f>
        <v>41501.865798611114</v>
      </c>
      <c r="C1862">
        <v>80</v>
      </c>
      <c r="D1862">
        <v>79.956520080999994</v>
      </c>
      <c r="E1862">
        <v>50</v>
      </c>
      <c r="F1862">
        <v>45.012100220000001</v>
      </c>
      <c r="G1862">
        <v>1379.6805420000001</v>
      </c>
      <c r="H1862">
        <v>1366.8504639</v>
      </c>
      <c r="I1862">
        <v>1284.9600829999999</v>
      </c>
      <c r="J1862">
        <v>1264.1007079999999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1204.429218</v>
      </c>
      <c r="B1863" s="1">
        <f>DATE(2013,8,17) + TIME(10,18,4)</f>
        <v>41503.429212962961</v>
      </c>
      <c r="C1863">
        <v>80</v>
      </c>
      <c r="D1863">
        <v>79.956558228000006</v>
      </c>
      <c r="E1863">
        <v>50</v>
      </c>
      <c r="F1863">
        <v>44.969738006999997</v>
      </c>
      <c r="G1863">
        <v>1379.6313477000001</v>
      </c>
      <c r="H1863">
        <v>1366.8041992000001</v>
      </c>
      <c r="I1863">
        <v>1284.8826904</v>
      </c>
      <c r="J1863">
        <v>1263.9746094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1205.2225559999999</v>
      </c>
      <c r="B1864" s="1">
        <f>DATE(2013,8,18) + TIME(5,20,28)</f>
        <v>41504.222546296296</v>
      </c>
      <c r="C1864">
        <v>80</v>
      </c>
      <c r="D1864">
        <v>79.956550598000007</v>
      </c>
      <c r="E1864">
        <v>50</v>
      </c>
      <c r="F1864">
        <v>44.938625336000001</v>
      </c>
      <c r="G1864">
        <v>1379.5930175999999</v>
      </c>
      <c r="H1864">
        <v>1366.7687988</v>
      </c>
      <c r="I1864">
        <v>1284.8106689000001</v>
      </c>
      <c r="J1864">
        <v>1263.8610839999999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1206.0158939999999</v>
      </c>
      <c r="B1865" s="1">
        <f>DATE(2013,8,19) + TIME(0,22,53)</f>
        <v>41505.0158912037</v>
      </c>
      <c r="C1865">
        <v>80</v>
      </c>
      <c r="D1865">
        <v>79.956573485999996</v>
      </c>
      <c r="E1865">
        <v>50</v>
      </c>
      <c r="F1865">
        <v>44.913169861</v>
      </c>
      <c r="G1865">
        <v>1379.5635986</v>
      </c>
      <c r="H1865">
        <v>1366.7408447</v>
      </c>
      <c r="I1865">
        <v>1284.7675781</v>
      </c>
      <c r="J1865">
        <v>1263.7877197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1206.809231</v>
      </c>
      <c r="B1866" s="1">
        <f>DATE(2013,8,19) + TIME(19,25,17)</f>
        <v>41505.809224537035</v>
      </c>
      <c r="C1866">
        <v>80</v>
      </c>
      <c r="D1866">
        <v>79.956596375000004</v>
      </c>
      <c r="E1866">
        <v>50</v>
      </c>
      <c r="F1866">
        <v>44.890777587999999</v>
      </c>
      <c r="G1866">
        <v>1379.5367432</v>
      </c>
      <c r="H1866">
        <v>1366.7154541</v>
      </c>
      <c r="I1866">
        <v>1284.7268065999999</v>
      </c>
      <c r="J1866">
        <v>1263.7191161999999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1207.6025689999999</v>
      </c>
      <c r="B1867" s="1">
        <f>DATE(2013,8,20) + TIME(14,27,41)</f>
        <v>41506.60255787037</v>
      </c>
      <c r="C1867">
        <v>80</v>
      </c>
      <c r="D1867">
        <v>79.956611632999994</v>
      </c>
      <c r="E1867">
        <v>50</v>
      </c>
      <c r="F1867">
        <v>44.870178223000003</v>
      </c>
      <c r="G1867">
        <v>1379.5109863</v>
      </c>
      <c r="H1867">
        <v>1366.690918</v>
      </c>
      <c r="I1867">
        <v>1284.6868896000001</v>
      </c>
      <c r="J1867">
        <v>1263.6523437999999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1208.3959070000001</v>
      </c>
      <c r="B1868" s="1">
        <f>DATE(2013,8,21) + TIME(9,30,6)</f>
        <v>41507.395902777775</v>
      </c>
      <c r="C1868">
        <v>80</v>
      </c>
      <c r="D1868">
        <v>79.956634520999998</v>
      </c>
      <c r="E1868">
        <v>50</v>
      </c>
      <c r="F1868">
        <v>44.850742339999996</v>
      </c>
      <c r="G1868">
        <v>1379.4857178</v>
      </c>
      <c r="H1868">
        <v>1366.6669922000001</v>
      </c>
      <c r="I1868">
        <v>1284.6473389</v>
      </c>
      <c r="J1868">
        <v>1263.5867920000001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1209.1892439999999</v>
      </c>
      <c r="B1869" s="1">
        <f>DATE(2013,8,22) + TIME(4,32,30)</f>
        <v>41508.189236111109</v>
      </c>
      <c r="C1869">
        <v>80</v>
      </c>
      <c r="D1869">
        <v>79.956657410000005</v>
      </c>
      <c r="E1869">
        <v>50</v>
      </c>
      <c r="F1869">
        <v>44.832164763999998</v>
      </c>
      <c r="G1869">
        <v>1379.4606934000001</v>
      </c>
      <c r="H1869">
        <v>1366.6434326000001</v>
      </c>
      <c r="I1869">
        <v>1284.6081543</v>
      </c>
      <c r="J1869">
        <v>1263.5218506000001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1209.9825820000001</v>
      </c>
      <c r="B1870" s="1">
        <f>DATE(2013,8,22) + TIME(23,34,55)</f>
        <v>41508.982581018521</v>
      </c>
      <c r="C1870">
        <v>80</v>
      </c>
      <c r="D1870">
        <v>79.956672667999996</v>
      </c>
      <c r="E1870">
        <v>50</v>
      </c>
      <c r="F1870">
        <v>44.814311981000003</v>
      </c>
      <c r="G1870">
        <v>1379.4360352000001</v>
      </c>
      <c r="H1870">
        <v>1366.6201172000001</v>
      </c>
      <c r="I1870">
        <v>1284.5692139</v>
      </c>
      <c r="J1870">
        <v>1263.4572754000001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1210.7759189999999</v>
      </c>
      <c r="B1871" s="1">
        <f>DATE(2013,8,23) + TIME(18,37,19)</f>
        <v>41509.775914351849</v>
      </c>
      <c r="C1871">
        <v>80</v>
      </c>
      <c r="D1871">
        <v>79.956695557000003</v>
      </c>
      <c r="E1871">
        <v>50</v>
      </c>
      <c r="F1871">
        <v>44.797122954999999</v>
      </c>
      <c r="G1871">
        <v>1379.411499</v>
      </c>
      <c r="H1871">
        <v>1366.5969238</v>
      </c>
      <c r="I1871">
        <v>1284.5306396000001</v>
      </c>
      <c r="J1871">
        <v>1263.3930664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1211.5692570000001</v>
      </c>
      <c r="B1872" s="1">
        <f>DATE(2013,8,24) + TIME(13,39,43)</f>
        <v>41510.569247685184</v>
      </c>
      <c r="C1872">
        <v>80</v>
      </c>
      <c r="D1872">
        <v>79.956710814999994</v>
      </c>
      <c r="E1872">
        <v>50</v>
      </c>
      <c r="F1872">
        <v>44.780586243000002</v>
      </c>
      <c r="G1872">
        <v>1379.387207</v>
      </c>
      <c r="H1872">
        <v>1366.5738524999999</v>
      </c>
      <c r="I1872">
        <v>1284.4921875</v>
      </c>
      <c r="J1872">
        <v>1263.3292236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1212.3625950000001</v>
      </c>
      <c r="B1873" s="1">
        <f>DATE(2013,8,25) + TIME(8,42,8)</f>
        <v>41511.362592592595</v>
      </c>
      <c r="C1873">
        <v>80</v>
      </c>
      <c r="D1873">
        <v>79.956726074000002</v>
      </c>
      <c r="E1873">
        <v>50</v>
      </c>
      <c r="F1873">
        <v>44.764705657999997</v>
      </c>
      <c r="G1873">
        <v>1379.3630370999999</v>
      </c>
      <c r="H1873">
        <v>1366.5510254000001</v>
      </c>
      <c r="I1873">
        <v>1284.4539795000001</v>
      </c>
      <c r="J1873">
        <v>1263.265625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1213.1559319999999</v>
      </c>
      <c r="B1874" s="1">
        <f>DATE(2013,8,26) + TIME(3,44,32)</f>
        <v>41512.155925925923</v>
      </c>
      <c r="C1874">
        <v>80</v>
      </c>
      <c r="D1874">
        <v>79.956748962000006</v>
      </c>
      <c r="E1874">
        <v>50</v>
      </c>
      <c r="F1874">
        <v>44.749504088999998</v>
      </c>
      <c r="G1874">
        <v>1379.3391113</v>
      </c>
      <c r="H1874">
        <v>1366.5281981999999</v>
      </c>
      <c r="I1874">
        <v>1284.4161377</v>
      </c>
      <c r="J1874">
        <v>1263.2023925999999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1213.9492700000001</v>
      </c>
      <c r="B1875" s="1">
        <f>DATE(2013,8,26) + TIME(22,46,56)</f>
        <v>41512.949259259258</v>
      </c>
      <c r="C1875">
        <v>80</v>
      </c>
      <c r="D1875">
        <v>79.956764221</v>
      </c>
      <c r="E1875">
        <v>50</v>
      </c>
      <c r="F1875">
        <v>44.73500061</v>
      </c>
      <c r="G1875">
        <v>1379.3151855000001</v>
      </c>
      <c r="H1875">
        <v>1366.5056152</v>
      </c>
      <c r="I1875">
        <v>1284.3785399999999</v>
      </c>
      <c r="J1875">
        <v>1263.1394043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1215.5359450000001</v>
      </c>
      <c r="B1876" s="1">
        <f>DATE(2013,8,28) + TIME(12,51,45)</f>
        <v>41514.535937499997</v>
      </c>
      <c r="C1876">
        <v>80</v>
      </c>
      <c r="D1876">
        <v>79.956825256000002</v>
      </c>
      <c r="E1876">
        <v>50</v>
      </c>
      <c r="F1876">
        <v>44.716655731000003</v>
      </c>
      <c r="G1876">
        <v>1379.2833252</v>
      </c>
      <c r="H1876">
        <v>1366.4749756000001</v>
      </c>
      <c r="I1876">
        <v>1284.3364257999999</v>
      </c>
      <c r="J1876">
        <v>1263.0667725000001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1217.1280019999999</v>
      </c>
      <c r="B1877" s="1">
        <f>DATE(2013,8,30) + TIME(3,4,19)</f>
        <v>41516.127997685187</v>
      </c>
      <c r="C1877">
        <v>80</v>
      </c>
      <c r="D1877">
        <v>79.956855774000005</v>
      </c>
      <c r="E1877">
        <v>50</v>
      </c>
      <c r="F1877">
        <v>44.694210052000003</v>
      </c>
      <c r="G1877">
        <v>1379.2403564000001</v>
      </c>
      <c r="H1877">
        <v>1366.4343262</v>
      </c>
      <c r="I1877">
        <v>1284.2658690999999</v>
      </c>
      <c r="J1877">
        <v>1262.9506836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1218.7429360000001</v>
      </c>
      <c r="B1878" s="1">
        <f>DATE(2013,8,31) + TIME(17,49,49)</f>
        <v>41517.742928240739</v>
      </c>
      <c r="C1878">
        <v>80</v>
      </c>
      <c r="D1878">
        <v>79.956886291999993</v>
      </c>
      <c r="E1878">
        <v>50</v>
      </c>
      <c r="F1878">
        <v>44.672466278000002</v>
      </c>
      <c r="G1878">
        <v>1379.1949463000001</v>
      </c>
      <c r="H1878">
        <v>1366.3912353999999</v>
      </c>
      <c r="I1878">
        <v>1284.1938477000001</v>
      </c>
      <c r="J1878">
        <v>1262.8299560999999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1219</v>
      </c>
      <c r="B1879" s="1">
        <f>DATE(2013,9,1) + TIME(0,0,0)</f>
        <v>41518</v>
      </c>
      <c r="C1879">
        <v>80</v>
      </c>
      <c r="D1879">
        <v>79.956863403</v>
      </c>
      <c r="E1879">
        <v>50</v>
      </c>
      <c r="F1879">
        <v>44.665393829000003</v>
      </c>
      <c r="G1879">
        <v>1379.1759033000001</v>
      </c>
      <c r="H1879">
        <v>1366.3742675999999</v>
      </c>
      <c r="I1879">
        <v>1284.1383057</v>
      </c>
      <c r="J1879">
        <v>1262.7430420000001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1220.643744</v>
      </c>
      <c r="B1880" s="1">
        <f>DATE(2013,9,2) + TIME(15,26,59)</f>
        <v>41519.643738425926</v>
      </c>
      <c r="C1880">
        <v>80</v>
      </c>
      <c r="D1880">
        <v>79.956924438000001</v>
      </c>
      <c r="E1880">
        <v>50</v>
      </c>
      <c r="F1880">
        <v>44.649398804</v>
      </c>
      <c r="G1880">
        <v>1379.1385498</v>
      </c>
      <c r="H1880">
        <v>1366.3376464999999</v>
      </c>
      <c r="I1880">
        <v>1284.1076660000001</v>
      </c>
      <c r="J1880">
        <v>1262.6828613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1222.3293590000001</v>
      </c>
      <c r="B1881" s="1">
        <f>DATE(2013,9,4) + TIME(7,54,16)</f>
        <v>41521.329351851855</v>
      </c>
      <c r="C1881">
        <v>80</v>
      </c>
      <c r="D1881">
        <v>79.956970214999998</v>
      </c>
      <c r="E1881">
        <v>50</v>
      </c>
      <c r="F1881">
        <v>44.635040283000002</v>
      </c>
      <c r="G1881">
        <v>1379.0931396000001</v>
      </c>
      <c r="H1881">
        <v>1366.2944336</v>
      </c>
      <c r="I1881">
        <v>1284.0368652</v>
      </c>
      <c r="J1881">
        <v>1262.5629882999999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1224.059931</v>
      </c>
      <c r="B1882" s="1">
        <f>DATE(2013,9,6) + TIME(1,26,18)</f>
        <v>41523.059930555559</v>
      </c>
      <c r="C1882">
        <v>80</v>
      </c>
      <c r="D1882">
        <v>79.957008361999996</v>
      </c>
      <c r="E1882">
        <v>50</v>
      </c>
      <c r="F1882">
        <v>44.624156952</v>
      </c>
      <c r="G1882">
        <v>1379.0454102000001</v>
      </c>
      <c r="H1882">
        <v>1366.2490233999999</v>
      </c>
      <c r="I1882">
        <v>1283.9644774999999</v>
      </c>
      <c r="J1882">
        <v>1262.4394531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1225.843836</v>
      </c>
      <c r="B1883" s="1">
        <f>DATE(2013,9,7) + TIME(20,15,7)</f>
        <v>41524.843831018516</v>
      </c>
      <c r="C1883">
        <v>80</v>
      </c>
      <c r="D1883">
        <v>79.957046508999994</v>
      </c>
      <c r="E1883">
        <v>50</v>
      </c>
      <c r="F1883">
        <v>44.617904662999997</v>
      </c>
      <c r="G1883">
        <v>1378.996582</v>
      </c>
      <c r="H1883">
        <v>1366.2023925999999</v>
      </c>
      <c r="I1883">
        <v>1283.8914795000001</v>
      </c>
      <c r="J1883">
        <v>1262.3143310999999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1227.690863</v>
      </c>
      <c r="B1884" s="1">
        <f>DATE(2013,9,9) + TIME(16,34,50)</f>
        <v>41526.69085648148</v>
      </c>
      <c r="C1884">
        <v>80</v>
      </c>
      <c r="D1884">
        <v>79.957092285000002</v>
      </c>
      <c r="E1884">
        <v>50</v>
      </c>
      <c r="F1884">
        <v>44.617282867</v>
      </c>
      <c r="G1884">
        <v>1378.9462891000001</v>
      </c>
      <c r="H1884">
        <v>1366.1544189000001</v>
      </c>
      <c r="I1884">
        <v>1283.8179932</v>
      </c>
      <c r="J1884">
        <v>1262.1877440999999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1228.638191</v>
      </c>
      <c r="B1885" s="1">
        <f>DATE(2013,9,10) + TIME(15,18,59)</f>
        <v>41527.638182870367</v>
      </c>
      <c r="C1885">
        <v>80</v>
      </c>
      <c r="D1885">
        <v>79.957092285000002</v>
      </c>
      <c r="E1885">
        <v>50</v>
      </c>
      <c r="F1885">
        <v>44.62203598</v>
      </c>
      <c r="G1885">
        <v>1378.9068603999999</v>
      </c>
      <c r="H1885">
        <v>1366.1171875</v>
      </c>
      <c r="I1885">
        <v>1283.7514647999999</v>
      </c>
      <c r="J1885">
        <v>1262.0739745999999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1229.585519</v>
      </c>
      <c r="B1886" s="1">
        <f>DATE(2013,9,11) + TIME(14,3,8)</f>
        <v>41528.585509259261</v>
      </c>
      <c r="C1886">
        <v>80</v>
      </c>
      <c r="D1886">
        <v>79.957115173000005</v>
      </c>
      <c r="E1886">
        <v>50</v>
      </c>
      <c r="F1886">
        <v>44.628826140999998</v>
      </c>
      <c r="G1886">
        <v>1378.8758545000001</v>
      </c>
      <c r="H1886">
        <v>1366.0874022999999</v>
      </c>
      <c r="I1886">
        <v>1283.7109375</v>
      </c>
      <c r="J1886">
        <v>1262.0020752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1230.5328469999999</v>
      </c>
      <c r="B1887" s="1">
        <f>DATE(2013,9,12) + TIME(12,47,17)</f>
        <v>41529.532835648148</v>
      </c>
      <c r="C1887">
        <v>80</v>
      </c>
      <c r="D1887">
        <v>79.957145690999994</v>
      </c>
      <c r="E1887">
        <v>50</v>
      </c>
      <c r="F1887">
        <v>44.637737274000003</v>
      </c>
      <c r="G1887">
        <v>1378.8476562000001</v>
      </c>
      <c r="H1887">
        <v>1366.0603027</v>
      </c>
      <c r="I1887">
        <v>1283.6732178</v>
      </c>
      <c r="J1887">
        <v>1261.9355469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1231.4801749999999</v>
      </c>
      <c r="B1888" s="1">
        <f>DATE(2013,9,13) + TIME(11,31,27)</f>
        <v>41530.480173611111</v>
      </c>
      <c r="C1888">
        <v>80</v>
      </c>
      <c r="D1888">
        <v>79.957168578999998</v>
      </c>
      <c r="E1888">
        <v>50</v>
      </c>
      <c r="F1888">
        <v>44.648841857999997</v>
      </c>
      <c r="G1888">
        <v>1378.8204346</v>
      </c>
      <c r="H1888">
        <v>1366.0341797000001</v>
      </c>
      <c r="I1888">
        <v>1283.6369629000001</v>
      </c>
      <c r="J1888">
        <v>1261.8719481999999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1232.4275029999999</v>
      </c>
      <c r="B1889" s="1">
        <f>DATE(2013,9,14) + TIME(10,15,36)</f>
        <v>41531.427499999998</v>
      </c>
      <c r="C1889">
        <v>80</v>
      </c>
      <c r="D1889">
        <v>79.957191467000001</v>
      </c>
      <c r="E1889">
        <v>50</v>
      </c>
      <c r="F1889">
        <v>44.662216186999999</v>
      </c>
      <c r="G1889">
        <v>1378.7938231999999</v>
      </c>
      <c r="H1889">
        <v>1366.0085449000001</v>
      </c>
      <c r="I1889">
        <v>1283.6016846</v>
      </c>
      <c r="J1889">
        <v>1261.8103027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1233.3748310000001</v>
      </c>
      <c r="B1890" s="1">
        <f>DATE(2013,9,15) + TIME(8,59,45)</f>
        <v>41532.374826388892</v>
      </c>
      <c r="C1890">
        <v>80</v>
      </c>
      <c r="D1890">
        <v>79.957214355000005</v>
      </c>
      <c r="E1890">
        <v>50</v>
      </c>
      <c r="F1890">
        <v>44.677928925000003</v>
      </c>
      <c r="G1890">
        <v>1378.7674560999999</v>
      </c>
      <c r="H1890">
        <v>1365.9833983999999</v>
      </c>
      <c r="I1890">
        <v>1283.5672606999999</v>
      </c>
      <c r="J1890">
        <v>1261.7501221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1234.3221590000001</v>
      </c>
      <c r="B1891" s="1">
        <f>DATE(2013,9,16) + TIME(7,43,54)</f>
        <v>41533.322152777779</v>
      </c>
      <c r="C1891">
        <v>80</v>
      </c>
      <c r="D1891">
        <v>79.957237243999998</v>
      </c>
      <c r="E1891">
        <v>50</v>
      </c>
      <c r="F1891">
        <v>44.696052551000001</v>
      </c>
      <c r="G1891">
        <v>1378.7414550999999</v>
      </c>
      <c r="H1891">
        <v>1365.958374</v>
      </c>
      <c r="I1891">
        <v>1283.5336914</v>
      </c>
      <c r="J1891">
        <v>1261.6914062000001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1235.269487</v>
      </c>
      <c r="B1892" s="1">
        <f>DATE(2013,9,17) + TIME(6,28,3)</f>
        <v>41534.269479166665</v>
      </c>
      <c r="C1892">
        <v>80</v>
      </c>
      <c r="D1892">
        <v>79.957260132000002</v>
      </c>
      <c r="E1892">
        <v>50</v>
      </c>
      <c r="F1892">
        <v>44.716651917</v>
      </c>
      <c r="G1892">
        <v>1378.7156981999999</v>
      </c>
      <c r="H1892">
        <v>1365.9335937999999</v>
      </c>
      <c r="I1892">
        <v>1283.5008545000001</v>
      </c>
      <c r="J1892">
        <v>1261.6339111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1236.216815</v>
      </c>
      <c r="B1893" s="1">
        <f>DATE(2013,9,18) + TIME(5,12,12)</f>
        <v>41535.216805555552</v>
      </c>
      <c r="C1893">
        <v>80</v>
      </c>
      <c r="D1893">
        <v>79.957283020000006</v>
      </c>
      <c r="E1893">
        <v>50</v>
      </c>
      <c r="F1893">
        <v>44.739795684999997</v>
      </c>
      <c r="G1893">
        <v>1378.6900635</v>
      </c>
      <c r="H1893">
        <v>1365.9090576000001</v>
      </c>
      <c r="I1893">
        <v>1283.46875</v>
      </c>
      <c r="J1893">
        <v>1261.5777588000001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1237.164143</v>
      </c>
      <c r="B1894" s="1">
        <f>DATE(2013,9,19) + TIME(3,56,21)</f>
        <v>41536.164131944446</v>
      </c>
      <c r="C1894">
        <v>80</v>
      </c>
      <c r="D1894">
        <v>79.957305907999995</v>
      </c>
      <c r="E1894">
        <v>50</v>
      </c>
      <c r="F1894">
        <v>44.765541077000002</v>
      </c>
      <c r="G1894">
        <v>1378.6645507999999</v>
      </c>
      <c r="H1894">
        <v>1365.8845214999999</v>
      </c>
      <c r="I1894">
        <v>1283.4373779</v>
      </c>
      <c r="J1894">
        <v>1261.5228271000001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1239.0587989999999</v>
      </c>
      <c r="B1895" s="1">
        <f>DATE(2013,9,21) + TIME(1,24,40)</f>
        <v>41538.058796296296</v>
      </c>
      <c r="C1895">
        <v>80</v>
      </c>
      <c r="D1895">
        <v>79.957366942999997</v>
      </c>
      <c r="E1895">
        <v>50</v>
      </c>
      <c r="F1895">
        <v>44.802043914999999</v>
      </c>
      <c r="G1895">
        <v>1378.6304932</v>
      </c>
      <c r="H1895">
        <v>1365.8514404</v>
      </c>
      <c r="I1895">
        <v>1283.4008789</v>
      </c>
      <c r="J1895">
        <v>1261.4605713000001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1240.9621979999999</v>
      </c>
      <c r="B1896" s="1">
        <f>DATE(2013,9,22) + TIME(23,5,33)</f>
        <v>41539.962187500001</v>
      </c>
      <c r="C1896">
        <v>80</v>
      </c>
      <c r="D1896">
        <v>79.957405089999995</v>
      </c>
      <c r="E1896">
        <v>50</v>
      </c>
      <c r="F1896">
        <v>44.860225677000003</v>
      </c>
      <c r="G1896">
        <v>1378.5847168</v>
      </c>
      <c r="H1896">
        <v>1365.8077393000001</v>
      </c>
      <c r="I1896">
        <v>1283.3450928</v>
      </c>
      <c r="J1896">
        <v>1261.3626709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1242.8955269999999</v>
      </c>
      <c r="B1897" s="1">
        <f>DATE(2013,9,24) + TIME(21,29,33)</f>
        <v>41541.895520833335</v>
      </c>
      <c r="C1897">
        <v>80</v>
      </c>
      <c r="D1897">
        <v>79.957450867000006</v>
      </c>
      <c r="E1897">
        <v>50</v>
      </c>
      <c r="F1897">
        <v>44.933265685999999</v>
      </c>
      <c r="G1897">
        <v>1378.5363769999999</v>
      </c>
      <c r="H1897">
        <v>1365.7612305</v>
      </c>
      <c r="I1897">
        <v>1283.2894286999999</v>
      </c>
      <c r="J1897">
        <v>1261.2648925999999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1244.8662280000001</v>
      </c>
      <c r="B1898" s="1">
        <f>DATE(2013,9,26) + TIME(20,47,22)</f>
        <v>41543.866226851853</v>
      </c>
      <c r="C1898">
        <v>80</v>
      </c>
      <c r="D1898">
        <v>79.957489014000004</v>
      </c>
      <c r="E1898">
        <v>50</v>
      </c>
      <c r="F1898">
        <v>45.020210265999999</v>
      </c>
      <c r="G1898">
        <v>1378.4866943</v>
      </c>
      <c r="H1898">
        <v>1365.713501</v>
      </c>
      <c r="I1898">
        <v>1283.2352295000001</v>
      </c>
      <c r="J1898">
        <v>1261.1697998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1246.8823809999999</v>
      </c>
      <c r="B1899" s="1">
        <f>DATE(2013,9,28) + TIME(21,10,37)</f>
        <v>41545.882372685184</v>
      </c>
      <c r="C1899">
        <v>80</v>
      </c>
      <c r="D1899">
        <v>79.957534789999997</v>
      </c>
      <c r="E1899">
        <v>50</v>
      </c>
      <c r="F1899">
        <v>45.121723175</v>
      </c>
      <c r="G1899">
        <v>1378.4362793</v>
      </c>
      <c r="H1899">
        <v>1365.6647949000001</v>
      </c>
      <c r="I1899">
        <v>1283.1827393000001</v>
      </c>
      <c r="J1899">
        <v>1261.0780029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1247.94119</v>
      </c>
      <c r="B1900" s="1">
        <f>DATE(2013,9,29) + TIME(22,35,18)</f>
        <v>41546.941180555557</v>
      </c>
      <c r="C1900">
        <v>80</v>
      </c>
      <c r="D1900">
        <v>79.957542419000006</v>
      </c>
      <c r="E1900">
        <v>50</v>
      </c>
      <c r="F1900">
        <v>45.215476989999999</v>
      </c>
      <c r="G1900">
        <v>1378.3966064000001</v>
      </c>
      <c r="H1900">
        <v>1365.6270752</v>
      </c>
      <c r="I1900">
        <v>1283.140625</v>
      </c>
      <c r="J1900">
        <v>1260.9997559000001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1249</v>
      </c>
      <c r="B1901" s="1">
        <f>DATE(2013,10,1) + TIME(0,0,0)</f>
        <v>41548</v>
      </c>
      <c r="C1901">
        <v>80</v>
      </c>
      <c r="D1901">
        <v>79.957572936999995</v>
      </c>
      <c r="E1901">
        <v>50</v>
      </c>
      <c r="F1901">
        <v>45.296100615999997</v>
      </c>
      <c r="G1901">
        <v>1378.3651123</v>
      </c>
      <c r="H1901">
        <v>1365.5964355000001</v>
      </c>
      <c r="I1901">
        <v>1283.1119385</v>
      </c>
      <c r="J1901">
        <v>1260.9521483999999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1251.1176190000001</v>
      </c>
      <c r="B1902" s="1">
        <f>DATE(2013,10,3) + TIME(2,49,22)</f>
        <v>41550.117615740739</v>
      </c>
      <c r="C1902">
        <v>80</v>
      </c>
      <c r="D1902">
        <v>79.957641601999995</v>
      </c>
      <c r="E1902">
        <v>50</v>
      </c>
      <c r="F1902">
        <v>45.393501282000003</v>
      </c>
      <c r="G1902">
        <v>1378.3261719</v>
      </c>
      <c r="H1902">
        <v>1365.5585937999999</v>
      </c>
      <c r="I1902">
        <v>1283.0787353999999</v>
      </c>
      <c r="J1902">
        <v>1260.9011230000001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1252.1975560000001</v>
      </c>
      <c r="B1903" s="1">
        <f>DATE(2013,10,4) + TIME(4,44,28)</f>
        <v>41551.197546296295</v>
      </c>
      <c r="C1903">
        <v>80</v>
      </c>
      <c r="D1903">
        <v>79.957649231000005</v>
      </c>
      <c r="E1903">
        <v>50</v>
      </c>
      <c r="F1903">
        <v>45.507335662999999</v>
      </c>
      <c r="G1903">
        <v>1378.2882079999999</v>
      </c>
      <c r="H1903">
        <v>1365.5223389</v>
      </c>
      <c r="I1903">
        <v>1283.0440673999999</v>
      </c>
      <c r="J1903">
        <v>1260.8334961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1253.2774939999999</v>
      </c>
      <c r="B1904" s="1">
        <f>DATE(2013,10,5) + TIME(6,39,35)</f>
        <v>41552.277488425927</v>
      </c>
      <c r="C1904">
        <v>80</v>
      </c>
      <c r="D1904">
        <v>79.957672118999994</v>
      </c>
      <c r="E1904">
        <v>50</v>
      </c>
      <c r="F1904">
        <v>45.605796814000001</v>
      </c>
      <c r="G1904">
        <v>1378.2573242000001</v>
      </c>
      <c r="H1904">
        <v>1365.4924315999999</v>
      </c>
      <c r="I1904">
        <v>1283.0187988</v>
      </c>
      <c r="J1904">
        <v>1260.7937012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1254.3574309999999</v>
      </c>
      <c r="B1905" s="1">
        <f>DATE(2013,10,6) + TIME(8,34,42)</f>
        <v>41553.357430555552</v>
      </c>
      <c r="C1905">
        <v>80</v>
      </c>
      <c r="D1905">
        <v>79.957702636999997</v>
      </c>
      <c r="E1905">
        <v>50</v>
      </c>
      <c r="F1905">
        <v>45.700180054</v>
      </c>
      <c r="G1905">
        <v>1378.2287598</v>
      </c>
      <c r="H1905">
        <v>1365.4648437999999</v>
      </c>
      <c r="I1905">
        <v>1282.9960937999999</v>
      </c>
      <c r="J1905">
        <v>1260.7572021000001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1255.4373680000001</v>
      </c>
      <c r="B1906" s="1">
        <f>DATE(2013,10,7) + TIME(10,29,48)</f>
        <v>41554.437361111108</v>
      </c>
      <c r="C1906">
        <v>80</v>
      </c>
      <c r="D1906">
        <v>79.957725525000001</v>
      </c>
      <c r="E1906">
        <v>50</v>
      </c>
      <c r="F1906">
        <v>45.795032501000001</v>
      </c>
      <c r="G1906">
        <v>1378.2012939000001</v>
      </c>
      <c r="H1906">
        <v>1365.4381103999999</v>
      </c>
      <c r="I1906">
        <v>1282.9749756000001</v>
      </c>
      <c r="J1906">
        <v>1260.7230225000001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1256.5173050000001</v>
      </c>
      <c r="B1907" s="1">
        <f>DATE(2013,10,8) + TIME(12,24,55)</f>
        <v>41555.51730324074</v>
      </c>
      <c r="C1907">
        <v>80</v>
      </c>
      <c r="D1907">
        <v>79.957756042</v>
      </c>
      <c r="E1907">
        <v>50</v>
      </c>
      <c r="F1907">
        <v>45.892139434999997</v>
      </c>
      <c r="G1907">
        <v>1378.1741943</v>
      </c>
      <c r="H1907">
        <v>1365.4119873</v>
      </c>
      <c r="I1907">
        <v>1282.9549560999999</v>
      </c>
      <c r="J1907">
        <v>1260.6907959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1257.5972420000001</v>
      </c>
      <c r="B1908" s="1">
        <f>DATE(2013,10,9) + TIME(14,20,1)</f>
        <v>41556.597233796296</v>
      </c>
      <c r="C1908">
        <v>80</v>
      </c>
      <c r="D1908">
        <v>79.957778931000007</v>
      </c>
      <c r="E1908">
        <v>50</v>
      </c>
      <c r="F1908">
        <v>45.992156981999997</v>
      </c>
      <c r="G1908">
        <v>1378.1475829999999</v>
      </c>
      <c r="H1908">
        <v>1365.3861084</v>
      </c>
      <c r="I1908">
        <v>1282.9359131000001</v>
      </c>
      <c r="J1908">
        <v>1260.6602783000001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1258.6771799999999</v>
      </c>
      <c r="B1909" s="1">
        <f>DATE(2013,10,10) + TIME(16,15,8)</f>
        <v>41557.677175925928</v>
      </c>
      <c r="C1909">
        <v>80</v>
      </c>
      <c r="D1909">
        <v>79.957801818999997</v>
      </c>
      <c r="E1909">
        <v>50</v>
      </c>
      <c r="F1909">
        <v>46.095287323000001</v>
      </c>
      <c r="G1909">
        <v>1378.1212158000001</v>
      </c>
      <c r="H1909">
        <v>1365.3605957</v>
      </c>
      <c r="I1909">
        <v>1282.9176024999999</v>
      </c>
      <c r="J1909">
        <v>1260.6315918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1259.7558260000001</v>
      </c>
      <c r="B1910" s="1">
        <f>DATE(2013,10,11) + TIME(18,8,23)</f>
        <v>41558.75582175926</v>
      </c>
      <c r="C1910">
        <v>80</v>
      </c>
      <c r="D1910">
        <v>79.957832335999996</v>
      </c>
      <c r="E1910">
        <v>50</v>
      </c>
      <c r="F1910">
        <v>46.201488495</v>
      </c>
      <c r="G1910">
        <v>1378.0949707</v>
      </c>
      <c r="H1910">
        <v>1365.3352050999999</v>
      </c>
      <c r="I1910">
        <v>1282.9000243999999</v>
      </c>
      <c r="J1910">
        <v>1260.6043701000001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1260.8338699999999</v>
      </c>
      <c r="B1911" s="1">
        <f>DATE(2013,10,12) + TIME(20,0,46)</f>
        <v>41559.833865740744</v>
      </c>
      <c r="C1911">
        <v>80</v>
      </c>
      <c r="D1911">
        <v>79.957855225000003</v>
      </c>
      <c r="E1911">
        <v>50</v>
      </c>
      <c r="F1911">
        <v>46.310626984000002</v>
      </c>
      <c r="G1911">
        <v>1378.0690918</v>
      </c>
      <c r="H1911">
        <v>1365.3101807</v>
      </c>
      <c r="I1911">
        <v>1282.8833007999999</v>
      </c>
      <c r="J1911">
        <v>1260.5788574000001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1261.911914</v>
      </c>
      <c r="B1912" s="1">
        <f>DATE(2013,10,13) + TIME(21,53,9)</f>
        <v>41560.911909722221</v>
      </c>
      <c r="C1912">
        <v>80</v>
      </c>
      <c r="D1912">
        <v>79.957878113000007</v>
      </c>
      <c r="E1912">
        <v>50</v>
      </c>
      <c r="F1912">
        <v>46.422580719000003</v>
      </c>
      <c r="G1912">
        <v>1378.0433350000001</v>
      </c>
      <c r="H1912">
        <v>1365.2851562000001</v>
      </c>
      <c r="I1912">
        <v>1282.8671875</v>
      </c>
      <c r="J1912">
        <v>1260.5546875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1262.9899579999999</v>
      </c>
      <c r="B1913" s="1">
        <f>DATE(2013,10,14) + TIME(23,45,32)</f>
        <v>41561.989953703705</v>
      </c>
      <c r="C1913">
        <v>80</v>
      </c>
      <c r="D1913">
        <v>79.957901000999996</v>
      </c>
      <c r="E1913">
        <v>50</v>
      </c>
      <c r="F1913">
        <v>46.537220001000001</v>
      </c>
      <c r="G1913">
        <v>1378.0178223</v>
      </c>
      <c r="H1913">
        <v>1365.2604980000001</v>
      </c>
      <c r="I1913">
        <v>1282.8516846</v>
      </c>
      <c r="J1913">
        <v>1260.5319824000001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1264.0680030000001</v>
      </c>
      <c r="B1914" s="1">
        <f>DATE(2013,10,16) + TIME(1,37,55)</f>
        <v>41563.067997685182</v>
      </c>
      <c r="C1914">
        <v>80</v>
      </c>
      <c r="D1914">
        <v>79.957931518999999</v>
      </c>
      <c r="E1914">
        <v>50</v>
      </c>
      <c r="F1914">
        <v>46.654380797999998</v>
      </c>
      <c r="G1914">
        <v>1377.9924315999999</v>
      </c>
      <c r="H1914">
        <v>1365.2358397999999</v>
      </c>
      <c r="I1914">
        <v>1282.8367920000001</v>
      </c>
      <c r="J1914">
        <v>1260.5106201000001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1265.146047</v>
      </c>
      <c r="B1915" s="1">
        <f>DATE(2013,10,17) + TIME(3,30,18)</f>
        <v>41564.146041666667</v>
      </c>
      <c r="C1915">
        <v>80</v>
      </c>
      <c r="D1915">
        <v>79.957954407000003</v>
      </c>
      <c r="E1915">
        <v>50</v>
      </c>
      <c r="F1915">
        <v>46.773887633999998</v>
      </c>
      <c r="G1915">
        <v>1377.9671631000001</v>
      </c>
      <c r="H1915">
        <v>1365.2114257999999</v>
      </c>
      <c r="I1915">
        <v>1282.8225098</v>
      </c>
      <c r="J1915">
        <v>1260.4906006000001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1266.224091</v>
      </c>
      <c r="B1916" s="1">
        <f>DATE(2013,10,18) + TIME(5,22,41)</f>
        <v>41565.224085648151</v>
      </c>
      <c r="C1916">
        <v>80</v>
      </c>
      <c r="D1916">
        <v>79.957977295000006</v>
      </c>
      <c r="E1916">
        <v>50</v>
      </c>
      <c r="F1916">
        <v>46.895557404000002</v>
      </c>
      <c r="G1916">
        <v>1377.9421387</v>
      </c>
      <c r="H1916">
        <v>1365.1871338000001</v>
      </c>
      <c r="I1916">
        <v>1282.8088379000001</v>
      </c>
      <c r="J1916">
        <v>1260.4718018000001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1267.3021349999999</v>
      </c>
      <c r="B1917" s="1">
        <f>DATE(2013,10,19) + TIME(7,15,4)</f>
        <v>41566.302129629628</v>
      </c>
      <c r="C1917">
        <v>80</v>
      </c>
      <c r="D1917">
        <v>79.958000182999996</v>
      </c>
      <c r="E1917">
        <v>50</v>
      </c>
      <c r="F1917">
        <v>47.019207000999998</v>
      </c>
      <c r="G1917">
        <v>1377.9172363</v>
      </c>
      <c r="H1917">
        <v>1365.1629639</v>
      </c>
      <c r="I1917">
        <v>1282.7956543</v>
      </c>
      <c r="J1917">
        <v>1260.4541016000001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1268.3801800000001</v>
      </c>
      <c r="B1918" s="1">
        <f>DATE(2013,10,20) + TIME(9,7,27)</f>
        <v>41567.380173611113</v>
      </c>
      <c r="C1918">
        <v>80</v>
      </c>
      <c r="D1918">
        <v>79.958030700999998</v>
      </c>
      <c r="E1918">
        <v>50</v>
      </c>
      <c r="F1918">
        <v>47.144653320000003</v>
      </c>
      <c r="G1918">
        <v>1377.8924560999999</v>
      </c>
      <c r="H1918">
        <v>1365.1389160000001</v>
      </c>
      <c r="I1918">
        <v>1282.7829589999999</v>
      </c>
      <c r="J1918">
        <v>1260.4376221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1270.5362680000001</v>
      </c>
      <c r="B1919" s="1">
        <f>DATE(2013,10,22) + TIME(12,52,13)</f>
        <v>41569.536261574074</v>
      </c>
      <c r="C1919">
        <v>80</v>
      </c>
      <c r="D1919">
        <v>79.958091736</v>
      </c>
      <c r="E1919">
        <v>50</v>
      </c>
      <c r="F1919">
        <v>47.303337096999996</v>
      </c>
      <c r="G1919">
        <v>1377.8592529</v>
      </c>
      <c r="H1919">
        <v>1365.1064452999999</v>
      </c>
      <c r="I1919">
        <v>1282.7633057</v>
      </c>
      <c r="J1919">
        <v>1260.4180908000001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1272.7037069999999</v>
      </c>
      <c r="B1920" s="1">
        <f>DATE(2013,10,24) + TIME(16,53,20)</f>
        <v>41571.703703703701</v>
      </c>
      <c r="C1920">
        <v>80</v>
      </c>
      <c r="D1920">
        <v>79.958137511999993</v>
      </c>
      <c r="E1920">
        <v>50</v>
      </c>
      <c r="F1920">
        <v>47.537559508999998</v>
      </c>
      <c r="G1920">
        <v>1377.8151855000001</v>
      </c>
      <c r="H1920">
        <v>1365.0638428</v>
      </c>
      <c r="I1920">
        <v>1282.7434082</v>
      </c>
      <c r="J1920">
        <v>1260.3887939000001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1274.9143320000001</v>
      </c>
      <c r="B1921" s="1">
        <f>DATE(2013,10,26) + TIME(21,56,38)</f>
        <v>41573.9143287037</v>
      </c>
      <c r="C1921">
        <v>80</v>
      </c>
      <c r="D1921">
        <v>79.958183289000004</v>
      </c>
      <c r="E1921">
        <v>50</v>
      </c>
      <c r="F1921">
        <v>47.796535491999997</v>
      </c>
      <c r="G1921">
        <v>1377.7684326000001</v>
      </c>
      <c r="H1921">
        <v>1365.0184326000001</v>
      </c>
      <c r="I1921">
        <v>1282.7227783000001</v>
      </c>
      <c r="J1921">
        <v>1260.3641356999999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1277.1781109999999</v>
      </c>
      <c r="B1922" s="1">
        <f>DATE(2013,10,29) + TIME(4,16,28)</f>
        <v>41576.178101851852</v>
      </c>
      <c r="C1922">
        <v>80</v>
      </c>
      <c r="D1922">
        <v>79.958236693999993</v>
      </c>
      <c r="E1922">
        <v>50</v>
      </c>
      <c r="F1922">
        <v>48.068645476999997</v>
      </c>
      <c r="G1922">
        <v>1377.7204589999999</v>
      </c>
      <c r="H1922">
        <v>1364.9719238</v>
      </c>
      <c r="I1922">
        <v>1282.7025146000001</v>
      </c>
      <c r="J1922">
        <v>1260.3424072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1279.506063</v>
      </c>
      <c r="B1923" s="1">
        <f>DATE(2013,10,31) + TIME(12,8,43)</f>
        <v>41578.506053240744</v>
      </c>
      <c r="C1923">
        <v>80</v>
      </c>
      <c r="D1923">
        <v>79.958282471000004</v>
      </c>
      <c r="E1923">
        <v>50</v>
      </c>
      <c r="F1923">
        <v>48.351013184000003</v>
      </c>
      <c r="G1923">
        <v>1377.6715088000001</v>
      </c>
      <c r="H1923">
        <v>1364.9243164</v>
      </c>
      <c r="I1923">
        <v>1282.6831055</v>
      </c>
      <c r="J1923">
        <v>1260.3232422000001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1280</v>
      </c>
      <c r="B1924" s="1">
        <f>DATE(2013,11,1) + TIME(0,0,0)</f>
        <v>41579</v>
      </c>
      <c r="C1924">
        <v>80</v>
      </c>
      <c r="D1924">
        <v>79.958267211999996</v>
      </c>
      <c r="E1924">
        <v>50</v>
      </c>
      <c r="F1924">
        <v>48.507236481</v>
      </c>
      <c r="G1924">
        <v>1377.6480713000001</v>
      </c>
      <c r="H1924">
        <v>1364.9022216999999</v>
      </c>
      <c r="I1924">
        <v>1282.6878661999999</v>
      </c>
      <c r="J1924">
        <v>1260.3117675999999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1280.0000010000001</v>
      </c>
      <c r="B1925" s="1">
        <f>DATE(2013,11,1) + TIME(0,0,0)</f>
        <v>41579</v>
      </c>
      <c r="C1925">
        <v>80</v>
      </c>
      <c r="D1925">
        <v>79.958236693999993</v>
      </c>
      <c r="E1925">
        <v>50</v>
      </c>
      <c r="F1925">
        <v>48.507255553999997</v>
      </c>
      <c r="G1925">
        <v>1364.8922118999999</v>
      </c>
      <c r="H1925">
        <v>1352.3243408000001</v>
      </c>
      <c r="I1925">
        <v>1305.1342772999999</v>
      </c>
      <c r="J1925">
        <v>1282.6989745999999</v>
      </c>
      <c r="K1925">
        <v>0</v>
      </c>
      <c r="L1925">
        <v>2400</v>
      </c>
      <c r="M1925">
        <v>2400</v>
      </c>
      <c r="N1925">
        <v>0</v>
      </c>
    </row>
    <row r="1926" spans="1:14" x14ac:dyDescent="0.25">
      <c r="A1926">
        <v>1280.000004</v>
      </c>
      <c r="B1926" s="1">
        <f>DATE(2013,11,1) + TIME(0,0,0)</f>
        <v>41579</v>
      </c>
      <c r="C1926">
        <v>80</v>
      </c>
      <c r="D1926">
        <v>79.958145142000006</v>
      </c>
      <c r="E1926">
        <v>50</v>
      </c>
      <c r="F1926">
        <v>48.507316588999998</v>
      </c>
      <c r="G1926">
        <v>1364.8621826000001</v>
      </c>
      <c r="H1926">
        <v>1352.2944336</v>
      </c>
      <c r="I1926">
        <v>1305.1641846</v>
      </c>
      <c r="J1926">
        <v>1282.7326660000001</v>
      </c>
      <c r="K1926">
        <v>0</v>
      </c>
      <c r="L1926">
        <v>2400</v>
      </c>
      <c r="M1926">
        <v>2400</v>
      </c>
      <c r="N1926">
        <v>0</v>
      </c>
    </row>
    <row r="1927" spans="1:14" x14ac:dyDescent="0.25">
      <c r="A1927">
        <v>1280.0000130000001</v>
      </c>
      <c r="B1927" s="1">
        <f>DATE(2013,11,1) + TIME(0,0,1)</f>
        <v>41579.000011574077</v>
      </c>
      <c r="C1927">
        <v>80</v>
      </c>
      <c r="D1927">
        <v>79.957855225000003</v>
      </c>
      <c r="E1927">
        <v>50</v>
      </c>
      <c r="F1927">
        <v>48.507492065000001</v>
      </c>
      <c r="G1927">
        <v>1364.7729492000001</v>
      </c>
      <c r="H1927">
        <v>1352.2049560999999</v>
      </c>
      <c r="I1927">
        <v>1305.2535399999999</v>
      </c>
      <c r="J1927">
        <v>1282.8328856999999</v>
      </c>
      <c r="K1927">
        <v>0</v>
      </c>
      <c r="L1927">
        <v>2400</v>
      </c>
      <c r="M1927">
        <v>2400</v>
      </c>
      <c r="N1927">
        <v>0</v>
      </c>
    </row>
    <row r="1928" spans="1:14" x14ac:dyDescent="0.25">
      <c r="A1928">
        <v>1280.0000399999999</v>
      </c>
      <c r="B1928" s="1">
        <f>DATE(2013,11,1) + TIME(0,0,3)</f>
        <v>41579.000034722223</v>
      </c>
      <c r="C1928">
        <v>80</v>
      </c>
      <c r="D1928">
        <v>79.957015991000006</v>
      </c>
      <c r="E1928">
        <v>50</v>
      </c>
      <c r="F1928">
        <v>48.508014678999999</v>
      </c>
      <c r="G1928">
        <v>1364.5101318</v>
      </c>
      <c r="H1928">
        <v>1351.9420166</v>
      </c>
      <c r="I1928">
        <v>1305.5187988</v>
      </c>
      <c r="J1928">
        <v>1283.130249</v>
      </c>
      <c r="K1928">
        <v>0</v>
      </c>
      <c r="L1928">
        <v>2400</v>
      </c>
      <c r="M1928">
        <v>2400</v>
      </c>
      <c r="N1928">
        <v>0</v>
      </c>
    </row>
    <row r="1929" spans="1:14" x14ac:dyDescent="0.25">
      <c r="A1929">
        <v>1280.000121</v>
      </c>
      <c r="B1929" s="1">
        <f>DATE(2013,11,1) + TIME(0,0,10)</f>
        <v>41579.000115740739</v>
      </c>
      <c r="C1929">
        <v>80</v>
      </c>
      <c r="D1929">
        <v>79.954620360999996</v>
      </c>
      <c r="E1929">
        <v>50</v>
      </c>
      <c r="F1929">
        <v>48.509540557999998</v>
      </c>
      <c r="G1929">
        <v>1363.7646483999999</v>
      </c>
      <c r="H1929">
        <v>1351.1956786999999</v>
      </c>
      <c r="I1929">
        <v>1306.2889404</v>
      </c>
      <c r="J1929">
        <v>1283.9902344</v>
      </c>
      <c r="K1929">
        <v>0</v>
      </c>
      <c r="L1929">
        <v>2400</v>
      </c>
      <c r="M1929">
        <v>2400</v>
      </c>
      <c r="N1929">
        <v>0</v>
      </c>
    </row>
    <row r="1930" spans="1:14" x14ac:dyDescent="0.25">
      <c r="A1930">
        <v>1280.000364</v>
      </c>
      <c r="B1930" s="1">
        <f>DATE(2013,11,1) + TIME(0,0,31)</f>
        <v>41579.000358796293</v>
      </c>
      <c r="C1930">
        <v>80</v>
      </c>
      <c r="D1930">
        <v>79.948455811000002</v>
      </c>
      <c r="E1930">
        <v>50</v>
      </c>
      <c r="F1930">
        <v>48.513736725000001</v>
      </c>
      <c r="G1930">
        <v>1361.8422852000001</v>
      </c>
      <c r="H1930">
        <v>1349.2717285000001</v>
      </c>
      <c r="I1930">
        <v>1308.3961182</v>
      </c>
      <c r="J1930">
        <v>1286.3192139</v>
      </c>
      <c r="K1930">
        <v>0</v>
      </c>
      <c r="L1930">
        <v>2400</v>
      </c>
      <c r="M1930">
        <v>2400</v>
      </c>
      <c r="N1930">
        <v>0</v>
      </c>
    </row>
    <row r="1931" spans="1:14" x14ac:dyDescent="0.25">
      <c r="A1931">
        <v>1280.0010930000001</v>
      </c>
      <c r="B1931" s="1">
        <f>DATE(2013,11,1) + TIME(0,1,34)</f>
        <v>41579.001087962963</v>
      </c>
      <c r="C1931">
        <v>80</v>
      </c>
      <c r="D1931">
        <v>79.935501099000007</v>
      </c>
      <c r="E1931">
        <v>50</v>
      </c>
      <c r="F1931">
        <v>48.523941039999997</v>
      </c>
      <c r="G1931">
        <v>1357.8085937999999</v>
      </c>
      <c r="H1931">
        <v>1345.2352295000001</v>
      </c>
      <c r="I1931">
        <v>1313.3972168</v>
      </c>
      <c r="J1931">
        <v>1291.7082519999999</v>
      </c>
      <c r="K1931">
        <v>0</v>
      </c>
      <c r="L1931">
        <v>2400</v>
      </c>
      <c r="M1931">
        <v>2400</v>
      </c>
      <c r="N1931">
        <v>0</v>
      </c>
    </row>
    <row r="1932" spans="1:14" x14ac:dyDescent="0.25">
      <c r="A1932">
        <v>1280.0032799999999</v>
      </c>
      <c r="B1932" s="1">
        <f>DATE(2013,11,1) + TIME(0,4,43)</f>
        <v>41579.003275462965</v>
      </c>
      <c r="C1932">
        <v>80</v>
      </c>
      <c r="D1932">
        <v>79.915473938000005</v>
      </c>
      <c r="E1932">
        <v>50</v>
      </c>
      <c r="F1932">
        <v>48.542675017999997</v>
      </c>
      <c r="G1932">
        <v>1351.6248779</v>
      </c>
      <c r="H1932">
        <v>1339.0493164</v>
      </c>
      <c r="I1932">
        <v>1322.4927978999999</v>
      </c>
      <c r="J1932">
        <v>1301.0850829999999</v>
      </c>
      <c r="K1932">
        <v>0</v>
      </c>
      <c r="L1932">
        <v>2400</v>
      </c>
      <c r="M1932">
        <v>2400</v>
      </c>
      <c r="N1932">
        <v>0</v>
      </c>
    </row>
    <row r="1933" spans="1:14" x14ac:dyDescent="0.25">
      <c r="A1933">
        <v>1280.0098410000001</v>
      </c>
      <c r="B1933" s="1">
        <f>DATE(2013,11,1) + TIME(0,14,10)</f>
        <v>41579.009837962964</v>
      </c>
      <c r="C1933">
        <v>80</v>
      </c>
      <c r="D1933">
        <v>79.891860961999996</v>
      </c>
      <c r="E1933">
        <v>50</v>
      </c>
      <c r="F1933">
        <v>48.573711394999997</v>
      </c>
      <c r="G1933">
        <v>1344.5080565999999</v>
      </c>
      <c r="H1933">
        <v>1331.9305420000001</v>
      </c>
      <c r="I1933">
        <v>1334.5054932</v>
      </c>
      <c r="J1933">
        <v>1313.0526123</v>
      </c>
      <c r="K1933">
        <v>0</v>
      </c>
      <c r="L1933">
        <v>2400</v>
      </c>
      <c r="M1933">
        <v>2400</v>
      </c>
      <c r="N1933">
        <v>0</v>
      </c>
    </row>
    <row r="1934" spans="1:14" x14ac:dyDescent="0.25">
      <c r="A1934">
        <v>1280.029524</v>
      </c>
      <c r="B1934" s="1">
        <f>DATE(2013,11,1) + TIME(0,42,30)</f>
        <v>41579.029513888891</v>
      </c>
      <c r="C1934">
        <v>80</v>
      </c>
      <c r="D1934">
        <v>79.866226196</v>
      </c>
      <c r="E1934">
        <v>50</v>
      </c>
      <c r="F1934">
        <v>48.629787444999998</v>
      </c>
      <c r="G1934">
        <v>1337.2673339999999</v>
      </c>
      <c r="H1934">
        <v>1324.6845702999999</v>
      </c>
      <c r="I1934">
        <v>1347.3070068</v>
      </c>
      <c r="J1934">
        <v>1325.6779785000001</v>
      </c>
      <c r="K1934">
        <v>0</v>
      </c>
      <c r="L1934">
        <v>2400</v>
      </c>
      <c r="M1934">
        <v>2400</v>
      </c>
      <c r="N1934">
        <v>0</v>
      </c>
    </row>
    <row r="1935" spans="1:14" x14ac:dyDescent="0.25">
      <c r="A1935">
        <v>1280.0796330000001</v>
      </c>
      <c r="B1935" s="1">
        <f>DATE(2013,11,1) + TIME(1,54,40)</f>
        <v>41579.079629629632</v>
      </c>
      <c r="C1935">
        <v>80</v>
      </c>
      <c r="D1935">
        <v>79.838623046999999</v>
      </c>
      <c r="E1935">
        <v>50</v>
      </c>
      <c r="F1935">
        <v>48.734306334999999</v>
      </c>
      <c r="G1935">
        <v>1330.5336914</v>
      </c>
      <c r="H1935">
        <v>1317.9337158000001</v>
      </c>
      <c r="I1935">
        <v>1359.0585937999999</v>
      </c>
      <c r="J1935">
        <v>1337.3116454999999</v>
      </c>
      <c r="K1935">
        <v>0</v>
      </c>
      <c r="L1935">
        <v>2400</v>
      </c>
      <c r="M1935">
        <v>2400</v>
      </c>
      <c r="N1935">
        <v>0</v>
      </c>
    </row>
    <row r="1936" spans="1:14" x14ac:dyDescent="0.25">
      <c r="A1936">
        <v>1280.1334850000001</v>
      </c>
      <c r="B1936" s="1">
        <f>DATE(2013,11,1) + TIME(3,12,13)</f>
        <v>41579.133483796293</v>
      </c>
      <c r="C1936">
        <v>80</v>
      </c>
      <c r="D1936">
        <v>79.818954468000001</v>
      </c>
      <c r="E1936">
        <v>50</v>
      </c>
      <c r="F1936">
        <v>48.830451965000002</v>
      </c>
      <c r="G1936">
        <v>1326.5784911999999</v>
      </c>
      <c r="H1936">
        <v>1313.9636230000001</v>
      </c>
      <c r="I1936">
        <v>1365.7338867000001</v>
      </c>
      <c r="J1936">
        <v>1343.9744873</v>
      </c>
      <c r="K1936">
        <v>0</v>
      </c>
      <c r="L1936">
        <v>2400</v>
      </c>
      <c r="M1936">
        <v>2400</v>
      </c>
      <c r="N1936">
        <v>0</v>
      </c>
    </row>
    <row r="1937" spans="1:14" x14ac:dyDescent="0.25">
      <c r="A1937">
        <v>1280.190335</v>
      </c>
      <c r="B1937" s="1">
        <f>DATE(2013,11,1) + TIME(4,34,4)</f>
        <v>41579.190324074072</v>
      </c>
      <c r="C1937">
        <v>80</v>
      </c>
      <c r="D1937">
        <v>79.802406310999999</v>
      </c>
      <c r="E1937">
        <v>50</v>
      </c>
      <c r="F1937">
        <v>48.920875549000002</v>
      </c>
      <c r="G1937">
        <v>1323.7827147999999</v>
      </c>
      <c r="H1937">
        <v>1311.1571045000001</v>
      </c>
      <c r="I1937">
        <v>1370.2678223</v>
      </c>
      <c r="J1937">
        <v>1348.5485839999999</v>
      </c>
      <c r="K1937">
        <v>0</v>
      </c>
      <c r="L1937">
        <v>2400</v>
      </c>
      <c r="M1937">
        <v>2400</v>
      </c>
      <c r="N1937">
        <v>0</v>
      </c>
    </row>
    <row r="1938" spans="1:14" x14ac:dyDescent="0.25">
      <c r="A1938">
        <v>1280.2500399999999</v>
      </c>
      <c r="B1938" s="1">
        <f>DATE(2013,11,1) + TIME(6,0,3)</f>
        <v>41579.250034722223</v>
      </c>
      <c r="C1938">
        <v>80</v>
      </c>
      <c r="D1938">
        <v>79.787361145000006</v>
      </c>
      <c r="E1938">
        <v>50</v>
      </c>
      <c r="F1938">
        <v>49.006481170999997</v>
      </c>
      <c r="G1938">
        <v>1321.6018065999999</v>
      </c>
      <c r="H1938">
        <v>1308.9685059000001</v>
      </c>
      <c r="I1938">
        <v>1373.6708983999999</v>
      </c>
      <c r="J1938">
        <v>1352.0177002</v>
      </c>
      <c r="K1938">
        <v>0</v>
      </c>
      <c r="L1938">
        <v>2400</v>
      </c>
      <c r="M1938">
        <v>2400</v>
      </c>
      <c r="N1938">
        <v>0</v>
      </c>
    </row>
    <row r="1939" spans="1:14" x14ac:dyDescent="0.25">
      <c r="A1939">
        <v>1280.312709</v>
      </c>
      <c r="B1939" s="1">
        <f>DATE(2013,11,1) + TIME(7,30,18)</f>
        <v>41579.312708333331</v>
      </c>
      <c r="C1939">
        <v>80</v>
      </c>
      <c r="D1939">
        <v>79.773109435999999</v>
      </c>
      <c r="E1939">
        <v>50</v>
      </c>
      <c r="F1939">
        <v>49.087749481000003</v>
      </c>
      <c r="G1939">
        <v>1319.8031006000001</v>
      </c>
      <c r="H1939">
        <v>1307.1643065999999</v>
      </c>
      <c r="I1939">
        <v>1376.3823242000001</v>
      </c>
      <c r="J1939">
        <v>1354.8082274999999</v>
      </c>
      <c r="K1939">
        <v>0</v>
      </c>
      <c r="L1939">
        <v>2400</v>
      </c>
      <c r="M1939">
        <v>2400</v>
      </c>
      <c r="N1939">
        <v>0</v>
      </c>
    </row>
    <row r="1940" spans="1:14" x14ac:dyDescent="0.25">
      <c r="A1940">
        <v>1280.3785740000001</v>
      </c>
      <c r="B1940" s="1">
        <f>DATE(2013,11,1) + TIME(9,5,8)</f>
        <v>41579.378564814811</v>
      </c>
      <c r="C1940">
        <v>80</v>
      </c>
      <c r="D1940">
        <v>79.759277343999997</v>
      </c>
      <c r="E1940">
        <v>50</v>
      </c>
      <c r="F1940">
        <v>49.164989470999998</v>
      </c>
      <c r="G1940">
        <v>1318.2679443</v>
      </c>
      <c r="H1940">
        <v>1305.625</v>
      </c>
      <c r="I1940">
        <v>1378.6275635</v>
      </c>
      <c r="J1940">
        <v>1357.1392822</v>
      </c>
      <c r="K1940">
        <v>0</v>
      </c>
      <c r="L1940">
        <v>2400</v>
      </c>
      <c r="M1940">
        <v>2400</v>
      </c>
      <c r="N1940">
        <v>0</v>
      </c>
    </row>
    <row r="1941" spans="1:14" x14ac:dyDescent="0.25">
      <c r="A1941">
        <v>1280.4479610000001</v>
      </c>
      <c r="B1941" s="1">
        <f>DATE(2013,11,1) + TIME(10,45,3)</f>
        <v>41579.447951388887</v>
      </c>
      <c r="C1941">
        <v>80</v>
      </c>
      <c r="D1941">
        <v>79.745620728000006</v>
      </c>
      <c r="E1941">
        <v>50</v>
      </c>
      <c r="F1941">
        <v>49.238410950000002</v>
      </c>
      <c r="G1941">
        <v>1316.9267577999999</v>
      </c>
      <c r="H1941">
        <v>1304.2807617000001</v>
      </c>
      <c r="I1941">
        <v>1380.5371094</v>
      </c>
      <c r="J1941">
        <v>1359.1374512</v>
      </c>
      <c r="K1941">
        <v>0</v>
      </c>
      <c r="L1941">
        <v>2400</v>
      </c>
      <c r="M1941">
        <v>2400</v>
      </c>
      <c r="N1941">
        <v>0</v>
      </c>
    </row>
    <row r="1942" spans="1:14" x14ac:dyDescent="0.25">
      <c r="A1942">
        <v>1280.5212799999999</v>
      </c>
      <c r="B1942" s="1">
        <f>DATE(2013,11,1) + TIME(12,30,38)</f>
        <v>41579.521273148152</v>
      </c>
      <c r="C1942">
        <v>80</v>
      </c>
      <c r="D1942">
        <v>79.731964110999996</v>
      </c>
      <c r="E1942">
        <v>50</v>
      </c>
      <c r="F1942">
        <v>49.308177948000001</v>
      </c>
      <c r="G1942">
        <v>1315.7349853999999</v>
      </c>
      <c r="H1942">
        <v>1303.0865478999999</v>
      </c>
      <c r="I1942">
        <v>1382.1933594</v>
      </c>
      <c r="J1942">
        <v>1360.8834228999999</v>
      </c>
      <c r="K1942">
        <v>0</v>
      </c>
      <c r="L1942">
        <v>2400</v>
      </c>
      <c r="M1942">
        <v>2400</v>
      </c>
      <c r="N1942">
        <v>0</v>
      </c>
    </row>
    <row r="1943" spans="1:14" x14ac:dyDescent="0.25">
      <c r="A1943">
        <v>1280.5990400000001</v>
      </c>
      <c r="B1943" s="1">
        <f>DATE(2013,11,1) + TIME(14,22,37)</f>
        <v>41579.599039351851</v>
      </c>
      <c r="C1943">
        <v>80</v>
      </c>
      <c r="D1943">
        <v>79.718162536999998</v>
      </c>
      <c r="E1943">
        <v>50</v>
      </c>
      <c r="F1943">
        <v>49.374427795000003</v>
      </c>
      <c r="G1943">
        <v>1314.6612548999999</v>
      </c>
      <c r="H1943">
        <v>1302.0107422000001</v>
      </c>
      <c r="I1943">
        <v>1383.6523437999999</v>
      </c>
      <c r="J1943">
        <v>1362.432251</v>
      </c>
      <c r="K1943">
        <v>0</v>
      </c>
      <c r="L1943">
        <v>2400</v>
      </c>
      <c r="M1943">
        <v>2400</v>
      </c>
      <c r="N1943">
        <v>0</v>
      </c>
    </row>
    <row r="1944" spans="1:14" x14ac:dyDescent="0.25">
      <c r="A1944">
        <v>1280.681861</v>
      </c>
      <c r="B1944" s="1">
        <f>DATE(2013,11,1) + TIME(16,21,52)</f>
        <v>41579.681851851848</v>
      </c>
      <c r="C1944">
        <v>80</v>
      </c>
      <c r="D1944">
        <v>79.704078674000002</v>
      </c>
      <c r="E1944">
        <v>50</v>
      </c>
      <c r="F1944">
        <v>49.437271117999998</v>
      </c>
      <c r="G1944">
        <v>1313.6826172000001</v>
      </c>
      <c r="H1944">
        <v>1301.0306396000001</v>
      </c>
      <c r="I1944">
        <v>1384.9538574000001</v>
      </c>
      <c r="J1944">
        <v>1363.8229980000001</v>
      </c>
      <c r="K1944">
        <v>0</v>
      </c>
      <c r="L1944">
        <v>2400</v>
      </c>
      <c r="M1944">
        <v>2400</v>
      </c>
      <c r="N1944">
        <v>0</v>
      </c>
    </row>
    <row r="1945" spans="1:14" x14ac:dyDescent="0.25">
      <c r="A1945">
        <v>1280.7705109999999</v>
      </c>
      <c r="B1945" s="1">
        <f>DATE(2013,11,1) + TIME(18,29,32)</f>
        <v>41579.770509259259</v>
      </c>
      <c r="C1945">
        <v>80</v>
      </c>
      <c r="D1945">
        <v>79.689582825000002</v>
      </c>
      <c r="E1945">
        <v>50</v>
      </c>
      <c r="F1945">
        <v>49.496799469000003</v>
      </c>
      <c r="G1945">
        <v>1312.7817382999999</v>
      </c>
      <c r="H1945">
        <v>1300.128418</v>
      </c>
      <c r="I1945">
        <v>1386.1276855000001</v>
      </c>
      <c r="J1945">
        <v>1365.0848389</v>
      </c>
      <c r="K1945">
        <v>0</v>
      </c>
      <c r="L1945">
        <v>2400</v>
      </c>
      <c r="M1945">
        <v>2400</v>
      </c>
      <c r="N1945">
        <v>0</v>
      </c>
    </row>
    <row r="1946" spans="1:14" x14ac:dyDescent="0.25">
      <c r="A1946">
        <v>1280.8659439999999</v>
      </c>
      <c r="B1946" s="1">
        <f>DATE(2013,11,1) + TIME(20,46,57)</f>
        <v>41579.865937499999</v>
      </c>
      <c r="C1946">
        <v>80</v>
      </c>
      <c r="D1946">
        <v>79.674530028999996</v>
      </c>
      <c r="E1946">
        <v>50</v>
      </c>
      <c r="F1946">
        <v>49.553089141999997</v>
      </c>
      <c r="G1946">
        <v>1311.9445800999999</v>
      </c>
      <c r="H1946">
        <v>1299.2900391000001</v>
      </c>
      <c r="I1946">
        <v>1387.1965332</v>
      </c>
      <c r="J1946">
        <v>1366.2406006000001</v>
      </c>
      <c r="K1946">
        <v>0</v>
      </c>
      <c r="L1946">
        <v>2400</v>
      </c>
      <c r="M1946">
        <v>2400</v>
      </c>
      <c r="N1946">
        <v>0</v>
      </c>
    </row>
    <row r="1947" spans="1:14" x14ac:dyDescent="0.25">
      <c r="A1947">
        <v>1280.9693649999999</v>
      </c>
      <c r="B1947" s="1">
        <f>DATE(2013,11,1) + TIME(23,15,53)</f>
        <v>41579.969363425924</v>
      </c>
      <c r="C1947">
        <v>80</v>
      </c>
      <c r="D1947">
        <v>79.658767699999999</v>
      </c>
      <c r="E1947">
        <v>50</v>
      </c>
      <c r="F1947">
        <v>49.606185912999997</v>
      </c>
      <c r="G1947">
        <v>1311.1597899999999</v>
      </c>
      <c r="H1947">
        <v>1298.5041504000001</v>
      </c>
      <c r="I1947">
        <v>1388.1783447</v>
      </c>
      <c r="J1947">
        <v>1367.3077393000001</v>
      </c>
      <c r="K1947">
        <v>0</v>
      </c>
      <c r="L1947">
        <v>2400</v>
      </c>
      <c r="M1947">
        <v>2400</v>
      </c>
      <c r="N1947">
        <v>0</v>
      </c>
    </row>
    <row r="1948" spans="1:14" x14ac:dyDescent="0.25">
      <c r="A1948">
        <v>1281.0822900000001</v>
      </c>
      <c r="B1948" s="1">
        <f>DATE(2013,11,2) + TIME(1,58,29)</f>
        <v>41580.082280092596</v>
      </c>
      <c r="C1948">
        <v>80</v>
      </c>
      <c r="D1948">
        <v>79.642112732000001</v>
      </c>
      <c r="E1948">
        <v>50</v>
      </c>
      <c r="F1948">
        <v>49.656120299999998</v>
      </c>
      <c r="G1948">
        <v>1310.4179687999999</v>
      </c>
      <c r="H1948">
        <v>1297.7614745999999</v>
      </c>
      <c r="I1948">
        <v>1389.0874022999999</v>
      </c>
      <c r="J1948">
        <v>1368.3007812000001</v>
      </c>
      <c r="K1948">
        <v>0</v>
      </c>
      <c r="L1948">
        <v>2400</v>
      </c>
      <c r="M1948">
        <v>2400</v>
      </c>
      <c r="N1948">
        <v>0</v>
      </c>
    </row>
    <row r="1949" spans="1:14" x14ac:dyDescent="0.25">
      <c r="A1949">
        <v>1281.206762</v>
      </c>
      <c r="B1949" s="1">
        <f>DATE(2013,11,2) + TIME(4,57,44)</f>
        <v>41580.206759259258</v>
      </c>
      <c r="C1949">
        <v>80</v>
      </c>
      <c r="D1949">
        <v>79.624336243000002</v>
      </c>
      <c r="E1949">
        <v>50</v>
      </c>
      <c r="F1949">
        <v>49.702911377</v>
      </c>
      <c r="G1949">
        <v>1309.7108154</v>
      </c>
      <c r="H1949">
        <v>1297.0534668</v>
      </c>
      <c r="I1949">
        <v>1389.9357910000001</v>
      </c>
      <c r="J1949">
        <v>1369.2318115</v>
      </c>
      <c r="K1949">
        <v>0</v>
      </c>
      <c r="L1949">
        <v>2400</v>
      </c>
      <c r="M1949">
        <v>2400</v>
      </c>
      <c r="N1949">
        <v>0</v>
      </c>
    </row>
    <row r="1950" spans="1:14" x14ac:dyDescent="0.25">
      <c r="A1950">
        <v>1281.345489</v>
      </c>
      <c r="B1950" s="1">
        <f>DATE(2013,11,2) + TIME(8,17,30)</f>
        <v>41580.345486111109</v>
      </c>
      <c r="C1950">
        <v>80</v>
      </c>
      <c r="D1950">
        <v>79.605148314999994</v>
      </c>
      <c r="E1950">
        <v>50</v>
      </c>
      <c r="F1950">
        <v>49.746547698999997</v>
      </c>
      <c r="G1950">
        <v>1309.03125</v>
      </c>
      <c r="H1950">
        <v>1296.3730469</v>
      </c>
      <c r="I1950">
        <v>1390.7335204999999</v>
      </c>
      <c r="J1950">
        <v>1370.1108397999999</v>
      </c>
      <c r="K1950">
        <v>0</v>
      </c>
      <c r="L1950">
        <v>2400</v>
      </c>
      <c r="M1950">
        <v>2400</v>
      </c>
      <c r="N1950">
        <v>0</v>
      </c>
    </row>
    <row r="1951" spans="1:14" x14ac:dyDescent="0.25">
      <c r="A1951">
        <v>1281.5022059999999</v>
      </c>
      <c r="B1951" s="1">
        <f>DATE(2013,11,2) + TIME(12,3,10)</f>
        <v>41580.502199074072</v>
      </c>
      <c r="C1951">
        <v>80</v>
      </c>
      <c r="D1951">
        <v>79.584190368999998</v>
      </c>
      <c r="E1951">
        <v>50</v>
      </c>
      <c r="F1951">
        <v>49.786983489999997</v>
      </c>
      <c r="G1951">
        <v>1308.3728027</v>
      </c>
      <c r="H1951">
        <v>1295.7137451000001</v>
      </c>
      <c r="I1951">
        <v>1391.4891356999999</v>
      </c>
      <c r="J1951">
        <v>1370.9462891000001</v>
      </c>
      <c r="K1951">
        <v>0</v>
      </c>
      <c r="L1951">
        <v>2400</v>
      </c>
      <c r="M1951">
        <v>2400</v>
      </c>
      <c r="N1951">
        <v>0</v>
      </c>
    </row>
    <row r="1952" spans="1:14" x14ac:dyDescent="0.25">
      <c r="A1952">
        <v>1281.682239</v>
      </c>
      <c r="B1952" s="1">
        <f>DATE(2013,11,2) + TIME(16,22,25)</f>
        <v>41580.682233796295</v>
      </c>
      <c r="C1952">
        <v>80</v>
      </c>
      <c r="D1952">
        <v>79.560943604000002</v>
      </c>
      <c r="E1952">
        <v>50</v>
      </c>
      <c r="F1952">
        <v>49.824150084999999</v>
      </c>
      <c r="G1952">
        <v>1307.7296143000001</v>
      </c>
      <c r="H1952">
        <v>1295.0698242000001</v>
      </c>
      <c r="I1952">
        <v>1392.2097168</v>
      </c>
      <c r="J1952">
        <v>1371.7453613</v>
      </c>
      <c r="K1952">
        <v>0</v>
      </c>
      <c r="L1952">
        <v>2400</v>
      </c>
      <c r="M1952">
        <v>2400</v>
      </c>
      <c r="N1952">
        <v>0</v>
      </c>
    </row>
    <row r="1953" spans="1:14" x14ac:dyDescent="0.25">
      <c r="A1953">
        <v>1281.7876100000001</v>
      </c>
      <c r="B1953" s="1">
        <f>DATE(2013,11,2) + TIME(18,54,9)</f>
        <v>41580.787604166668</v>
      </c>
      <c r="C1953">
        <v>80</v>
      </c>
      <c r="D1953">
        <v>79.546195983999993</v>
      </c>
      <c r="E1953">
        <v>50</v>
      </c>
      <c r="F1953">
        <v>49.843120575</v>
      </c>
      <c r="G1953">
        <v>1307.3850098</v>
      </c>
      <c r="H1953">
        <v>1294.7249756000001</v>
      </c>
      <c r="I1953">
        <v>1392.5758057</v>
      </c>
      <c r="J1953">
        <v>1372.1574707</v>
      </c>
      <c r="K1953">
        <v>0</v>
      </c>
      <c r="L1953">
        <v>2400</v>
      </c>
      <c r="M1953">
        <v>2400</v>
      </c>
      <c r="N1953">
        <v>0</v>
      </c>
    </row>
    <row r="1954" spans="1:14" x14ac:dyDescent="0.25">
      <c r="A1954">
        <v>1281.892981</v>
      </c>
      <c r="B1954" s="1">
        <f>DATE(2013,11,2) + TIME(21,25,53)</f>
        <v>41580.892974537041</v>
      </c>
      <c r="C1954">
        <v>80</v>
      </c>
      <c r="D1954">
        <v>79.531654357999997</v>
      </c>
      <c r="E1954">
        <v>50</v>
      </c>
      <c r="F1954">
        <v>49.85969162</v>
      </c>
      <c r="G1954">
        <v>1307.0711670000001</v>
      </c>
      <c r="H1954">
        <v>1294.4106445</v>
      </c>
      <c r="I1954">
        <v>1392.9121094</v>
      </c>
      <c r="J1954">
        <v>1372.5334473</v>
      </c>
      <c r="K1954">
        <v>0</v>
      </c>
      <c r="L1954">
        <v>2400</v>
      </c>
      <c r="M1954">
        <v>2400</v>
      </c>
      <c r="N1954">
        <v>0</v>
      </c>
    </row>
    <row r="1955" spans="1:14" x14ac:dyDescent="0.25">
      <c r="A1955">
        <v>1282.1037229999999</v>
      </c>
      <c r="B1955" s="1">
        <f>DATE(2013,11,3) + TIME(2,29,21)</f>
        <v>41581.103715277779</v>
      </c>
      <c r="C1955">
        <v>80</v>
      </c>
      <c r="D1955">
        <v>79.506111145000006</v>
      </c>
      <c r="E1955">
        <v>50</v>
      </c>
      <c r="F1955">
        <v>49.885417938000003</v>
      </c>
      <c r="G1955">
        <v>1306.5413818</v>
      </c>
      <c r="H1955">
        <v>1293.8796387</v>
      </c>
      <c r="I1955">
        <v>1393.4871826000001</v>
      </c>
      <c r="J1955">
        <v>1373.1693115</v>
      </c>
      <c r="K1955">
        <v>0</v>
      </c>
      <c r="L1955">
        <v>2400</v>
      </c>
      <c r="M1955">
        <v>2400</v>
      </c>
      <c r="N1955">
        <v>0</v>
      </c>
    </row>
    <row r="1956" spans="1:14" x14ac:dyDescent="0.25">
      <c r="A1956">
        <v>1282.3155790000001</v>
      </c>
      <c r="B1956" s="1">
        <f>DATE(2013,11,3) + TIME(7,34,26)</f>
        <v>41581.315578703703</v>
      </c>
      <c r="C1956">
        <v>80</v>
      </c>
      <c r="D1956">
        <v>79.480369568</v>
      </c>
      <c r="E1956">
        <v>50</v>
      </c>
      <c r="F1956">
        <v>49.905452728</v>
      </c>
      <c r="G1956">
        <v>1306.0848389</v>
      </c>
      <c r="H1956">
        <v>1293.4222411999999</v>
      </c>
      <c r="I1956">
        <v>1393.9544678</v>
      </c>
      <c r="J1956">
        <v>1373.6938477000001</v>
      </c>
      <c r="K1956">
        <v>0</v>
      </c>
      <c r="L1956">
        <v>2400</v>
      </c>
      <c r="M1956">
        <v>2400</v>
      </c>
      <c r="N1956">
        <v>0</v>
      </c>
    </row>
    <row r="1957" spans="1:14" x14ac:dyDescent="0.25">
      <c r="A1957">
        <v>1282.533461</v>
      </c>
      <c r="B1957" s="1">
        <f>DATE(2013,11,3) + TIME(12,48,11)</f>
        <v>41581.533460648148</v>
      </c>
      <c r="C1957">
        <v>80</v>
      </c>
      <c r="D1957">
        <v>79.454032897999994</v>
      </c>
      <c r="E1957">
        <v>50</v>
      </c>
      <c r="F1957">
        <v>49.921340942</v>
      </c>
      <c r="G1957">
        <v>1305.6827393000001</v>
      </c>
      <c r="H1957">
        <v>1293.0192870999999</v>
      </c>
      <c r="I1957">
        <v>1394.3527832</v>
      </c>
      <c r="J1957">
        <v>1374.1428223</v>
      </c>
      <c r="K1957">
        <v>0</v>
      </c>
      <c r="L1957">
        <v>2400</v>
      </c>
      <c r="M1957">
        <v>2400</v>
      </c>
      <c r="N1957">
        <v>0</v>
      </c>
    </row>
    <row r="1958" spans="1:14" x14ac:dyDescent="0.25">
      <c r="A1958">
        <v>1282.7591709999999</v>
      </c>
      <c r="B1958" s="1">
        <f>DATE(2013,11,3) + TIME(18,13,12)</f>
        <v>41581.759166666663</v>
      </c>
      <c r="C1958">
        <v>80</v>
      </c>
      <c r="D1958">
        <v>79.426979064999998</v>
      </c>
      <c r="E1958">
        <v>50</v>
      </c>
      <c r="F1958">
        <v>49.933929442999997</v>
      </c>
      <c r="G1958">
        <v>1305.3261719</v>
      </c>
      <c r="H1958">
        <v>1292.6618652</v>
      </c>
      <c r="I1958">
        <v>1394.6943358999999</v>
      </c>
      <c r="J1958">
        <v>1374.5296631000001</v>
      </c>
      <c r="K1958">
        <v>0</v>
      </c>
      <c r="L1958">
        <v>2400</v>
      </c>
      <c r="M1958">
        <v>2400</v>
      </c>
      <c r="N1958">
        <v>0</v>
      </c>
    </row>
    <row r="1959" spans="1:14" x14ac:dyDescent="0.25">
      <c r="A1959">
        <v>1282.994905</v>
      </c>
      <c r="B1959" s="1">
        <f>DATE(2013,11,3) + TIME(23,52,39)</f>
        <v>41581.994895833333</v>
      </c>
      <c r="C1959">
        <v>80</v>
      </c>
      <c r="D1959">
        <v>79.399024963000002</v>
      </c>
      <c r="E1959">
        <v>50</v>
      </c>
      <c r="F1959">
        <v>49.943893433</v>
      </c>
      <c r="G1959">
        <v>1305.0080565999999</v>
      </c>
      <c r="H1959">
        <v>1292.3428954999999</v>
      </c>
      <c r="I1959">
        <v>1394.987793</v>
      </c>
      <c r="J1959">
        <v>1374.8641356999999</v>
      </c>
      <c r="K1959">
        <v>0</v>
      </c>
      <c r="L1959">
        <v>2400</v>
      </c>
      <c r="M1959">
        <v>2400</v>
      </c>
      <c r="N1959">
        <v>0</v>
      </c>
    </row>
    <row r="1960" spans="1:14" x14ac:dyDescent="0.25">
      <c r="A1960">
        <v>1283.243097</v>
      </c>
      <c r="B1960" s="1">
        <f>DATE(2013,11,4) + TIME(5,50,3)</f>
        <v>41582.243090277778</v>
      </c>
      <c r="C1960">
        <v>80</v>
      </c>
      <c r="D1960">
        <v>79.369972228999998</v>
      </c>
      <c r="E1960">
        <v>50</v>
      </c>
      <c r="F1960">
        <v>49.951744079999997</v>
      </c>
      <c r="G1960">
        <v>1304.7231445</v>
      </c>
      <c r="H1960">
        <v>1292.0568848</v>
      </c>
      <c r="I1960">
        <v>1395.2397461</v>
      </c>
      <c r="J1960">
        <v>1375.1533202999999</v>
      </c>
      <c r="K1960">
        <v>0</v>
      </c>
      <c r="L1960">
        <v>2400</v>
      </c>
      <c r="M1960">
        <v>2400</v>
      </c>
      <c r="N1960">
        <v>0</v>
      </c>
    </row>
    <row r="1961" spans="1:14" x14ac:dyDescent="0.25">
      <c r="A1961">
        <v>1283.506592</v>
      </c>
      <c r="B1961" s="1">
        <f>DATE(2013,11,4) + TIME(12,9,29)</f>
        <v>41582.506585648145</v>
      </c>
      <c r="C1961">
        <v>80</v>
      </c>
      <c r="D1961">
        <v>79.339569092000005</v>
      </c>
      <c r="E1961">
        <v>50</v>
      </c>
      <c r="F1961">
        <v>49.957893372000001</v>
      </c>
      <c r="G1961">
        <v>1304.4670410000001</v>
      </c>
      <c r="H1961">
        <v>1291.7996826000001</v>
      </c>
      <c r="I1961">
        <v>1395.4547118999999</v>
      </c>
      <c r="J1961">
        <v>1375.4025879000001</v>
      </c>
      <c r="K1961">
        <v>0</v>
      </c>
      <c r="L1961">
        <v>2400</v>
      </c>
      <c r="M1961">
        <v>2400</v>
      </c>
      <c r="N1961">
        <v>0</v>
      </c>
    </row>
    <row r="1962" spans="1:14" x14ac:dyDescent="0.25">
      <c r="A1962">
        <v>1283.7887840000001</v>
      </c>
      <c r="B1962" s="1">
        <f>DATE(2013,11,4) + TIME(18,55,50)</f>
        <v>41582.788773148146</v>
      </c>
      <c r="C1962">
        <v>80</v>
      </c>
      <c r="D1962">
        <v>79.307533264</v>
      </c>
      <c r="E1962">
        <v>50</v>
      </c>
      <c r="F1962">
        <v>49.962661742999998</v>
      </c>
      <c r="G1962">
        <v>1304.2364502</v>
      </c>
      <c r="H1962">
        <v>1291.5679932</v>
      </c>
      <c r="I1962">
        <v>1395.6362305</v>
      </c>
      <c r="J1962">
        <v>1375.6160889</v>
      </c>
      <c r="K1962">
        <v>0</v>
      </c>
      <c r="L1962">
        <v>2400</v>
      </c>
      <c r="M1962">
        <v>2400</v>
      </c>
      <c r="N1962">
        <v>0</v>
      </c>
    </row>
    <row r="1963" spans="1:14" x14ac:dyDescent="0.25">
      <c r="A1963">
        <v>1284.0939499999999</v>
      </c>
      <c r="B1963" s="1">
        <f>DATE(2013,11,5) + TIME(2,15,17)</f>
        <v>41583.093946759262</v>
      </c>
      <c r="C1963">
        <v>80</v>
      </c>
      <c r="D1963">
        <v>79.273506165000001</v>
      </c>
      <c r="E1963">
        <v>50</v>
      </c>
      <c r="F1963">
        <v>49.966316223</v>
      </c>
      <c r="G1963">
        <v>1304.0286865</v>
      </c>
      <c r="H1963">
        <v>1291.3588867000001</v>
      </c>
      <c r="I1963">
        <v>1395.7869873</v>
      </c>
      <c r="J1963">
        <v>1375.7971190999999</v>
      </c>
      <c r="K1963">
        <v>0</v>
      </c>
      <c r="L1963">
        <v>2400</v>
      </c>
      <c r="M1963">
        <v>2400</v>
      </c>
      <c r="N1963">
        <v>0</v>
      </c>
    </row>
    <row r="1964" spans="1:14" x14ac:dyDescent="0.25">
      <c r="A1964">
        <v>1284.4229949999999</v>
      </c>
      <c r="B1964" s="1">
        <f>DATE(2013,11,5) + TIME(10,9,6)</f>
        <v>41583.422986111109</v>
      </c>
      <c r="C1964">
        <v>80</v>
      </c>
      <c r="D1964">
        <v>79.237388611</v>
      </c>
      <c r="E1964">
        <v>50</v>
      </c>
      <c r="F1964">
        <v>49.969051360999998</v>
      </c>
      <c r="G1964">
        <v>1303.8433838000001</v>
      </c>
      <c r="H1964">
        <v>1291.1722411999999</v>
      </c>
      <c r="I1964">
        <v>1395.9071045000001</v>
      </c>
      <c r="J1964">
        <v>1375.9459228999999</v>
      </c>
      <c r="K1964">
        <v>0</v>
      </c>
      <c r="L1964">
        <v>2400</v>
      </c>
      <c r="M1964">
        <v>2400</v>
      </c>
      <c r="N1964">
        <v>0</v>
      </c>
    </row>
    <row r="1965" spans="1:14" x14ac:dyDescent="0.25">
      <c r="A1965">
        <v>1284.778896</v>
      </c>
      <c r="B1965" s="1">
        <f>DATE(2013,11,5) + TIME(18,41,36)</f>
        <v>41583.77888888889</v>
      </c>
      <c r="C1965">
        <v>80</v>
      </c>
      <c r="D1965">
        <v>79.198928832999997</v>
      </c>
      <c r="E1965">
        <v>50</v>
      </c>
      <c r="F1965">
        <v>49.971054076999998</v>
      </c>
      <c r="G1965">
        <v>1303.6790771000001</v>
      </c>
      <c r="H1965">
        <v>1291.0064697</v>
      </c>
      <c r="I1965">
        <v>1395.9986572</v>
      </c>
      <c r="J1965">
        <v>1376.0650635</v>
      </c>
      <c r="K1965">
        <v>0</v>
      </c>
      <c r="L1965">
        <v>2400</v>
      </c>
      <c r="M1965">
        <v>2400</v>
      </c>
      <c r="N1965">
        <v>0</v>
      </c>
    </row>
    <row r="1966" spans="1:14" x14ac:dyDescent="0.25">
      <c r="A1966">
        <v>1285.167835</v>
      </c>
      <c r="B1966" s="1">
        <f>DATE(2013,11,6) + TIME(4,1,40)</f>
        <v>41584.167824074073</v>
      </c>
      <c r="C1966">
        <v>80</v>
      </c>
      <c r="D1966">
        <v>79.157653808999996</v>
      </c>
      <c r="E1966">
        <v>50</v>
      </c>
      <c r="F1966">
        <v>49.972499847000002</v>
      </c>
      <c r="G1966">
        <v>1303.5332031</v>
      </c>
      <c r="H1966">
        <v>1290.8588867000001</v>
      </c>
      <c r="I1966">
        <v>1396.0642089999999</v>
      </c>
      <c r="J1966">
        <v>1376.1572266000001</v>
      </c>
      <c r="K1966">
        <v>0</v>
      </c>
      <c r="L1966">
        <v>2400</v>
      </c>
      <c r="M1966">
        <v>2400</v>
      </c>
      <c r="N1966">
        <v>0</v>
      </c>
    </row>
    <row r="1967" spans="1:14" x14ac:dyDescent="0.25">
      <c r="A1967">
        <v>1285.59762</v>
      </c>
      <c r="B1967" s="1">
        <f>DATE(2013,11,6) + TIME(14,20,34)</f>
        <v>41584.597615740742</v>
      </c>
      <c r="C1967">
        <v>80</v>
      </c>
      <c r="D1967">
        <v>79.112968445000007</v>
      </c>
      <c r="E1967">
        <v>50</v>
      </c>
      <c r="F1967">
        <v>49.973518372000001</v>
      </c>
      <c r="G1967">
        <v>1303.4036865</v>
      </c>
      <c r="H1967">
        <v>1290.7275391000001</v>
      </c>
      <c r="I1967">
        <v>1396.1055908000001</v>
      </c>
      <c r="J1967">
        <v>1376.2246094</v>
      </c>
      <c r="K1967">
        <v>0</v>
      </c>
      <c r="L1967">
        <v>2400</v>
      </c>
      <c r="M1967">
        <v>2400</v>
      </c>
      <c r="N1967">
        <v>0</v>
      </c>
    </row>
    <row r="1968" spans="1:14" x14ac:dyDescent="0.25">
      <c r="A1968">
        <v>1286.0344319999999</v>
      </c>
      <c r="B1968" s="1">
        <f>DATE(2013,11,7) + TIME(0,49,34)</f>
        <v>41585.034421296295</v>
      </c>
      <c r="C1968">
        <v>80</v>
      </c>
      <c r="D1968">
        <v>79.066970824999999</v>
      </c>
      <c r="E1968">
        <v>50</v>
      </c>
      <c r="F1968">
        <v>49.974178314</v>
      </c>
      <c r="G1968">
        <v>1303.2961425999999</v>
      </c>
      <c r="H1968">
        <v>1290.6180420000001</v>
      </c>
      <c r="I1968">
        <v>1396.1191406</v>
      </c>
      <c r="J1968">
        <v>1376.2640381000001</v>
      </c>
      <c r="K1968">
        <v>0</v>
      </c>
      <c r="L1968">
        <v>2400</v>
      </c>
      <c r="M1968">
        <v>2400</v>
      </c>
      <c r="N1968">
        <v>0</v>
      </c>
    </row>
    <row r="1969" spans="1:14" x14ac:dyDescent="0.25">
      <c r="A1969">
        <v>1286.480039</v>
      </c>
      <c r="B1969" s="1">
        <f>DATE(2013,11,7) + TIME(11,31,15)</f>
        <v>41585.480034722219</v>
      </c>
      <c r="C1969">
        <v>80</v>
      </c>
      <c r="D1969">
        <v>79.019920349000003</v>
      </c>
      <c r="E1969">
        <v>50</v>
      </c>
      <c r="F1969">
        <v>49.974605560000001</v>
      </c>
      <c r="G1969">
        <v>1303.2060547000001</v>
      </c>
      <c r="H1969">
        <v>1290.5258789</v>
      </c>
      <c r="I1969">
        <v>1396.1156006000001</v>
      </c>
      <c r="J1969">
        <v>1376.2843018000001</v>
      </c>
      <c r="K1969">
        <v>0</v>
      </c>
      <c r="L1969">
        <v>2400</v>
      </c>
      <c r="M1969">
        <v>2400</v>
      </c>
      <c r="N1969">
        <v>0</v>
      </c>
    </row>
    <row r="1970" spans="1:14" x14ac:dyDescent="0.25">
      <c r="A1970">
        <v>1286.94021</v>
      </c>
      <c r="B1970" s="1">
        <f>DATE(2013,11,7) + TIME(22,33,54)</f>
        <v>41585.940208333333</v>
      </c>
      <c r="C1970">
        <v>80</v>
      </c>
      <c r="D1970">
        <v>78.971641540999997</v>
      </c>
      <c r="E1970">
        <v>50</v>
      </c>
      <c r="F1970">
        <v>49.974887848000002</v>
      </c>
      <c r="G1970">
        <v>1303.1291504000001</v>
      </c>
      <c r="H1970">
        <v>1290.4467772999999</v>
      </c>
      <c r="I1970">
        <v>1396.0996094</v>
      </c>
      <c r="J1970">
        <v>1376.2906493999999</v>
      </c>
      <c r="K1970">
        <v>0</v>
      </c>
      <c r="L1970">
        <v>2400</v>
      </c>
      <c r="M1970">
        <v>2400</v>
      </c>
      <c r="N1970">
        <v>0</v>
      </c>
    </row>
    <row r="1971" spans="1:14" x14ac:dyDescent="0.25">
      <c r="A1971">
        <v>1287.4207200000001</v>
      </c>
      <c r="B1971" s="1">
        <f>DATE(2013,11,8) + TIME(10,5,50)</f>
        <v>41586.420717592591</v>
      </c>
      <c r="C1971">
        <v>80</v>
      </c>
      <c r="D1971">
        <v>78.921844481999997</v>
      </c>
      <c r="E1971">
        <v>50</v>
      </c>
      <c r="F1971">
        <v>49.975074767999999</v>
      </c>
      <c r="G1971">
        <v>1303.0623779</v>
      </c>
      <c r="H1971">
        <v>1290.3775635</v>
      </c>
      <c r="I1971">
        <v>1396.0737305</v>
      </c>
      <c r="J1971">
        <v>1376.2860106999999</v>
      </c>
      <c r="K1971">
        <v>0</v>
      </c>
      <c r="L1971">
        <v>2400</v>
      </c>
      <c r="M1971">
        <v>2400</v>
      </c>
      <c r="N1971">
        <v>0</v>
      </c>
    </row>
    <row r="1972" spans="1:14" x14ac:dyDescent="0.25">
      <c r="A1972">
        <v>1287.9191249999999</v>
      </c>
      <c r="B1972" s="1">
        <f>DATE(2013,11,8) + TIME(22,3,32)</f>
        <v>41586.919120370374</v>
      </c>
      <c r="C1972">
        <v>80</v>
      </c>
      <c r="D1972">
        <v>78.870674132999994</v>
      </c>
      <c r="E1972">
        <v>50</v>
      </c>
      <c r="F1972">
        <v>49.975200653000002</v>
      </c>
      <c r="G1972">
        <v>1303.0036620999999</v>
      </c>
      <c r="H1972">
        <v>1290.3162841999999</v>
      </c>
      <c r="I1972">
        <v>1396.0397949000001</v>
      </c>
      <c r="J1972">
        <v>1376.2725829999999</v>
      </c>
      <c r="K1972">
        <v>0</v>
      </c>
      <c r="L1972">
        <v>2400</v>
      </c>
      <c r="M1972">
        <v>2400</v>
      </c>
      <c r="N1972">
        <v>0</v>
      </c>
    </row>
    <row r="1973" spans="1:14" x14ac:dyDescent="0.25">
      <c r="A1973">
        <v>1288.4373989999999</v>
      </c>
      <c r="B1973" s="1">
        <f>DATE(2013,11,9) + TIME(10,29,51)</f>
        <v>41587.437395833331</v>
      </c>
      <c r="C1973">
        <v>80</v>
      </c>
      <c r="D1973">
        <v>78.818031310999999</v>
      </c>
      <c r="E1973">
        <v>50</v>
      </c>
      <c r="F1973">
        <v>49.975284576</v>
      </c>
      <c r="G1973">
        <v>1302.9514160000001</v>
      </c>
      <c r="H1973">
        <v>1290.2611084</v>
      </c>
      <c r="I1973">
        <v>1396.0002440999999</v>
      </c>
      <c r="J1973">
        <v>1376.2525635</v>
      </c>
      <c r="K1973">
        <v>0</v>
      </c>
      <c r="L1973">
        <v>2400</v>
      </c>
      <c r="M1973">
        <v>2400</v>
      </c>
      <c r="N1973">
        <v>0</v>
      </c>
    </row>
    <row r="1974" spans="1:14" x14ac:dyDescent="0.25">
      <c r="A1974">
        <v>1288.980828</v>
      </c>
      <c r="B1974" s="1">
        <f>DATE(2013,11,9) + TIME(23,32,23)</f>
        <v>41587.980821759258</v>
      </c>
      <c r="C1974">
        <v>80</v>
      </c>
      <c r="D1974">
        <v>78.763618468999994</v>
      </c>
      <c r="E1974">
        <v>50</v>
      </c>
      <c r="F1974">
        <v>49.975341796999999</v>
      </c>
      <c r="G1974">
        <v>1302.9036865</v>
      </c>
      <c r="H1974">
        <v>1290.2104492000001</v>
      </c>
      <c r="I1974">
        <v>1395.956543</v>
      </c>
      <c r="J1974">
        <v>1376.2279053</v>
      </c>
      <c r="K1974">
        <v>0</v>
      </c>
      <c r="L1974">
        <v>2400</v>
      </c>
      <c r="M1974">
        <v>2400</v>
      </c>
      <c r="N1974">
        <v>0</v>
      </c>
    </row>
    <row r="1975" spans="1:14" x14ac:dyDescent="0.25">
      <c r="A1975">
        <v>1289.5554729999999</v>
      </c>
      <c r="B1975" s="1">
        <f>DATE(2013,11,10) + TIME(13,19,52)</f>
        <v>41588.555462962962</v>
      </c>
      <c r="C1975">
        <v>80</v>
      </c>
      <c r="D1975">
        <v>78.707023621000005</v>
      </c>
      <c r="E1975">
        <v>50</v>
      </c>
      <c r="F1975">
        <v>49.975383759000003</v>
      </c>
      <c r="G1975">
        <v>1302.8592529</v>
      </c>
      <c r="H1975">
        <v>1290.1627197</v>
      </c>
      <c r="I1975">
        <v>1395.909668</v>
      </c>
      <c r="J1975">
        <v>1376.1995850000001</v>
      </c>
      <c r="K1975">
        <v>0</v>
      </c>
      <c r="L1975">
        <v>2400</v>
      </c>
      <c r="M1975">
        <v>2400</v>
      </c>
      <c r="N1975">
        <v>0</v>
      </c>
    </row>
    <row r="1976" spans="1:14" x14ac:dyDescent="0.25">
      <c r="A1976">
        <v>1290.168555</v>
      </c>
      <c r="B1976" s="1">
        <f>DATE(2013,11,11) + TIME(4,2,43)</f>
        <v>41589.168553240743</v>
      </c>
      <c r="C1976">
        <v>80</v>
      </c>
      <c r="D1976">
        <v>78.647750853999995</v>
      </c>
      <c r="E1976">
        <v>50</v>
      </c>
      <c r="F1976">
        <v>49.975414276000002</v>
      </c>
      <c r="G1976">
        <v>1302.8168945</v>
      </c>
      <c r="H1976">
        <v>1290.1166992000001</v>
      </c>
      <c r="I1976">
        <v>1395.8601074000001</v>
      </c>
      <c r="J1976">
        <v>1376.1682129000001</v>
      </c>
      <c r="K1976">
        <v>0</v>
      </c>
      <c r="L1976">
        <v>2400</v>
      </c>
      <c r="M1976">
        <v>2400</v>
      </c>
      <c r="N1976">
        <v>0</v>
      </c>
    </row>
    <row r="1977" spans="1:14" x14ac:dyDescent="0.25">
      <c r="A1977">
        <v>1290.8294269999999</v>
      </c>
      <c r="B1977" s="1">
        <f>DATE(2013,11,11) + TIME(19,54,22)</f>
        <v>41589.829421296294</v>
      </c>
      <c r="C1977">
        <v>80</v>
      </c>
      <c r="D1977">
        <v>78.585151671999995</v>
      </c>
      <c r="E1977">
        <v>50</v>
      </c>
      <c r="F1977">
        <v>49.975437163999999</v>
      </c>
      <c r="G1977">
        <v>1302.7755127</v>
      </c>
      <c r="H1977">
        <v>1290.0711670000001</v>
      </c>
      <c r="I1977">
        <v>1395.8082274999999</v>
      </c>
      <c r="J1977">
        <v>1376.1343993999999</v>
      </c>
      <c r="K1977">
        <v>0</v>
      </c>
      <c r="L1977">
        <v>2400</v>
      </c>
      <c r="M1977">
        <v>2400</v>
      </c>
      <c r="N1977">
        <v>0</v>
      </c>
    </row>
    <row r="1978" spans="1:14" x14ac:dyDescent="0.25">
      <c r="A1978">
        <v>1291.5230859999999</v>
      </c>
      <c r="B1978" s="1">
        <f>DATE(2013,11,12) + TIME(12,33,14)</f>
        <v>41590.523078703707</v>
      </c>
      <c r="C1978">
        <v>80</v>
      </c>
      <c r="D1978">
        <v>78.519744872999993</v>
      </c>
      <c r="E1978">
        <v>50</v>
      </c>
      <c r="F1978">
        <v>49.975452423</v>
      </c>
      <c r="G1978">
        <v>1302.7346190999999</v>
      </c>
      <c r="H1978">
        <v>1290.0256348</v>
      </c>
      <c r="I1978">
        <v>1395.7542725000001</v>
      </c>
      <c r="J1978">
        <v>1376.0986327999999</v>
      </c>
      <c r="K1978">
        <v>0</v>
      </c>
      <c r="L1978">
        <v>2400</v>
      </c>
      <c r="M1978">
        <v>2400</v>
      </c>
      <c r="N1978">
        <v>0</v>
      </c>
    </row>
    <row r="1979" spans="1:14" x14ac:dyDescent="0.25">
      <c r="A1979">
        <v>1292.229071</v>
      </c>
      <c r="B1979" s="1">
        <f>DATE(2013,11,13) + TIME(5,29,51)</f>
        <v>41591.229062500002</v>
      </c>
      <c r="C1979">
        <v>80</v>
      </c>
      <c r="D1979">
        <v>78.452743530000006</v>
      </c>
      <c r="E1979">
        <v>50</v>
      </c>
      <c r="F1979">
        <v>49.975460052000003</v>
      </c>
      <c r="G1979">
        <v>1302.6944579999999</v>
      </c>
      <c r="H1979">
        <v>1289.9804687999999</v>
      </c>
      <c r="I1979">
        <v>1395.7004394999999</v>
      </c>
      <c r="J1979">
        <v>1376.0625</v>
      </c>
      <c r="K1979">
        <v>0</v>
      </c>
      <c r="L1979">
        <v>2400</v>
      </c>
      <c r="M1979">
        <v>2400</v>
      </c>
      <c r="N1979">
        <v>0</v>
      </c>
    </row>
    <row r="1980" spans="1:14" x14ac:dyDescent="0.25">
      <c r="A1980">
        <v>1292.9559429999999</v>
      </c>
      <c r="B1980" s="1">
        <f>DATE(2013,11,13) + TIME(22,56,33)</f>
        <v>41591.955937500003</v>
      </c>
      <c r="C1980">
        <v>80</v>
      </c>
      <c r="D1980">
        <v>78.384300232000001</v>
      </c>
      <c r="E1980">
        <v>50</v>
      </c>
      <c r="F1980">
        <v>49.975467682000001</v>
      </c>
      <c r="G1980">
        <v>1302.6547852000001</v>
      </c>
      <c r="H1980">
        <v>1289.9354248</v>
      </c>
      <c r="I1980">
        <v>1395.6483154</v>
      </c>
      <c r="J1980">
        <v>1376.0269774999999</v>
      </c>
      <c r="K1980">
        <v>0</v>
      </c>
      <c r="L1980">
        <v>2400</v>
      </c>
      <c r="M1980">
        <v>2400</v>
      </c>
      <c r="N1980">
        <v>0</v>
      </c>
    </row>
    <row r="1981" spans="1:14" x14ac:dyDescent="0.25">
      <c r="A1981">
        <v>1293.7123449999999</v>
      </c>
      <c r="B1981" s="1">
        <f>DATE(2013,11,14) + TIME(17,5,46)</f>
        <v>41592.712337962963</v>
      </c>
      <c r="C1981">
        <v>80</v>
      </c>
      <c r="D1981">
        <v>78.314147949000002</v>
      </c>
      <c r="E1981">
        <v>50</v>
      </c>
      <c r="F1981">
        <v>49.975475310999997</v>
      </c>
      <c r="G1981">
        <v>1302.6149902</v>
      </c>
      <c r="H1981">
        <v>1289.8896483999999</v>
      </c>
      <c r="I1981">
        <v>1395.5974120999999</v>
      </c>
      <c r="J1981">
        <v>1375.9920654</v>
      </c>
      <c r="K1981">
        <v>0</v>
      </c>
      <c r="L1981">
        <v>2400</v>
      </c>
      <c r="M1981">
        <v>2400</v>
      </c>
      <c r="N1981">
        <v>0</v>
      </c>
    </row>
    <row r="1982" spans="1:14" x14ac:dyDescent="0.25">
      <c r="A1982">
        <v>1294.503982</v>
      </c>
      <c r="B1982" s="1">
        <f>DATE(2013,11,15) + TIME(12,5,44)</f>
        <v>41593.503981481481</v>
      </c>
      <c r="C1982">
        <v>80</v>
      </c>
      <c r="D1982">
        <v>78.241958617999998</v>
      </c>
      <c r="E1982">
        <v>50</v>
      </c>
      <c r="F1982">
        <v>49.975479126000003</v>
      </c>
      <c r="G1982">
        <v>1302.5744629000001</v>
      </c>
      <c r="H1982">
        <v>1289.8424072</v>
      </c>
      <c r="I1982">
        <v>1395.5473632999999</v>
      </c>
      <c r="J1982">
        <v>1375.9575195</v>
      </c>
      <c r="K1982">
        <v>0</v>
      </c>
      <c r="L1982">
        <v>2400</v>
      </c>
      <c r="M1982">
        <v>2400</v>
      </c>
      <c r="N1982">
        <v>0</v>
      </c>
    </row>
    <row r="1983" spans="1:14" x14ac:dyDescent="0.25">
      <c r="A1983">
        <v>1295.314707</v>
      </c>
      <c r="B1983" s="1">
        <f>DATE(2013,11,16) + TIME(7,33,10)</f>
        <v>41594.314699074072</v>
      </c>
      <c r="C1983">
        <v>80</v>
      </c>
      <c r="D1983">
        <v>78.168319702000005</v>
      </c>
      <c r="E1983">
        <v>50</v>
      </c>
      <c r="F1983">
        <v>49.975482941000003</v>
      </c>
      <c r="G1983">
        <v>1302.5327147999999</v>
      </c>
      <c r="H1983">
        <v>1289.793457</v>
      </c>
      <c r="I1983">
        <v>1395.4980469</v>
      </c>
      <c r="J1983">
        <v>1375.9233397999999</v>
      </c>
      <c r="K1983">
        <v>0</v>
      </c>
      <c r="L1983">
        <v>2400</v>
      </c>
      <c r="M1983">
        <v>2400</v>
      </c>
      <c r="N1983">
        <v>0</v>
      </c>
    </row>
    <row r="1984" spans="1:14" x14ac:dyDescent="0.25">
      <c r="A1984">
        <v>1296.1524079999999</v>
      </c>
      <c r="B1984" s="1">
        <f>DATE(2013,11,17) + TIME(3,39,28)</f>
        <v>41595.152407407404</v>
      </c>
      <c r="C1984">
        <v>80</v>
      </c>
      <c r="D1984">
        <v>78.093208313000005</v>
      </c>
      <c r="E1984">
        <v>50</v>
      </c>
      <c r="F1984">
        <v>49.975482941000003</v>
      </c>
      <c r="G1984">
        <v>1302.4899902</v>
      </c>
      <c r="H1984">
        <v>1289.7427978999999</v>
      </c>
      <c r="I1984">
        <v>1395.4503173999999</v>
      </c>
      <c r="J1984">
        <v>1375.8900146000001</v>
      </c>
      <c r="K1984">
        <v>0</v>
      </c>
      <c r="L1984">
        <v>2400</v>
      </c>
      <c r="M1984">
        <v>2400</v>
      </c>
      <c r="N1984">
        <v>0</v>
      </c>
    </row>
    <row r="1985" spans="1:14" x14ac:dyDescent="0.25">
      <c r="A1985">
        <v>1297.0253090000001</v>
      </c>
      <c r="B1985" s="1">
        <f>DATE(2013,11,18) + TIME(0,36,26)</f>
        <v>41596.025300925925</v>
      </c>
      <c r="C1985">
        <v>80</v>
      </c>
      <c r="D1985">
        <v>78.016296386999997</v>
      </c>
      <c r="E1985">
        <v>50</v>
      </c>
      <c r="F1985">
        <v>49.975486754999999</v>
      </c>
      <c r="G1985">
        <v>1302.4459228999999</v>
      </c>
      <c r="H1985">
        <v>1289.6899414</v>
      </c>
      <c r="I1985">
        <v>1395.4036865</v>
      </c>
      <c r="J1985">
        <v>1375.8572998</v>
      </c>
      <c r="K1985">
        <v>0</v>
      </c>
      <c r="L1985">
        <v>2400</v>
      </c>
      <c r="M1985">
        <v>2400</v>
      </c>
      <c r="N1985">
        <v>0</v>
      </c>
    </row>
    <row r="1986" spans="1:14" x14ac:dyDescent="0.25">
      <c r="A1986">
        <v>1297.9428640000001</v>
      </c>
      <c r="B1986" s="1">
        <f>DATE(2013,11,18) + TIME(22,37,43)</f>
        <v>41596.942858796298</v>
      </c>
      <c r="C1986">
        <v>80</v>
      </c>
      <c r="D1986">
        <v>77.937042235999996</v>
      </c>
      <c r="E1986">
        <v>50</v>
      </c>
      <c r="F1986">
        <v>49.975490569999998</v>
      </c>
      <c r="G1986">
        <v>1302.3996582</v>
      </c>
      <c r="H1986">
        <v>1289.6340332</v>
      </c>
      <c r="I1986">
        <v>1395.3576660000001</v>
      </c>
      <c r="J1986">
        <v>1375.8249512</v>
      </c>
      <c r="K1986">
        <v>0</v>
      </c>
      <c r="L1986">
        <v>2400</v>
      </c>
      <c r="M1986">
        <v>2400</v>
      </c>
      <c r="N1986">
        <v>0</v>
      </c>
    </row>
    <row r="1987" spans="1:14" x14ac:dyDescent="0.25">
      <c r="A1987">
        <v>1298.909897</v>
      </c>
      <c r="B1987" s="1">
        <f>DATE(2013,11,19) + TIME(21,50,15)</f>
        <v>41597.909895833334</v>
      </c>
      <c r="C1987">
        <v>80</v>
      </c>
      <c r="D1987">
        <v>77.855026245000005</v>
      </c>
      <c r="E1987">
        <v>50</v>
      </c>
      <c r="F1987">
        <v>49.975490569999998</v>
      </c>
      <c r="G1987">
        <v>1302.3507079999999</v>
      </c>
      <c r="H1987">
        <v>1289.5744629000001</v>
      </c>
      <c r="I1987">
        <v>1395.3118896000001</v>
      </c>
      <c r="J1987">
        <v>1375.7924805</v>
      </c>
      <c r="K1987">
        <v>0</v>
      </c>
      <c r="L1987">
        <v>2400</v>
      </c>
      <c r="M1987">
        <v>2400</v>
      </c>
      <c r="N1987">
        <v>0</v>
      </c>
    </row>
    <row r="1988" spans="1:14" x14ac:dyDescent="0.25">
      <c r="A1988">
        <v>1299.905411</v>
      </c>
      <c r="B1988" s="1">
        <f>DATE(2013,11,20) + TIME(21,43,47)</f>
        <v>41598.905405092592</v>
      </c>
      <c r="C1988">
        <v>80</v>
      </c>
      <c r="D1988">
        <v>77.770828246999997</v>
      </c>
      <c r="E1988">
        <v>50</v>
      </c>
      <c r="F1988">
        <v>49.975494384999998</v>
      </c>
      <c r="G1988">
        <v>1302.2989502</v>
      </c>
      <c r="H1988">
        <v>1289.5108643000001</v>
      </c>
      <c r="I1988">
        <v>1395.2663574000001</v>
      </c>
      <c r="J1988">
        <v>1375.7600098</v>
      </c>
      <c r="K1988">
        <v>0</v>
      </c>
      <c r="L1988">
        <v>2400</v>
      </c>
      <c r="M1988">
        <v>2400</v>
      </c>
      <c r="N1988">
        <v>0</v>
      </c>
    </row>
    <row r="1989" spans="1:14" x14ac:dyDescent="0.25">
      <c r="A1989">
        <v>1300.942753</v>
      </c>
      <c r="B1989" s="1">
        <f>DATE(2013,11,21) + TIME(22,37,33)</f>
        <v>41599.942743055559</v>
      </c>
      <c r="C1989">
        <v>80</v>
      </c>
      <c r="D1989">
        <v>77.684471130000006</v>
      </c>
      <c r="E1989">
        <v>50</v>
      </c>
      <c r="F1989">
        <v>49.975498199</v>
      </c>
      <c r="G1989">
        <v>1302.244751</v>
      </c>
      <c r="H1989">
        <v>1289.4437256000001</v>
      </c>
      <c r="I1989">
        <v>1395.2218018000001</v>
      </c>
      <c r="J1989">
        <v>1375.7280272999999</v>
      </c>
      <c r="K1989">
        <v>0</v>
      </c>
      <c r="L1989">
        <v>2400</v>
      </c>
      <c r="M1989">
        <v>2400</v>
      </c>
      <c r="N1989">
        <v>0</v>
      </c>
    </row>
    <row r="1990" spans="1:14" x14ac:dyDescent="0.25">
      <c r="A1990">
        <v>1302.0153929999999</v>
      </c>
      <c r="B1990" s="1">
        <f>DATE(2013,11,23) + TIME(0,22,9)</f>
        <v>41601.015381944446</v>
      </c>
      <c r="C1990">
        <v>80</v>
      </c>
      <c r="D1990">
        <v>77.596115112000007</v>
      </c>
      <c r="E1990">
        <v>50</v>
      </c>
      <c r="F1990">
        <v>49.975502014</v>
      </c>
      <c r="G1990">
        <v>1302.1876221</v>
      </c>
      <c r="H1990">
        <v>1289.3721923999999</v>
      </c>
      <c r="I1990">
        <v>1395.1777344</v>
      </c>
      <c r="J1990">
        <v>1375.6962891000001</v>
      </c>
      <c r="K1990">
        <v>0</v>
      </c>
      <c r="L1990">
        <v>2400</v>
      </c>
      <c r="M1990">
        <v>2400</v>
      </c>
      <c r="N1990">
        <v>0</v>
      </c>
    </row>
    <row r="1991" spans="1:14" x14ac:dyDescent="0.25">
      <c r="A1991">
        <v>1303.121396</v>
      </c>
      <c r="B1991" s="1">
        <f>DATE(2013,11,24) + TIME(2,54,48)</f>
        <v>41602.121388888889</v>
      </c>
      <c r="C1991">
        <v>80</v>
      </c>
      <c r="D1991">
        <v>77.506004333000007</v>
      </c>
      <c r="E1991">
        <v>50</v>
      </c>
      <c r="F1991">
        <v>49.975505828999999</v>
      </c>
      <c r="G1991">
        <v>1302.1274414</v>
      </c>
      <c r="H1991">
        <v>1289.2963867000001</v>
      </c>
      <c r="I1991">
        <v>1395.1345214999999</v>
      </c>
      <c r="J1991">
        <v>1375.6647949000001</v>
      </c>
      <c r="K1991">
        <v>0</v>
      </c>
      <c r="L1991">
        <v>2400</v>
      </c>
      <c r="M1991">
        <v>2400</v>
      </c>
      <c r="N1991">
        <v>0</v>
      </c>
    </row>
    <row r="1992" spans="1:14" x14ac:dyDescent="0.25">
      <c r="A1992">
        <v>1304.247652</v>
      </c>
      <c r="B1992" s="1">
        <f>DATE(2013,11,25) + TIME(5,56,37)</f>
        <v>41603.247650462959</v>
      </c>
      <c r="C1992">
        <v>80</v>
      </c>
      <c r="D1992">
        <v>77.414756775000001</v>
      </c>
      <c r="E1992">
        <v>50</v>
      </c>
      <c r="F1992">
        <v>49.975509643999999</v>
      </c>
      <c r="G1992">
        <v>1302.0645752</v>
      </c>
      <c r="H1992">
        <v>1289.2165527</v>
      </c>
      <c r="I1992">
        <v>1395.0920410000001</v>
      </c>
      <c r="J1992">
        <v>1375.6337891000001</v>
      </c>
      <c r="K1992">
        <v>0</v>
      </c>
      <c r="L1992">
        <v>2400</v>
      </c>
      <c r="M1992">
        <v>2400</v>
      </c>
      <c r="N1992">
        <v>0</v>
      </c>
    </row>
    <row r="1993" spans="1:14" x14ac:dyDescent="0.25">
      <c r="A1993">
        <v>1305.395788</v>
      </c>
      <c r="B1993" s="1">
        <f>DATE(2013,11,26) + TIME(9,29,56)</f>
        <v>41604.395787037036</v>
      </c>
      <c r="C1993">
        <v>80</v>
      </c>
      <c r="D1993">
        <v>77.322784424000005</v>
      </c>
      <c r="E1993">
        <v>50</v>
      </c>
      <c r="F1993">
        <v>49.975517273000001</v>
      </c>
      <c r="G1993">
        <v>1301.9992675999999</v>
      </c>
      <c r="H1993">
        <v>1289.1328125</v>
      </c>
      <c r="I1993">
        <v>1395.0507812000001</v>
      </c>
      <c r="J1993">
        <v>1375.6033935999999</v>
      </c>
      <c r="K1993">
        <v>0</v>
      </c>
      <c r="L1993">
        <v>2400</v>
      </c>
      <c r="M1993">
        <v>2400</v>
      </c>
      <c r="N1993">
        <v>0</v>
      </c>
    </row>
    <row r="1994" spans="1:14" x14ac:dyDescent="0.25">
      <c r="A1994">
        <v>1306.5690990000001</v>
      </c>
      <c r="B1994" s="1">
        <f>DATE(2013,11,27) + TIME(13,39,30)</f>
        <v>41605.569097222222</v>
      </c>
      <c r="C1994">
        <v>80</v>
      </c>
      <c r="D1994">
        <v>77.230133057000003</v>
      </c>
      <c r="E1994">
        <v>50</v>
      </c>
      <c r="F1994">
        <v>49.975524901999997</v>
      </c>
      <c r="G1994">
        <v>1301.9313964999999</v>
      </c>
      <c r="H1994">
        <v>1289.0452881000001</v>
      </c>
      <c r="I1994">
        <v>1395.0106201000001</v>
      </c>
      <c r="J1994">
        <v>1375.5736084</v>
      </c>
      <c r="K1994">
        <v>0</v>
      </c>
      <c r="L1994">
        <v>2400</v>
      </c>
      <c r="M1994">
        <v>2400</v>
      </c>
      <c r="N1994">
        <v>0</v>
      </c>
    </row>
    <row r="1995" spans="1:14" x14ac:dyDescent="0.25">
      <c r="A1995">
        <v>1307.770657</v>
      </c>
      <c r="B1995" s="1">
        <f>DATE(2013,11,28) + TIME(18,29,44)</f>
        <v>41606.770648148151</v>
      </c>
      <c r="C1995">
        <v>80</v>
      </c>
      <c r="D1995">
        <v>77.136703491000006</v>
      </c>
      <c r="E1995">
        <v>50</v>
      </c>
      <c r="F1995">
        <v>49.975532532000003</v>
      </c>
      <c r="G1995">
        <v>1301.8608397999999</v>
      </c>
      <c r="H1995">
        <v>1288.9534911999999</v>
      </c>
      <c r="I1995">
        <v>1394.9713135</v>
      </c>
      <c r="J1995">
        <v>1375.5443115</v>
      </c>
      <c r="K1995">
        <v>0</v>
      </c>
      <c r="L1995">
        <v>2400</v>
      </c>
      <c r="M1995">
        <v>2400</v>
      </c>
      <c r="N1995">
        <v>0</v>
      </c>
    </row>
    <row r="1996" spans="1:14" x14ac:dyDescent="0.25">
      <c r="A1996">
        <v>1309.00344</v>
      </c>
      <c r="B1996" s="1">
        <f>DATE(2013,11,30) + TIME(0,4,57)</f>
        <v>41608.003437500003</v>
      </c>
      <c r="C1996">
        <v>80</v>
      </c>
      <c r="D1996">
        <v>77.042335510000001</v>
      </c>
      <c r="E1996">
        <v>50</v>
      </c>
      <c r="F1996">
        <v>49.975540160999998</v>
      </c>
      <c r="G1996">
        <v>1301.7872314000001</v>
      </c>
      <c r="H1996">
        <v>1288.8572998</v>
      </c>
      <c r="I1996">
        <v>1394.9328613</v>
      </c>
      <c r="J1996">
        <v>1375.5152588000001</v>
      </c>
      <c r="K1996">
        <v>0</v>
      </c>
      <c r="L1996">
        <v>2400</v>
      </c>
      <c r="M1996">
        <v>2400</v>
      </c>
      <c r="N1996">
        <v>0</v>
      </c>
    </row>
    <row r="1997" spans="1:14" x14ac:dyDescent="0.25">
      <c r="A1997">
        <v>1310</v>
      </c>
      <c r="B1997" s="1">
        <f>DATE(2013,12,1) + TIME(0,0,0)</f>
        <v>41609</v>
      </c>
      <c r="C1997">
        <v>80</v>
      </c>
      <c r="D1997">
        <v>76.955886840999995</v>
      </c>
      <c r="E1997">
        <v>50</v>
      </c>
      <c r="F1997">
        <v>49.975543975999997</v>
      </c>
      <c r="G1997">
        <v>1301.7133789</v>
      </c>
      <c r="H1997">
        <v>1288.7606201000001</v>
      </c>
      <c r="I1997">
        <v>1394.8955077999999</v>
      </c>
      <c r="J1997">
        <v>1375.4871826000001</v>
      </c>
      <c r="K1997">
        <v>0</v>
      </c>
      <c r="L1997">
        <v>2400</v>
      </c>
      <c r="M1997">
        <v>2400</v>
      </c>
      <c r="N1997">
        <v>0</v>
      </c>
    </row>
    <row r="1998" spans="1:14" x14ac:dyDescent="0.25">
      <c r="A1998">
        <v>1311.2668100000001</v>
      </c>
      <c r="B1998" s="1">
        <f>DATE(2013,12,2) + TIME(6,24,12)</f>
        <v>41610.266805555555</v>
      </c>
      <c r="C1998">
        <v>80</v>
      </c>
      <c r="D1998">
        <v>76.867156981999997</v>
      </c>
      <c r="E1998">
        <v>50</v>
      </c>
      <c r="F1998">
        <v>49.975559234999999</v>
      </c>
      <c r="G1998">
        <v>1301.6455077999999</v>
      </c>
      <c r="H1998">
        <v>1288.6696777</v>
      </c>
      <c r="I1998">
        <v>1394.8651123</v>
      </c>
      <c r="J1998">
        <v>1375.4638672000001</v>
      </c>
      <c r="K1998">
        <v>0</v>
      </c>
      <c r="L1998">
        <v>2400</v>
      </c>
      <c r="M1998">
        <v>2400</v>
      </c>
      <c r="N1998">
        <v>0</v>
      </c>
    </row>
    <row r="1999" spans="1:14" x14ac:dyDescent="0.25">
      <c r="A1999">
        <v>1312.572999</v>
      </c>
      <c r="B1999" s="1">
        <f>DATE(2013,12,3) + TIME(13,45,7)</f>
        <v>41611.572997685187</v>
      </c>
      <c r="C1999">
        <v>80</v>
      </c>
      <c r="D1999">
        <v>76.773574828999998</v>
      </c>
      <c r="E1999">
        <v>50</v>
      </c>
      <c r="F1999">
        <v>49.975570679</v>
      </c>
      <c r="G1999">
        <v>1301.5650635</v>
      </c>
      <c r="H1999">
        <v>1288.5628661999999</v>
      </c>
      <c r="I1999">
        <v>1394.8292236</v>
      </c>
      <c r="J1999">
        <v>1375.4362793</v>
      </c>
      <c r="K1999">
        <v>0</v>
      </c>
      <c r="L1999">
        <v>2400</v>
      </c>
      <c r="M1999">
        <v>2400</v>
      </c>
      <c r="N1999">
        <v>0</v>
      </c>
    </row>
    <row r="2000" spans="1:14" x14ac:dyDescent="0.25">
      <c r="A2000">
        <v>1313.9055519999999</v>
      </c>
      <c r="B2000" s="1">
        <f>DATE(2013,12,4) + TIME(21,43,59)</f>
        <v>41612.905543981484</v>
      </c>
      <c r="C2000">
        <v>80</v>
      </c>
      <c r="D2000">
        <v>76.677452087000006</v>
      </c>
      <c r="E2000">
        <v>50</v>
      </c>
      <c r="F2000">
        <v>49.975582123000002</v>
      </c>
      <c r="G2000">
        <v>1301.4799805</v>
      </c>
      <c r="H2000">
        <v>1288.4493408000001</v>
      </c>
      <c r="I2000">
        <v>1394.7933350000001</v>
      </c>
      <c r="J2000">
        <v>1375.4085693</v>
      </c>
      <c r="K2000">
        <v>0</v>
      </c>
      <c r="L2000">
        <v>2400</v>
      </c>
      <c r="M2000">
        <v>2400</v>
      </c>
      <c r="N2000">
        <v>0</v>
      </c>
    </row>
    <row r="2001" spans="1:14" x14ac:dyDescent="0.25">
      <c r="A2001">
        <v>1315.2682420000001</v>
      </c>
      <c r="B2001" s="1">
        <f>DATE(2013,12,6) + TIME(6,26,16)</f>
        <v>41614.268240740741</v>
      </c>
      <c r="C2001">
        <v>80</v>
      </c>
      <c r="D2001">
        <v>76.579849242999998</v>
      </c>
      <c r="E2001">
        <v>50</v>
      </c>
      <c r="F2001">
        <v>49.975597381999997</v>
      </c>
      <c r="G2001">
        <v>1301.3916016000001</v>
      </c>
      <c r="H2001">
        <v>1288.3304443</v>
      </c>
      <c r="I2001">
        <v>1394.7579346</v>
      </c>
      <c r="J2001">
        <v>1375.3811035000001</v>
      </c>
      <c r="K2001">
        <v>0</v>
      </c>
      <c r="L2001">
        <v>2400</v>
      </c>
      <c r="M2001">
        <v>2400</v>
      </c>
      <c r="N2001">
        <v>0</v>
      </c>
    </row>
    <row r="2002" spans="1:14" x14ac:dyDescent="0.25">
      <c r="A2002">
        <v>1316.66436</v>
      </c>
      <c r="B2002" s="1">
        <f>DATE(2013,12,7) + TIME(15,56,40)</f>
        <v>41615.664351851854</v>
      </c>
      <c r="C2002">
        <v>80</v>
      </c>
      <c r="D2002">
        <v>76.481048584000007</v>
      </c>
      <c r="E2002">
        <v>50</v>
      </c>
      <c r="F2002">
        <v>49.975608825999998</v>
      </c>
      <c r="G2002">
        <v>1301.2995605000001</v>
      </c>
      <c r="H2002">
        <v>1288.2061768000001</v>
      </c>
      <c r="I2002">
        <v>1394.7231445</v>
      </c>
      <c r="J2002">
        <v>1375.3538818</v>
      </c>
      <c r="K2002">
        <v>0</v>
      </c>
      <c r="L2002">
        <v>2400</v>
      </c>
      <c r="M2002">
        <v>2400</v>
      </c>
      <c r="N2002">
        <v>0</v>
      </c>
    </row>
    <row r="2003" spans="1:14" x14ac:dyDescent="0.25">
      <c r="A2003">
        <v>1318.0891240000001</v>
      </c>
      <c r="B2003" s="1">
        <f>DATE(2013,12,9) + TIME(2,8,20)</f>
        <v>41617.089120370372</v>
      </c>
      <c r="C2003">
        <v>80</v>
      </c>
      <c r="D2003">
        <v>76.381225585999999</v>
      </c>
      <c r="E2003">
        <v>50</v>
      </c>
      <c r="F2003">
        <v>49.975624084000003</v>
      </c>
      <c r="G2003">
        <v>1301.2038574000001</v>
      </c>
      <c r="H2003">
        <v>1288.0764160000001</v>
      </c>
      <c r="I2003">
        <v>1394.6888428</v>
      </c>
      <c r="J2003">
        <v>1375.3267822</v>
      </c>
      <c r="K2003">
        <v>0</v>
      </c>
      <c r="L2003">
        <v>2400</v>
      </c>
      <c r="M2003">
        <v>2400</v>
      </c>
      <c r="N2003">
        <v>0</v>
      </c>
    </row>
    <row r="2004" spans="1:14" x14ac:dyDescent="0.25">
      <c r="A2004">
        <v>1319.5415969999999</v>
      </c>
      <c r="B2004" s="1">
        <f>DATE(2013,12,10) + TIME(12,59,53)</f>
        <v>41618.541585648149</v>
      </c>
      <c r="C2004">
        <v>80</v>
      </c>
      <c r="D2004">
        <v>76.280563353999995</v>
      </c>
      <c r="E2004">
        <v>50</v>
      </c>
      <c r="F2004">
        <v>49.975639342999997</v>
      </c>
      <c r="G2004">
        <v>1301.1047363</v>
      </c>
      <c r="H2004">
        <v>1287.9411620999999</v>
      </c>
      <c r="I2004">
        <v>1394.6549072</v>
      </c>
      <c r="J2004">
        <v>1375.2999268000001</v>
      </c>
      <c r="K2004">
        <v>0</v>
      </c>
      <c r="L2004">
        <v>2400</v>
      </c>
      <c r="M2004">
        <v>2400</v>
      </c>
      <c r="N2004">
        <v>0</v>
      </c>
    </row>
    <row r="2005" spans="1:14" x14ac:dyDescent="0.25">
      <c r="A2005">
        <v>1321.025476</v>
      </c>
      <c r="B2005" s="1">
        <f>DATE(2013,12,12) + TIME(0,36,41)</f>
        <v>41620.02547453704</v>
      </c>
      <c r="C2005">
        <v>80</v>
      </c>
      <c r="D2005">
        <v>76.179077148000005</v>
      </c>
      <c r="E2005">
        <v>50</v>
      </c>
      <c r="F2005">
        <v>49.975654601999999</v>
      </c>
      <c r="G2005">
        <v>1301.0021973</v>
      </c>
      <c r="H2005">
        <v>1287.8007812000001</v>
      </c>
      <c r="I2005">
        <v>1394.621582</v>
      </c>
      <c r="J2005">
        <v>1375.2733154</v>
      </c>
      <c r="K2005">
        <v>0</v>
      </c>
      <c r="L2005">
        <v>2400</v>
      </c>
      <c r="M2005">
        <v>2400</v>
      </c>
      <c r="N2005">
        <v>0</v>
      </c>
    </row>
    <row r="2006" spans="1:14" x14ac:dyDescent="0.25">
      <c r="A2006">
        <v>1322.5435640000001</v>
      </c>
      <c r="B2006" s="1">
        <f>DATE(2013,12,13) + TIME(13,2,43)</f>
        <v>41621.543553240743</v>
      </c>
      <c r="C2006">
        <v>80</v>
      </c>
      <c r="D2006">
        <v>76.076629639000004</v>
      </c>
      <c r="E2006">
        <v>50</v>
      </c>
      <c r="F2006">
        <v>49.975673676</v>
      </c>
      <c r="G2006">
        <v>1300.895874</v>
      </c>
      <c r="H2006">
        <v>1287.6546631000001</v>
      </c>
      <c r="I2006">
        <v>1394.5887451000001</v>
      </c>
      <c r="J2006">
        <v>1375.2469481999999</v>
      </c>
      <c r="K2006">
        <v>0</v>
      </c>
      <c r="L2006">
        <v>2400</v>
      </c>
      <c r="M2006">
        <v>2400</v>
      </c>
      <c r="N2006">
        <v>0</v>
      </c>
    </row>
    <row r="2007" spans="1:14" x14ac:dyDescent="0.25">
      <c r="A2007">
        <v>1324.0921780000001</v>
      </c>
      <c r="B2007" s="1">
        <f>DATE(2013,12,15) + TIME(2,12,44)</f>
        <v>41623.092175925929</v>
      </c>
      <c r="C2007">
        <v>80</v>
      </c>
      <c r="D2007">
        <v>75.973205566000004</v>
      </c>
      <c r="E2007">
        <v>50</v>
      </c>
      <c r="F2007">
        <v>49.975692748999997</v>
      </c>
      <c r="G2007">
        <v>1300.7857666</v>
      </c>
      <c r="H2007">
        <v>1287.5028076000001</v>
      </c>
      <c r="I2007">
        <v>1394.5561522999999</v>
      </c>
      <c r="J2007">
        <v>1375.2205810999999</v>
      </c>
      <c r="K2007">
        <v>0</v>
      </c>
      <c r="L2007">
        <v>2400</v>
      </c>
      <c r="M2007">
        <v>2400</v>
      </c>
      <c r="N2007">
        <v>0</v>
      </c>
    </row>
    <row r="2008" spans="1:14" x14ac:dyDescent="0.25">
      <c r="A2008">
        <v>1325.6752180000001</v>
      </c>
      <c r="B2008" s="1">
        <f>DATE(2013,12,16) + TIME(16,12,18)</f>
        <v>41624.675208333334</v>
      </c>
      <c r="C2008">
        <v>80</v>
      </c>
      <c r="D2008">
        <v>75.868789672999995</v>
      </c>
      <c r="E2008">
        <v>50</v>
      </c>
      <c r="F2008">
        <v>49.975708007999998</v>
      </c>
      <c r="G2008">
        <v>1300.6719971</v>
      </c>
      <c r="H2008">
        <v>1287.3453368999999</v>
      </c>
      <c r="I2008">
        <v>1394.5239257999999</v>
      </c>
      <c r="J2008">
        <v>1375.1944579999999</v>
      </c>
      <c r="K2008">
        <v>0</v>
      </c>
      <c r="L2008">
        <v>2400</v>
      </c>
      <c r="M2008">
        <v>2400</v>
      </c>
      <c r="N2008">
        <v>0</v>
      </c>
    </row>
    <row r="2009" spans="1:14" x14ac:dyDescent="0.25">
      <c r="A2009">
        <v>1327.2964119999999</v>
      </c>
      <c r="B2009" s="1">
        <f>DATE(2013,12,18) + TIME(7,6,49)</f>
        <v>41626.296400462961</v>
      </c>
      <c r="C2009">
        <v>80</v>
      </c>
      <c r="D2009">
        <v>75.763214110999996</v>
      </c>
      <c r="E2009">
        <v>50</v>
      </c>
      <c r="F2009">
        <v>49.975730896000002</v>
      </c>
      <c r="G2009">
        <v>1300.5541992000001</v>
      </c>
      <c r="H2009">
        <v>1287.1817627</v>
      </c>
      <c r="I2009">
        <v>1394.4920654</v>
      </c>
      <c r="J2009">
        <v>1375.168457</v>
      </c>
      <c r="K2009">
        <v>0</v>
      </c>
      <c r="L2009">
        <v>2400</v>
      </c>
      <c r="M2009">
        <v>2400</v>
      </c>
      <c r="N2009">
        <v>0</v>
      </c>
    </row>
    <row r="2010" spans="1:14" x14ac:dyDescent="0.25">
      <c r="A2010">
        <v>1328.959533</v>
      </c>
      <c r="B2010" s="1">
        <f>DATE(2013,12,19) + TIME(23,1,43)</f>
        <v>41627.95952546296</v>
      </c>
      <c r="C2010">
        <v>80</v>
      </c>
      <c r="D2010">
        <v>75.656265258999994</v>
      </c>
      <c r="E2010">
        <v>50</v>
      </c>
      <c r="F2010">
        <v>49.975749968999999</v>
      </c>
      <c r="G2010">
        <v>1300.4321289</v>
      </c>
      <c r="H2010">
        <v>1287.0117187999999</v>
      </c>
      <c r="I2010">
        <v>1394.4604492000001</v>
      </c>
      <c r="J2010">
        <v>1375.1424560999999</v>
      </c>
      <c r="K2010">
        <v>0</v>
      </c>
      <c r="L2010">
        <v>2400</v>
      </c>
      <c r="M2010">
        <v>2400</v>
      </c>
      <c r="N2010">
        <v>0</v>
      </c>
    </row>
    <row r="2011" spans="1:14" x14ac:dyDescent="0.25">
      <c r="A2011">
        <v>1330.668457</v>
      </c>
      <c r="B2011" s="1">
        <f>DATE(2013,12,21) + TIME(16,2,34)</f>
        <v>41629.668449074074</v>
      </c>
      <c r="C2011">
        <v>80</v>
      </c>
      <c r="D2011">
        <v>75.547714232999994</v>
      </c>
      <c r="E2011">
        <v>50</v>
      </c>
      <c r="F2011">
        <v>49.975769043</v>
      </c>
      <c r="G2011">
        <v>1300.3056641000001</v>
      </c>
      <c r="H2011">
        <v>1286.8349608999999</v>
      </c>
      <c r="I2011">
        <v>1394.4290771000001</v>
      </c>
      <c r="J2011">
        <v>1375.1164550999999</v>
      </c>
      <c r="K2011">
        <v>0</v>
      </c>
      <c r="L2011">
        <v>2400</v>
      </c>
      <c r="M2011">
        <v>2400</v>
      </c>
      <c r="N2011">
        <v>0</v>
      </c>
    </row>
    <row r="2012" spans="1:14" x14ac:dyDescent="0.25">
      <c r="A2012">
        <v>1332.4272020000001</v>
      </c>
      <c r="B2012" s="1">
        <f>DATE(2013,12,23) + TIME(10,15,10)</f>
        <v>41631.427199074074</v>
      </c>
      <c r="C2012">
        <v>80</v>
      </c>
      <c r="D2012">
        <v>75.437301636000001</v>
      </c>
      <c r="E2012">
        <v>50</v>
      </c>
      <c r="F2012">
        <v>49.975791931000003</v>
      </c>
      <c r="G2012">
        <v>1300.1741943</v>
      </c>
      <c r="H2012">
        <v>1286.6508789</v>
      </c>
      <c r="I2012">
        <v>1394.3977050999999</v>
      </c>
      <c r="J2012">
        <v>1375.090332</v>
      </c>
      <c r="K2012">
        <v>0</v>
      </c>
      <c r="L2012">
        <v>2400</v>
      </c>
      <c r="M2012">
        <v>2400</v>
      </c>
      <c r="N2012">
        <v>0</v>
      </c>
    </row>
    <row r="2013" spans="1:14" x14ac:dyDescent="0.25">
      <c r="A2013">
        <v>1334.2399009999999</v>
      </c>
      <c r="B2013" s="1">
        <f>DATE(2013,12,25) + TIME(5,45,27)</f>
        <v>41633.239895833336</v>
      </c>
      <c r="C2013">
        <v>80</v>
      </c>
      <c r="D2013">
        <v>75.324798584000007</v>
      </c>
      <c r="E2013">
        <v>50</v>
      </c>
      <c r="F2013">
        <v>49.975814819</v>
      </c>
      <c r="G2013">
        <v>1300.0375977000001</v>
      </c>
      <c r="H2013">
        <v>1286.4591064000001</v>
      </c>
      <c r="I2013">
        <v>1394.3663329999999</v>
      </c>
      <c r="J2013">
        <v>1375.0642089999999</v>
      </c>
      <c r="K2013">
        <v>0</v>
      </c>
      <c r="L2013">
        <v>2400</v>
      </c>
      <c r="M2013">
        <v>2400</v>
      </c>
      <c r="N2013">
        <v>0</v>
      </c>
    </row>
    <row r="2014" spans="1:14" x14ac:dyDescent="0.25">
      <c r="A2014">
        <v>1336.111032</v>
      </c>
      <c r="B2014" s="1">
        <f>DATE(2013,12,27) + TIME(2,39,53)</f>
        <v>41635.111030092594</v>
      </c>
      <c r="C2014">
        <v>80</v>
      </c>
      <c r="D2014">
        <v>75.209930420000006</v>
      </c>
      <c r="E2014">
        <v>50</v>
      </c>
      <c r="F2014">
        <v>49.975841522000003</v>
      </c>
      <c r="G2014">
        <v>1299.8955077999999</v>
      </c>
      <c r="H2014">
        <v>1286.2591553</v>
      </c>
      <c r="I2014">
        <v>1394.3349608999999</v>
      </c>
      <c r="J2014">
        <v>1375.0378418</v>
      </c>
      <c r="K2014">
        <v>0</v>
      </c>
      <c r="L2014">
        <v>2400</v>
      </c>
      <c r="M2014">
        <v>2400</v>
      </c>
      <c r="N2014">
        <v>0</v>
      </c>
    </row>
    <row r="2015" spans="1:14" x14ac:dyDescent="0.25">
      <c r="A2015">
        <v>1338.045363</v>
      </c>
      <c r="B2015" s="1">
        <f>DATE(2013,12,29) + TIME(1,5,19)</f>
        <v>41637.045358796298</v>
      </c>
      <c r="C2015">
        <v>80</v>
      </c>
      <c r="D2015">
        <v>75.092437743999994</v>
      </c>
      <c r="E2015">
        <v>50</v>
      </c>
      <c r="F2015">
        <v>49.97586441</v>
      </c>
      <c r="G2015">
        <v>1299.7474365</v>
      </c>
      <c r="H2015">
        <v>1286.050293</v>
      </c>
      <c r="I2015">
        <v>1394.3035889</v>
      </c>
      <c r="J2015">
        <v>1375.0112305</v>
      </c>
      <c r="K2015">
        <v>0</v>
      </c>
      <c r="L2015">
        <v>2400</v>
      </c>
      <c r="M2015">
        <v>2400</v>
      </c>
      <c r="N2015">
        <v>0</v>
      </c>
    </row>
    <row r="2016" spans="1:14" x14ac:dyDescent="0.25">
      <c r="A2016">
        <v>1340.0406680000001</v>
      </c>
      <c r="B2016" s="1">
        <f>DATE(2013,12,31) + TIME(0,58,33)</f>
        <v>41639.040659722225</v>
      </c>
      <c r="C2016">
        <v>80</v>
      </c>
      <c r="D2016">
        <v>74.972175598000007</v>
      </c>
      <c r="E2016">
        <v>50</v>
      </c>
      <c r="F2016">
        <v>49.975891113000003</v>
      </c>
      <c r="G2016">
        <v>1299.5931396000001</v>
      </c>
      <c r="H2016">
        <v>1285.8321533000001</v>
      </c>
      <c r="I2016">
        <v>1394.2719727000001</v>
      </c>
      <c r="J2016">
        <v>1374.984375</v>
      </c>
      <c r="K2016">
        <v>0</v>
      </c>
      <c r="L2016">
        <v>2400</v>
      </c>
      <c r="M2016">
        <v>2400</v>
      </c>
      <c r="N2016">
        <v>0</v>
      </c>
    </row>
    <row r="2017" spans="1:14" x14ac:dyDescent="0.25">
      <c r="A2017">
        <v>1341</v>
      </c>
      <c r="B2017" s="1">
        <f>DATE(2014,1,1) + TIME(0,0,0)</f>
        <v>41640</v>
      </c>
      <c r="C2017">
        <v>80</v>
      </c>
      <c r="D2017">
        <v>74.878166199000006</v>
      </c>
      <c r="E2017">
        <v>50</v>
      </c>
      <c r="F2017">
        <v>49.975894928000002</v>
      </c>
      <c r="G2017">
        <v>1299.4477539</v>
      </c>
      <c r="H2017">
        <v>1285.6298827999999</v>
      </c>
      <c r="I2017">
        <v>1394.2425536999999</v>
      </c>
      <c r="J2017">
        <v>1374.9595947</v>
      </c>
      <c r="K2017">
        <v>0</v>
      </c>
      <c r="L2017">
        <v>2400</v>
      </c>
      <c r="M2017">
        <v>2400</v>
      </c>
      <c r="N2017">
        <v>0</v>
      </c>
    </row>
    <row r="2018" spans="1:14" x14ac:dyDescent="0.25">
      <c r="A2018">
        <v>1343.042179</v>
      </c>
      <c r="B2018" s="1">
        <f>DATE(2014,1,3) + TIME(1,0,44)</f>
        <v>41642.042175925926</v>
      </c>
      <c r="C2018">
        <v>80</v>
      </c>
      <c r="D2018">
        <v>74.780822753999999</v>
      </c>
      <c r="E2018">
        <v>50</v>
      </c>
      <c r="F2018">
        <v>49.975933075</v>
      </c>
      <c r="G2018">
        <v>1299.3468018000001</v>
      </c>
      <c r="H2018">
        <v>1285.4798584</v>
      </c>
      <c r="I2018">
        <v>1394.2247314000001</v>
      </c>
      <c r="J2018">
        <v>1374.9438477000001</v>
      </c>
      <c r="K2018">
        <v>0</v>
      </c>
      <c r="L2018">
        <v>2400</v>
      </c>
      <c r="M2018">
        <v>2400</v>
      </c>
      <c r="N2018">
        <v>0</v>
      </c>
    </row>
    <row r="2019" spans="1:14" x14ac:dyDescent="0.25">
      <c r="A2019">
        <v>1345.163806</v>
      </c>
      <c r="B2019" s="1">
        <f>DATE(2014,1,5) + TIME(3,55,52)</f>
        <v>41644.1637962963</v>
      </c>
      <c r="C2019">
        <v>80</v>
      </c>
      <c r="D2019">
        <v>74.662681579999997</v>
      </c>
      <c r="E2019">
        <v>50</v>
      </c>
      <c r="F2019">
        <v>49.975959778000004</v>
      </c>
      <c r="G2019">
        <v>1299.1860352000001</v>
      </c>
      <c r="H2019">
        <v>1285.2536620999999</v>
      </c>
      <c r="I2019">
        <v>1394.1942139</v>
      </c>
      <c r="J2019">
        <v>1374.9176024999999</v>
      </c>
      <c r="K2019">
        <v>0</v>
      </c>
      <c r="L2019">
        <v>2400</v>
      </c>
      <c r="M2019">
        <v>2400</v>
      </c>
      <c r="N2019">
        <v>0</v>
      </c>
    </row>
    <row r="2020" spans="1:14" x14ac:dyDescent="0.25">
      <c r="A2020">
        <v>1347.341608</v>
      </c>
      <c r="B2020" s="1">
        <f>DATE(2014,1,7) + TIME(8,11,54)</f>
        <v>41646.341597222221</v>
      </c>
      <c r="C2020">
        <v>80</v>
      </c>
      <c r="D2020">
        <v>74.536132812000005</v>
      </c>
      <c r="E2020">
        <v>50</v>
      </c>
      <c r="F2020">
        <v>49.975990295000003</v>
      </c>
      <c r="G2020">
        <v>1299.0136719</v>
      </c>
      <c r="H2020">
        <v>1285.0093993999999</v>
      </c>
      <c r="I2020">
        <v>1394.1627197</v>
      </c>
      <c r="J2020">
        <v>1374.8903809000001</v>
      </c>
      <c r="K2020">
        <v>0</v>
      </c>
      <c r="L2020">
        <v>2400</v>
      </c>
      <c r="M2020">
        <v>2400</v>
      </c>
      <c r="N2020">
        <v>0</v>
      </c>
    </row>
    <row r="2021" spans="1:14" x14ac:dyDescent="0.25">
      <c r="A2021">
        <v>1349.5765859999999</v>
      </c>
      <c r="B2021" s="1">
        <f>DATE(2014,1,9) + TIME(13,50,17)</f>
        <v>41648.576585648145</v>
      </c>
      <c r="C2021">
        <v>80</v>
      </c>
      <c r="D2021">
        <v>74.405303954999994</v>
      </c>
      <c r="E2021">
        <v>50</v>
      </c>
      <c r="F2021">
        <v>49.976020812999998</v>
      </c>
      <c r="G2021">
        <v>1298.8343506000001</v>
      </c>
      <c r="H2021">
        <v>1284.7541504000001</v>
      </c>
      <c r="I2021">
        <v>1394.1312256000001</v>
      </c>
      <c r="J2021">
        <v>1374.8630370999999</v>
      </c>
      <c r="K2021">
        <v>0</v>
      </c>
      <c r="L2021">
        <v>2400</v>
      </c>
      <c r="M2021">
        <v>2400</v>
      </c>
      <c r="N2021">
        <v>0</v>
      </c>
    </row>
    <row r="2022" spans="1:14" x14ac:dyDescent="0.25">
      <c r="A2022">
        <v>1351.8717830000001</v>
      </c>
      <c r="B2022" s="1">
        <f>DATE(2014,1,11) + TIME(20,55,22)</f>
        <v>41650.871782407405</v>
      </c>
      <c r="C2022">
        <v>80</v>
      </c>
      <c r="D2022">
        <v>74.271209717000005</v>
      </c>
      <c r="E2022">
        <v>50</v>
      </c>
      <c r="F2022">
        <v>49.976051331000001</v>
      </c>
      <c r="G2022">
        <v>1298.6488036999999</v>
      </c>
      <c r="H2022">
        <v>1284.4892577999999</v>
      </c>
      <c r="I2022">
        <v>1394.0997314000001</v>
      </c>
      <c r="J2022">
        <v>1374.8354492000001</v>
      </c>
      <c r="K2022">
        <v>0</v>
      </c>
      <c r="L2022">
        <v>2400</v>
      </c>
      <c r="M2022">
        <v>2400</v>
      </c>
      <c r="N2022">
        <v>0</v>
      </c>
    </row>
    <row r="2023" spans="1:14" x14ac:dyDescent="0.25">
      <c r="A2023">
        <v>1354.2225530000001</v>
      </c>
      <c r="B2023" s="1">
        <f>DATE(2014,1,14) + TIME(5,20,28)</f>
        <v>41653.222546296296</v>
      </c>
      <c r="C2023">
        <v>80</v>
      </c>
      <c r="D2023">
        <v>74.134033203000001</v>
      </c>
      <c r="E2023">
        <v>50</v>
      </c>
      <c r="F2023">
        <v>49.976081848</v>
      </c>
      <c r="G2023">
        <v>1298.4569091999999</v>
      </c>
      <c r="H2023">
        <v>1284.2152100000001</v>
      </c>
      <c r="I2023">
        <v>1394.0681152</v>
      </c>
      <c r="J2023">
        <v>1374.8077393000001</v>
      </c>
      <c r="K2023">
        <v>0</v>
      </c>
      <c r="L2023">
        <v>2400</v>
      </c>
      <c r="M2023">
        <v>2400</v>
      </c>
      <c r="N2023">
        <v>0</v>
      </c>
    </row>
    <row r="2024" spans="1:14" x14ac:dyDescent="0.25">
      <c r="A2024">
        <v>1356.6186740000001</v>
      </c>
      <c r="B2024" s="1">
        <f>DATE(2014,1,16) + TIME(14,50,53)</f>
        <v>41655.618668981479</v>
      </c>
      <c r="C2024">
        <v>80</v>
      </c>
      <c r="D2024">
        <v>73.994049071999996</v>
      </c>
      <c r="E2024">
        <v>50</v>
      </c>
      <c r="F2024">
        <v>49.976116179999998</v>
      </c>
      <c r="G2024">
        <v>1298.2592772999999</v>
      </c>
      <c r="H2024">
        <v>1283.9323730000001</v>
      </c>
      <c r="I2024">
        <v>1394.0366211</v>
      </c>
      <c r="J2024">
        <v>1374.7799072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1359.0652170000001</v>
      </c>
      <c r="B2025" s="1">
        <f>DATE(2014,1,19) + TIME(1,33,54)</f>
        <v>41658.065208333333</v>
      </c>
      <c r="C2025">
        <v>80</v>
      </c>
      <c r="D2025">
        <v>73.851486206000004</v>
      </c>
      <c r="E2025">
        <v>50</v>
      </c>
      <c r="F2025">
        <v>49.976146698000001</v>
      </c>
      <c r="G2025">
        <v>1298.0563964999999</v>
      </c>
      <c r="H2025">
        <v>1283.6418457</v>
      </c>
      <c r="I2025">
        <v>1394.005249</v>
      </c>
      <c r="J2025">
        <v>1374.7520752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1361.566971</v>
      </c>
      <c r="B2026" s="1">
        <f>DATE(2014,1,21) + TIME(13,36,26)</f>
        <v>41660.566967592589</v>
      </c>
      <c r="C2026">
        <v>80</v>
      </c>
      <c r="D2026">
        <v>73.706024170000006</v>
      </c>
      <c r="E2026">
        <v>50</v>
      </c>
      <c r="F2026">
        <v>49.976181029999999</v>
      </c>
      <c r="G2026">
        <v>1297.8482666</v>
      </c>
      <c r="H2026">
        <v>1283.3432617000001</v>
      </c>
      <c r="I2026">
        <v>1393.9738769999999</v>
      </c>
      <c r="J2026">
        <v>1374.7241211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1364.1175009999999</v>
      </c>
      <c r="B2027" s="1">
        <f>DATE(2014,1,24) + TIME(2,49,12)</f>
        <v>41663.1175</v>
      </c>
      <c r="C2027">
        <v>80</v>
      </c>
      <c r="D2027">
        <v>73.557395935000002</v>
      </c>
      <c r="E2027">
        <v>50</v>
      </c>
      <c r="F2027">
        <v>49.976219176999997</v>
      </c>
      <c r="G2027">
        <v>1297.6343993999999</v>
      </c>
      <c r="H2027">
        <v>1283.0362548999999</v>
      </c>
      <c r="I2027">
        <v>1393.9425048999999</v>
      </c>
      <c r="J2027">
        <v>1374.6959228999999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1366.7178409999999</v>
      </c>
      <c r="B2028" s="1">
        <f>DATE(2014,1,26) + TIME(17,13,41)</f>
        <v>41665.717835648145</v>
      </c>
      <c r="C2028">
        <v>80</v>
      </c>
      <c r="D2028">
        <v>73.405593871999997</v>
      </c>
      <c r="E2028">
        <v>50</v>
      </c>
      <c r="F2028">
        <v>49.976253509999999</v>
      </c>
      <c r="G2028">
        <v>1297.4152832</v>
      </c>
      <c r="H2028">
        <v>1282.7213135</v>
      </c>
      <c r="I2028">
        <v>1393.9111327999999</v>
      </c>
      <c r="J2028">
        <v>1374.6678466999999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1369.3746980000001</v>
      </c>
      <c r="B2029" s="1">
        <f>DATE(2014,1,29) + TIME(8,59,33)</f>
        <v>41668.3746875</v>
      </c>
      <c r="C2029">
        <v>80</v>
      </c>
      <c r="D2029">
        <v>73.250335692999997</v>
      </c>
      <c r="E2029">
        <v>50</v>
      </c>
      <c r="F2029">
        <v>49.976287841999998</v>
      </c>
      <c r="G2029">
        <v>1297.190918</v>
      </c>
      <c r="H2029">
        <v>1282.3983154</v>
      </c>
      <c r="I2029">
        <v>1393.8798827999999</v>
      </c>
      <c r="J2029">
        <v>1374.6395264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1372</v>
      </c>
      <c r="B2030" s="1">
        <f>DATE(2014,2,1) + TIME(0,0,0)</f>
        <v>41671</v>
      </c>
      <c r="C2030">
        <v>80</v>
      </c>
      <c r="D2030">
        <v>73.092315674000005</v>
      </c>
      <c r="E2030">
        <v>50</v>
      </c>
      <c r="F2030">
        <v>49.976325989000003</v>
      </c>
      <c r="G2030">
        <v>1296.9613036999999</v>
      </c>
      <c r="H2030">
        <v>1282.0679932</v>
      </c>
      <c r="I2030">
        <v>1393.8487548999999</v>
      </c>
      <c r="J2030">
        <v>1374.6112060999999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1374.7179269999999</v>
      </c>
      <c r="B2031" s="1">
        <f>DATE(2014,2,3) + TIME(17,13,48)</f>
        <v>41673.717916666668</v>
      </c>
      <c r="C2031">
        <v>80</v>
      </c>
      <c r="D2031">
        <v>72.932914733999993</v>
      </c>
      <c r="E2031">
        <v>50</v>
      </c>
      <c r="F2031">
        <v>49.976364136000001</v>
      </c>
      <c r="G2031">
        <v>1296.7316894999999</v>
      </c>
      <c r="H2031">
        <v>1281.7364502</v>
      </c>
      <c r="I2031">
        <v>1393.8182373</v>
      </c>
      <c r="J2031">
        <v>1374.583374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1377.57215</v>
      </c>
      <c r="B2032" s="1">
        <f>DATE(2014,2,6) + TIME(13,43,53)</f>
        <v>41676.572141203702</v>
      </c>
      <c r="C2032">
        <v>80</v>
      </c>
      <c r="D2032">
        <v>72.767570496000005</v>
      </c>
      <c r="E2032">
        <v>50</v>
      </c>
      <c r="F2032">
        <v>49.976402282999999</v>
      </c>
      <c r="G2032">
        <v>1296.4938964999999</v>
      </c>
      <c r="H2032">
        <v>1281.3931885</v>
      </c>
      <c r="I2032">
        <v>1393.7872314000001</v>
      </c>
      <c r="J2032">
        <v>1374.5550536999999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1380.503029</v>
      </c>
      <c r="B2033" s="1">
        <f>DATE(2014,2,9) + TIME(12,4,21)</f>
        <v>41679.503020833334</v>
      </c>
      <c r="C2033">
        <v>80</v>
      </c>
      <c r="D2033">
        <v>72.594108582000004</v>
      </c>
      <c r="E2033">
        <v>50</v>
      </c>
      <c r="F2033">
        <v>49.976440429999997</v>
      </c>
      <c r="G2033">
        <v>1296.2443848</v>
      </c>
      <c r="H2033">
        <v>1281.0333252</v>
      </c>
      <c r="I2033">
        <v>1393.7553711</v>
      </c>
      <c r="J2033">
        <v>1374.5258789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1383.5189009999999</v>
      </c>
      <c r="B2034" s="1">
        <f>DATE(2014,2,12) + TIME(12,27,13)</f>
        <v>41682.518900462965</v>
      </c>
      <c r="C2034">
        <v>80</v>
      </c>
      <c r="D2034">
        <v>72.413833617999998</v>
      </c>
      <c r="E2034">
        <v>50</v>
      </c>
      <c r="F2034">
        <v>49.976482390999998</v>
      </c>
      <c r="G2034">
        <v>1295.9866943</v>
      </c>
      <c r="H2034">
        <v>1280.6610106999999</v>
      </c>
      <c r="I2034">
        <v>1393.7232666</v>
      </c>
      <c r="J2034">
        <v>1374.4962158000001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1386.6254409999999</v>
      </c>
      <c r="B2035" s="1">
        <f>DATE(2014,2,15) + TIME(15,0,38)</f>
        <v>41685.625439814816</v>
      </c>
      <c r="C2035">
        <v>80</v>
      </c>
      <c r="D2035">
        <v>72.226333617999998</v>
      </c>
      <c r="E2035">
        <v>50</v>
      </c>
      <c r="F2035">
        <v>49.976524353000002</v>
      </c>
      <c r="G2035">
        <v>1295.7204589999999</v>
      </c>
      <c r="H2035">
        <v>1280.276001</v>
      </c>
      <c r="I2035">
        <v>1393.6906738</v>
      </c>
      <c r="J2035">
        <v>1374.4660644999999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1389.829933</v>
      </c>
      <c r="B2036" s="1">
        <f>DATE(2014,2,18) + TIME(19,55,6)</f>
        <v>41688.829930555556</v>
      </c>
      <c r="C2036">
        <v>80</v>
      </c>
      <c r="D2036">
        <v>72.030853270999998</v>
      </c>
      <c r="E2036">
        <v>50</v>
      </c>
      <c r="F2036">
        <v>49.976570129000002</v>
      </c>
      <c r="G2036">
        <v>1295.4453125</v>
      </c>
      <c r="H2036">
        <v>1279.8776855000001</v>
      </c>
      <c r="I2036">
        <v>1393.6577147999999</v>
      </c>
      <c r="J2036">
        <v>1374.4354248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1393.1255570000001</v>
      </c>
      <c r="B2037" s="1">
        <f>DATE(2014,2,22) + TIME(3,0,48)</f>
        <v>41692.125555555554</v>
      </c>
      <c r="C2037">
        <v>80</v>
      </c>
      <c r="D2037">
        <v>71.826622009000005</v>
      </c>
      <c r="E2037">
        <v>50</v>
      </c>
      <c r="F2037">
        <v>49.976612091</v>
      </c>
      <c r="G2037">
        <v>1295.1605225000001</v>
      </c>
      <c r="H2037">
        <v>1279.4650879000001</v>
      </c>
      <c r="I2037">
        <v>1393.6241454999999</v>
      </c>
      <c r="J2037">
        <v>1374.4041748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1396.498846</v>
      </c>
      <c r="B2038" s="1">
        <f>DATE(2014,2,25) + TIME(11,58,20)</f>
        <v>41695.498842592591</v>
      </c>
      <c r="C2038">
        <v>80</v>
      </c>
      <c r="D2038">
        <v>71.613441467000001</v>
      </c>
      <c r="E2038">
        <v>50</v>
      </c>
      <c r="F2038">
        <v>49.976657867</v>
      </c>
      <c r="G2038">
        <v>1294.8665771000001</v>
      </c>
      <c r="H2038">
        <v>1279.0386963000001</v>
      </c>
      <c r="I2038">
        <v>1393.5902100000001</v>
      </c>
      <c r="J2038">
        <v>1374.3724365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1400</v>
      </c>
      <c r="B2039" s="1">
        <f>DATE(2014,3,1) + TIME(0,0,0)</f>
        <v>41699</v>
      </c>
      <c r="C2039">
        <v>80</v>
      </c>
      <c r="D2039">
        <v>71.390823363999999</v>
      </c>
      <c r="E2039">
        <v>50</v>
      </c>
      <c r="F2039">
        <v>49.976703643999997</v>
      </c>
      <c r="G2039">
        <v>1294.5643310999999</v>
      </c>
      <c r="H2039">
        <v>1278.5994873</v>
      </c>
      <c r="I2039">
        <v>1393.5559082</v>
      </c>
      <c r="J2039">
        <v>1374.340332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1403.4581350000001</v>
      </c>
      <c r="B2040" s="1">
        <f>DATE(2014,3,4) + TIME(10,59,42)</f>
        <v>41702.458124999997</v>
      </c>
      <c r="C2040">
        <v>80</v>
      </c>
      <c r="D2040">
        <v>71.157745360999996</v>
      </c>
      <c r="E2040">
        <v>50</v>
      </c>
      <c r="F2040">
        <v>49.976749419999997</v>
      </c>
      <c r="G2040">
        <v>1294.2509766000001</v>
      </c>
      <c r="H2040">
        <v>1278.1444091999999</v>
      </c>
      <c r="I2040">
        <v>1393.5211182</v>
      </c>
      <c r="J2040">
        <v>1374.3074951000001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1407.1093880000001</v>
      </c>
      <c r="B2041" s="1">
        <f>DATE(2014,3,8) + TIME(2,37,31)</f>
        <v>41706.109386574077</v>
      </c>
      <c r="C2041">
        <v>80</v>
      </c>
      <c r="D2041">
        <v>70.918609618999994</v>
      </c>
      <c r="E2041">
        <v>50</v>
      </c>
      <c r="F2041">
        <v>49.976799010999997</v>
      </c>
      <c r="G2041">
        <v>1293.9375</v>
      </c>
      <c r="H2041">
        <v>1277.6868896000001</v>
      </c>
      <c r="I2041">
        <v>1393.4865723</v>
      </c>
      <c r="J2041">
        <v>1374.2749022999999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1410.8654790000001</v>
      </c>
      <c r="B2042" s="1">
        <f>DATE(2014,3,11) + TIME(20,46,17)</f>
        <v>41709.865474537037</v>
      </c>
      <c r="C2042">
        <v>80</v>
      </c>
      <c r="D2042">
        <v>70.663986206000004</v>
      </c>
      <c r="E2042">
        <v>50</v>
      </c>
      <c r="F2042">
        <v>49.976848601999997</v>
      </c>
      <c r="G2042">
        <v>1293.6081543</v>
      </c>
      <c r="H2042">
        <v>1277.2072754000001</v>
      </c>
      <c r="I2042">
        <v>1393.4509277</v>
      </c>
      <c r="J2042">
        <v>1374.2410889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1414.7292440000001</v>
      </c>
      <c r="B2043" s="1">
        <f>DATE(2014,3,15) + TIME(17,30,6)</f>
        <v>41713.72923611111</v>
      </c>
      <c r="C2043">
        <v>80</v>
      </c>
      <c r="D2043">
        <v>70.395126343000001</v>
      </c>
      <c r="E2043">
        <v>50</v>
      </c>
      <c r="F2043">
        <v>49.976898192999997</v>
      </c>
      <c r="G2043">
        <v>1293.2679443</v>
      </c>
      <c r="H2043">
        <v>1276.7106934000001</v>
      </c>
      <c r="I2043">
        <v>1393.4145507999999</v>
      </c>
      <c r="J2043">
        <v>1374.206543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1418.6766419999999</v>
      </c>
      <c r="B2044" s="1">
        <f>DATE(2014,3,19) + TIME(16,14,21)</f>
        <v>41717.676631944443</v>
      </c>
      <c r="C2044">
        <v>80</v>
      </c>
      <c r="D2044">
        <v>70.111991881999998</v>
      </c>
      <c r="E2044">
        <v>50</v>
      </c>
      <c r="F2044">
        <v>49.976951599000003</v>
      </c>
      <c r="G2044">
        <v>1292.9172363</v>
      </c>
      <c r="H2044">
        <v>1276.1977539</v>
      </c>
      <c r="I2044">
        <v>1393.3775635</v>
      </c>
      <c r="J2044">
        <v>1374.1713867000001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1422.7178060000001</v>
      </c>
      <c r="B2045" s="1">
        <f>DATE(2014,3,23) + TIME(17,13,38)</f>
        <v>41721.717800925922</v>
      </c>
      <c r="C2045">
        <v>80</v>
      </c>
      <c r="D2045">
        <v>69.814445496000005</v>
      </c>
      <c r="E2045">
        <v>50</v>
      </c>
      <c r="F2045">
        <v>49.977001190000003</v>
      </c>
      <c r="G2045">
        <v>1292.5577393000001</v>
      </c>
      <c r="H2045">
        <v>1275.6710204999999</v>
      </c>
      <c r="I2045">
        <v>1393.3400879000001</v>
      </c>
      <c r="J2045">
        <v>1374.1354980000001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1426.8640660000001</v>
      </c>
      <c r="B2046" s="1">
        <f>DATE(2014,3,27) + TIME(20,44,15)</f>
        <v>41725.864062499997</v>
      </c>
      <c r="C2046">
        <v>80</v>
      </c>
      <c r="D2046">
        <v>69.500862122000001</v>
      </c>
      <c r="E2046">
        <v>50</v>
      </c>
      <c r="F2046">
        <v>49.977054596000002</v>
      </c>
      <c r="G2046">
        <v>1292.1890868999999</v>
      </c>
      <c r="H2046">
        <v>1275.1298827999999</v>
      </c>
      <c r="I2046">
        <v>1393.3020019999999</v>
      </c>
      <c r="J2046">
        <v>1374.0991211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1431</v>
      </c>
      <c r="B2047" s="1">
        <f>DATE(2014,4,1) + TIME(0,0,0)</f>
        <v>41730</v>
      </c>
      <c r="C2047">
        <v>80</v>
      </c>
      <c r="D2047">
        <v>69.171539307000003</v>
      </c>
      <c r="E2047">
        <v>50</v>
      </c>
      <c r="F2047">
        <v>49.977108002000001</v>
      </c>
      <c r="G2047">
        <v>1291.8111572</v>
      </c>
      <c r="H2047">
        <v>1274.5743408000001</v>
      </c>
      <c r="I2047">
        <v>1393.2634277</v>
      </c>
      <c r="J2047">
        <v>1374.0620117000001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1435.2640919999999</v>
      </c>
      <c r="B2048" s="1">
        <f>DATE(2014,4,5) + TIME(6,20,17)</f>
        <v>41734.264085648145</v>
      </c>
      <c r="C2048">
        <v>80</v>
      </c>
      <c r="D2048">
        <v>68.830131531000006</v>
      </c>
      <c r="E2048">
        <v>50</v>
      </c>
      <c r="F2048">
        <v>49.977161406999997</v>
      </c>
      <c r="G2048">
        <v>1291.4321289</v>
      </c>
      <c r="H2048">
        <v>1274.0148925999999</v>
      </c>
      <c r="I2048">
        <v>1393.2248535000001</v>
      </c>
      <c r="J2048">
        <v>1374.0249022999999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1439.6482120000001</v>
      </c>
      <c r="B2049" s="1">
        <f>DATE(2014,4,9) + TIME(15,33,25)</f>
        <v>41738.648206018515</v>
      </c>
      <c r="C2049">
        <v>80</v>
      </c>
      <c r="D2049">
        <v>68.469528198000006</v>
      </c>
      <c r="E2049">
        <v>50</v>
      </c>
      <c r="F2049">
        <v>49.977214813000003</v>
      </c>
      <c r="G2049">
        <v>1291.0428466999999</v>
      </c>
      <c r="H2049">
        <v>1273.4398193</v>
      </c>
      <c r="I2049">
        <v>1393.1853027</v>
      </c>
      <c r="J2049">
        <v>1373.9866943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1444.0618939999999</v>
      </c>
      <c r="B2050" s="1">
        <f>DATE(2014,4,14) + TIME(1,29,7)</f>
        <v>41743.061886574076</v>
      </c>
      <c r="C2050">
        <v>80</v>
      </c>
      <c r="D2050">
        <v>68.087890625</v>
      </c>
      <c r="E2050">
        <v>50</v>
      </c>
      <c r="F2050">
        <v>49.977272034000002</v>
      </c>
      <c r="G2050">
        <v>1290.6436768000001</v>
      </c>
      <c r="H2050">
        <v>1272.8491211</v>
      </c>
      <c r="I2050">
        <v>1393.1451416</v>
      </c>
      <c r="J2050">
        <v>1373.9477539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1448.5386679999999</v>
      </c>
      <c r="B2051" s="1">
        <f>DATE(2014,4,18) + TIME(12,55,40)</f>
        <v>41747.538657407407</v>
      </c>
      <c r="C2051">
        <v>80</v>
      </c>
      <c r="D2051">
        <v>67.691291809000006</v>
      </c>
      <c r="E2051">
        <v>50</v>
      </c>
      <c r="F2051">
        <v>49.977325438999998</v>
      </c>
      <c r="G2051">
        <v>1290.2418213000001</v>
      </c>
      <c r="H2051">
        <v>1272.2521973</v>
      </c>
      <c r="I2051">
        <v>1393.1044922000001</v>
      </c>
      <c r="J2051">
        <v>1373.9084473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1453.058162</v>
      </c>
      <c r="B2052" s="1">
        <f>DATE(2014,4,23) + TIME(1,23,45)</f>
        <v>41752.058159722219</v>
      </c>
      <c r="C2052">
        <v>80</v>
      </c>
      <c r="D2052">
        <v>67.276924132999994</v>
      </c>
      <c r="E2052">
        <v>50</v>
      </c>
      <c r="F2052">
        <v>49.977382660000004</v>
      </c>
      <c r="G2052">
        <v>1289.8360596</v>
      </c>
      <c r="H2052">
        <v>1271.6481934000001</v>
      </c>
      <c r="I2052">
        <v>1393.0634766000001</v>
      </c>
      <c r="J2052">
        <v>1373.8686522999999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1457.6379810000001</v>
      </c>
      <c r="B2053" s="1">
        <f>DATE(2014,4,27) + TIME(15,18,41)</f>
        <v>41756.637974537036</v>
      </c>
      <c r="C2053">
        <v>80</v>
      </c>
      <c r="D2053">
        <v>66.848228454999997</v>
      </c>
      <c r="E2053">
        <v>50</v>
      </c>
      <c r="F2053">
        <v>49.977436066000003</v>
      </c>
      <c r="G2053">
        <v>1289.4283447</v>
      </c>
      <c r="H2053">
        <v>1271.0394286999999</v>
      </c>
      <c r="I2053">
        <v>1393.0219727000001</v>
      </c>
      <c r="J2053">
        <v>1373.8282471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1461</v>
      </c>
      <c r="B2054" s="1">
        <f>DATE(2014,5,1) + TIME(0,0,0)</f>
        <v>41760</v>
      </c>
      <c r="C2054">
        <v>80</v>
      </c>
      <c r="D2054">
        <v>66.419807434000006</v>
      </c>
      <c r="E2054">
        <v>50</v>
      </c>
      <c r="F2054">
        <v>49.977474213000001</v>
      </c>
      <c r="G2054">
        <v>1289.0250243999999</v>
      </c>
      <c r="H2054">
        <v>1270.4405518000001</v>
      </c>
      <c r="I2054">
        <v>1392.9826660000001</v>
      </c>
      <c r="J2054">
        <v>1373.7900391000001</v>
      </c>
      <c r="K2054">
        <v>0</v>
      </c>
      <c r="L2054">
        <v>2400</v>
      </c>
      <c r="M2054">
        <v>2400</v>
      </c>
      <c r="N2054">
        <v>0</v>
      </c>
    </row>
    <row r="2055" spans="1:14" x14ac:dyDescent="0.25">
      <c r="A2055">
        <v>1461.0000010000001</v>
      </c>
      <c r="B2055" s="1">
        <f>DATE(2014,5,1) + TIME(0,0,0)</f>
        <v>41760</v>
      </c>
      <c r="C2055">
        <v>80</v>
      </c>
      <c r="D2055">
        <v>66.419860839999998</v>
      </c>
      <c r="E2055">
        <v>50</v>
      </c>
      <c r="F2055">
        <v>49.977458953999999</v>
      </c>
      <c r="G2055">
        <v>1307.6665039</v>
      </c>
      <c r="H2055">
        <v>1289.0373535000001</v>
      </c>
      <c r="I2055">
        <v>1373.7801514</v>
      </c>
      <c r="J2055">
        <v>1354.6324463000001</v>
      </c>
      <c r="K2055">
        <v>2400</v>
      </c>
      <c r="L2055">
        <v>0</v>
      </c>
      <c r="M2055">
        <v>0</v>
      </c>
      <c r="N2055">
        <v>2400</v>
      </c>
    </row>
    <row r="2056" spans="1:14" x14ac:dyDescent="0.25">
      <c r="A2056">
        <v>1461.000004</v>
      </c>
      <c r="B2056" s="1">
        <f>DATE(2014,5,1) + TIME(0,0,0)</f>
        <v>41760</v>
      </c>
      <c r="C2056">
        <v>80</v>
      </c>
      <c r="D2056">
        <v>66.420013428000004</v>
      </c>
      <c r="E2056">
        <v>50</v>
      </c>
      <c r="F2056">
        <v>49.977413177000003</v>
      </c>
      <c r="G2056">
        <v>1307.6976318</v>
      </c>
      <c r="H2056">
        <v>1289.0740966999999</v>
      </c>
      <c r="I2056">
        <v>1373.7507324000001</v>
      </c>
      <c r="J2056">
        <v>1354.6030272999999</v>
      </c>
      <c r="K2056">
        <v>2400</v>
      </c>
      <c r="L2056">
        <v>0</v>
      </c>
      <c r="M2056">
        <v>0</v>
      </c>
      <c r="N2056">
        <v>2400</v>
      </c>
    </row>
    <row r="2057" spans="1:14" x14ac:dyDescent="0.25">
      <c r="A2057">
        <v>1461.0000130000001</v>
      </c>
      <c r="B2057" s="1">
        <f>DATE(2014,5,1) + TIME(0,0,1)</f>
        <v>41760.000011574077</v>
      </c>
      <c r="C2057">
        <v>80</v>
      </c>
      <c r="D2057">
        <v>66.420471191000004</v>
      </c>
      <c r="E2057">
        <v>50</v>
      </c>
      <c r="F2057">
        <v>49.977272034000002</v>
      </c>
      <c r="G2057">
        <v>1307.7904053</v>
      </c>
      <c r="H2057">
        <v>1289.1837158000001</v>
      </c>
      <c r="I2057">
        <v>1373.6628418</v>
      </c>
      <c r="J2057">
        <v>1354.5150146000001</v>
      </c>
      <c r="K2057">
        <v>2400</v>
      </c>
      <c r="L2057">
        <v>0</v>
      </c>
      <c r="M2057">
        <v>0</v>
      </c>
      <c r="N2057">
        <v>2400</v>
      </c>
    </row>
    <row r="2058" spans="1:14" x14ac:dyDescent="0.25">
      <c r="A2058">
        <v>1461.0000399999999</v>
      </c>
      <c r="B2058" s="1">
        <f>DATE(2014,5,1) + TIME(0,0,3)</f>
        <v>41760.000034722223</v>
      </c>
      <c r="C2058">
        <v>80</v>
      </c>
      <c r="D2058">
        <v>66.421836853000002</v>
      </c>
      <c r="E2058">
        <v>50</v>
      </c>
      <c r="F2058">
        <v>49.976860045999999</v>
      </c>
      <c r="G2058">
        <v>1308.0646973</v>
      </c>
      <c r="H2058">
        <v>1289.5070800999999</v>
      </c>
      <c r="I2058">
        <v>1373.4023437999999</v>
      </c>
      <c r="J2058">
        <v>1354.2542725000001</v>
      </c>
      <c r="K2058">
        <v>2400</v>
      </c>
      <c r="L2058">
        <v>0</v>
      </c>
      <c r="M2058">
        <v>0</v>
      </c>
      <c r="N2058">
        <v>2400</v>
      </c>
    </row>
    <row r="2059" spans="1:14" x14ac:dyDescent="0.25">
      <c r="A2059">
        <v>1461.000121</v>
      </c>
      <c r="B2059" s="1">
        <f>DATE(2014,5,1) + TIME(0,0,10)</f>
        <v>41760.000115740739</v>
      </c>
      <c r="C2059">
        <v>80</v>
      </c>
      <c r="D2059">
        <v>66.425788878999995</v>
      </c>
      <c r="E2059">
        <v>50</v>
      </c>
      <c r="F2059">
        <v>49.975666046000001</v>
      </c>
      <c r="G2059">
        <v>1308.8536377</v>
      </c>
      <c r="H2059">
        <v>1290.4311522999999</v>
      </c>
      <c r="I2059">
        <v>1372.6491699000001</v>
      </c>
      <c r="J2059">
        <v>1353.5006103999999</v>
      </c>
      <c r="K2059">
        <v>2400</v>
      </c>
      <c r="L2059">
        <v>0</v>
      </c>
      <c r="M2059">
        <v>0</v>
      </c>
      <c r="N2059">
        <v>2400</v>
      </c>
    </row>
    <row r="2060" spans="1:14" x14ac:dyDescent="0.25">
      <c r="A2060">
        <v>1461.000364</v>
      </c>
      <c r="B2060" s="1">
        <f>DATE(2014,5,1) + TIME(0,0,31)</f>
        <v>41760.000358796293</v>
      </c>
      <c r="C2060">
        <v>80</v>
      </c>
      <c r="D2060">
        <v>66.436752318999993</v>
      </c>
      <c r="E2060">
        <v>50</v>
      </c>
      <c r="F2060">
        <v>49.972434997999997</v>
      </c>
      <c r="G2060">
        <v>1310.9598389</v>
      </c>
      <c r="H2060">
        <v>1292.8522949000001</v>
      </c>
      <c r="I2060">
        <v>1370.6115723</v>
      </c>
      <c r="J2060">
        <v>1351.4614257999999</v>
      </c>
      <c r="K2060">
        <v>2400</v>
      </c>
      <c r="L2060">
        <v>0</v>
      </c>
      <c r="M2060">
        <v>0</v>
      </c>
      <c r="N2060">
        <v>2400</v>
      </c>
    </row>
    <row r="2061" spans="1:14" x14ac:dyDescent="0.25">
      <c r="A2061">
        <v>1461.0010930000001</v>
      </c>
      <c r="B2061" s="1">
        <f>DATE(2014,5,1) + TIME(0,1,34)</f>
        <v>41760.001087962963</v>
      </c>
      <c r="C2061">
        <v>80</v>
      </c>
      <c r="D2061">
        <v>66.464393615999995</v>
      </c>
      <c r="E2061">
        <v>50</v>
      </c>
      <c r="F2061">
        <v>49.964962006</v>
      </c>
      <c r="G2061">
        <v>1315.7165527</v>
      </c>
      <c r="H2061">
        <v>1298.0872803</v>
      </c>
      <c r="I2061">
        <v>1365.9002685999999</v>
      </c>
      <c r="J2061">
        <v>1346.7473144999999</v>
      </c>
      <c r="K2061">
        <v>2400</v>
      </c>
      <c r="L2061">
        <v>0</v>
      </c>
      <c r="M2061">
        <v>0</v>
      </c>
      <c r="N2061">
        <v>2400</v>
      </c>
    </row>
    <row r="2062" spans="1:14" x14ac:dyDescent="0.25">
      <c r="A2062">
        <v>1461.0032799999999</v>
      </c>
      <c r="B2062" s="1">
        <f>DATE(2014,5,1) + TIME(0,4,43)</f>
        <v>41760.003275462965</v>
      </c>
      <c r="C2062">
        <v>80</v>
      </c>
      <c r="D2062">
        <v>66.528678893999995</v>
      </c>
      <c r="E2062">
        <v>50</v>
      </c>
      <c r="F2062">
        <v>49.951843261999997</v>
      </c>
      <c r="G2062">
        <v>1323.815918</v>
      </c>
      <c r="H2062">
        <v>1306.4517822</v>
      </c>
      <c r="I2062">
        <v>1357.6673584</v>
      </c>
      <c r="J2062">
        <v>1338.5107422000001</v>
      </c>
      <c r="K2062">
        <v>2400</v>
      </c>
      <c r="L2062">
        <v>0</v>
      </c>
      <c r="M2062">
        <v>0</v>
      </c>
      <c r="N2062">
        <v>2400</v>
      </c>
    </row>
    <row r="2063" spans="1:14" x14ac:dyDescent="0.25">
      <c r="A2063">
        <v>1461.0098410000001</v>
      </c>
      <c r="B2063" s="1">
        <f>DATE(2014,5,1) + TIME(0,14,10)</f>
        <v>41760.009837962964</v>
      </c>
      <c r="C2063">
        <v>80</v>
      </c>
      <c r="D2063">
        <v>66.683685303000004</v>
      </c>
      <c r="E2063">
        <v>50</v>
      </c>
      <c r="F2063">
        <v>49.934951781999999</v>
      </c>
      <c r="G2063">
        <v>1333.9403076000001</v>
      </c>
      <c r="H2063">
        <v>1316.4438477000001</v>
      </c>
      <c r="I2063">
        <v>1347.2182617000001</v>
      </c>
      <c r="J2063">
        <v>1328.0585937999999</v>
      </c>
      <c r="K2063">
        <v>2400</v>
      </c>
      <c r="L2063">
        <v>0</v>
      </c>
      <c r="M2063">
        <v>0</v>
      </c>
      <c r="N2063">
        <v>2400</v>
      </c>
    </row>
    <row r="2064" spans="1:14" x14ac:dyDescent="0.25">
      <c r="A2064">
        <v>1461.029524</v>
      </c>
      <c r="B2064" s="1">
        <f>DATE(2014,5,1) + TIME(0,42,30)</f>
        <v>41760.029513888891</v>
      </c>
      <c r="C2064">
        <v>80</v>
      </c>
      <c r="D2064">
        <v>67.094207764000004</v>
      </c>
      <c r="E2064">
        <v>50</v>
      </c>
      <c r="F2064">
        <v>49.916610718000001</v>
      </c>
      <c r="G2064">
        <v>1344.4320068</v>
      </c>
      <c r="H2064">
        <v>1326.7178954999999</v>
      </c>
      <c r="I2064">
        <v>1336.2847899999999</v>
      </c>
      <c r="J2064">
        <v>1317.1220702999999</v>
      </c>
      <c r="K2064">
        <v>2400</v>
      </c>
      <c r="L2064">
        <v>0</v>
      </c>
      <c r="M2064">
        <v>0</v>
      </c>
      <c r="N2064">
        <v>2400</v>
      </c>
    </row>
    <row r="2065" spans="1:14" x14ac:dyDescent="0.25">
      <c r="A2065">
        <v>1461.0541410000001</v>
      </c>
      <c r="B2065" s="1">
        <f>DATE(2014,5,1) + TIME(1,17,57)</f>
        <v>41760.054131944446</v>
      </c>
      <c r="C2065">
        <v>80</v>
      </c>
      <c r="D2065">
        <v>67.577560425000001</v>
      </c>
      <c r="E2065">
        <v>50</v>
      </c>
      <c r="F2065">
        <v>49.904716491999999</v>
      </c>
      <c r="G2065">
        <v>1350.7327881000001</v>
      </c>
      <c r="H2065">
        <v>1332.9362793</v>
      </c>
      <c r="I2065">
        <v>1329.6640625</v>
      </c>
      <c r="J2065">
        <v>1310.4987793</v>
      </c>
      <c r="K2065">
        <v>2400</v>
      </c>
      <c r="L2065">
        <v>0</v>
      </c>
      <c r="M2065">
        <v>0</v>
      </c>
      <c r="N2065">
        <v>2400</v>
      </c>
    </row>
    <row r="2066" spans="1:14" x14ac:dyDescent="0.25">
      <c r="A2066">
        <v>1461.0799030000001</v>
      </c>
      <c r="B2066" s="1">
        <f>DATE(2014,5,1) + TIME(1,55,3)</f>
        <v>41760.079895833333</v>
      </c>
      <c r="C2066">
        <v>80</v>
      </c>
      <c r="D2066">
        <v>68.060974121000001</v>
      </c>
      <c r="E2066">
        <v>50</v>
      </c>
      <c r="F2066">
        <v>49.896343231000003</v>
      </c>
      <c r="G2066">
        <v>1354.7836914</v>
      </c>
      <c r="H2066">
        <v>1336.9869385</v>
      </c>
      <c r="I2066">
        <v>1325.3724365</v>
      </c>
      <c r="J2066">
        <v>1306.2049560999999</v>
      </c>
      <c r="K2066">
        <v>2400</v>
      </c>
      <c r="L2066">
        <v>0</v>
      </c>
      <c r="M2066">
        <v>0</v>
      </c>
      <c r="N2066">
        <v>2400</v>
      </c>
    </row>
    <row r="2067" spans="1:14" x14ac:dyDescent="0.25">
      <c r="A2067">
        <v>1461.1065229999999</v>
      </c>
      <c r="B2067" s="1">
        <f>DATE(2014,5,1) + TIME(2,33,23)</f>
        <v>41760.106516203705</v>
      </c>
      <c r="C2067">
        <v>80</v>
      </c>
      <c r="D2067">
        <v>68.539543151999993</v>
      </c>
      <c r="E2067">
        <v>50</v>
      </c>
      <c r="F2067">
        <v>49.889690399000003</v>
      </c>
      <c r="G2067">
        <v>1357.7224120999999</v>
      </c>
      <c r="H2067">
        <v>1339.9715576000001</v>
      </c>
      <c r="I2067">
        <v>1322.2307129000001</v>
      </c>
      <c r="J2067">
        <v>1303.0611572</v>
      </c>
      <c r="K2067">
        <v>2400</v>
      </c>
      <c r="L2067">
        <v>0</v>
      </c>
      <c r="M2067">
        <v>0</v>
      </c>
      <c r="N2067">
        <v>2400</v>
      </c>
    </row>
    <row r="2068" spans="1:14" x14ac:dyDescent="0.25">
      <c r="A2068">
        <v>1461.1338699999999</v>
      </c>
      <c r="B2068" s="1">
        <f>DATE(2014,5,1) + TIME(3,12,46)</f>
        <v>41760.13386574074</v>
      </c>
      <c r="C2068">
        <v>80</v>
      </c>
      <c r="D2068">
        <v>69.010528563999998</v>
      </c>
      <c r="E2068">
        <v>50</v>
      </c>
      <c r="F2068">
        <v>49.884010314999998</v>
      </c>
      <c r="G2068">
        <v>1360.0167236</v>
      </c>
      <c r="H2068">
        <v>1342.3377685999999</v>
      </c>
      <c r="I2068">
        <v>1319.7551269999999</v>
      </c>
      <c r="J2068">
        <v>1300.5834961</v>
      </c>
      <c r="K2068">
        <v>2400</v>
      </c>
      <c r="L2068">
        <v>0</v>
      </c>
      <c r="M2068">
        <v>0</v>
      </c>
      <c r="N2068">
        <v>2400</v>
      </c>
    </row>
    <row r="2069" spans="1:14" x14ac:dyDescent="0.25">
      <c r="A2069">
        <v>1461.161883</v>
      </c>
      <c r="B2069" s="1">
        <f>DATE(2014,5,1) + TIME(3,53,6)</f>
        <v>41760.161874999998</v>
      </c>
      <c r="C2069">
        <v>80</v>
      </c>
      <c r="D2069">
        <v>69.472335814999994</v>
      </c>
      <c r="E2069">
        <v>50</v>
      </c>
      <c r="F2069">
        <v>49.878948211999997</v>
      </c>
      <c r="G2069">
        <v>1361.8952637</v>
      </c>
      <c r="H2069">
        <v>1344.3028564000001</v>
      </c>
      <c r="I2069">
        <v>1317.7081298999999</v>
      </c>
      <c r="J2069">
        <v>1298.5344238</v>
      </c>
      <c r="K2069">
        <v>2400</v>
      </c>
      <c r="L2069">
        <v>0</v>
      </c>
      <c r="M2069">
        <v>0</v>
      </c>
      <c r="N2069">
        <v>2400</v>
      </c>
    </row>
    <row r="2070" spans="1:14" x14ac:dyDescent="0.25">
      <c r="A2070">
        <v>1461.190529</v>
      </c>
      <c r="B2070" s="1">
        <f>DATE(2014,5,1) + TIME(4,34,21)</f>
        <v>41760.190520833334</v>
      </c>
      <c r="C2070">
        <v>80</v>
      </c>
      <c r="D2070">
        <v>69.923942565999994</v>
      </c>
      <c r="E2070">
        <v>50</v>
      </c>
      <c r="F2070">
        <v>49.874298095999997</v>
      </c>
      <c r="G2070">
        <v>1363.484375</v>
      </c>
      <c r="H2070">
        <v>1345.9869385</v>
      </c>
      <c r="I2070">
        <v>1315.9580077999999</v>
      </c>
      <c r="J2070">
        <v>1296.7824707</v>
      </c>
      <c r="K2070">
        <v>2400</v>
      </c>
      <c r="L2070">
        <v>0</v>
      </c>
      <c r="M2070">
        <v>0</v>
      </c>
      <c r="N2070">
        <v>2400</v>
      </c>
    </row>
    <row r="2071" spans="1:14" x14ac:dyDescent="0.25">
      <c r="A2071">
        <v>1461.2198000000001</v>
      </c>
      <c r="B2071" s="1">
        <f>DATE(2014,5,1) + TIME(5,16,30)</f>
        <v>41760.21979166667</v>
      </c>
      <c r="C2071">
        <v>80</v>
      </c>
      <c r="D2071">
        <v>70.364601135000001</v>
      </c>
      <c r="E2071">
        <v>50</v>
      </c>
      <c r="F2071">
        <v>49.869937897</v>
      </c>
      <c r="G2071">
        <v>1364.8613281</v>
      </c>
      <c r="H2071">
        <v>1347.4628906</v>
      </c>
      <c r="I2071">
        <v>1314.4248047000001</v>
      </c>
      <c r="J2071">
        <v>1295.2474365</v>
      </c>
      <c r="K2071">
        <v>2400</v>
      </c>
      <c r="L2071">
        <v>0</v>
      </c>
      <c r="M2071">
        <v>0</v>
      </c>
      <c r="N2071">
        <v>2400</v>
      </c>
    </row>
    <row r="2072" spans="1:14" x14ac:dyDescent="0.25">
      <c r="A2072">
        <v>1461.2497049999999</v>
      </c>
      <c r="B2072" s="1">
        <f>DATE(2014,5,1) + TIME(5,59,34)</f>
        <v>41760.249699074076</v>
      </c>
      <c r="C2072">
        <v>80</v>
      </c>
      <c r="D2072">
        <v>70.794250488000003</v>
      </c>
      <c r="E2072">
        <v>50</v>
      </c>
      <c r="F2072">
        <v>49.865795134999999</v>
      </c>
      <c r="G2072">
        <v>1366.0760498</v>
      </c>
      <c r="H2072">
        <v>1348.7781981999999</v>
      </c>
      <c r="I2072">
        <v>1313.0565185999999</v>
      </c>
      <c r="J2072">
        <v>1293.8776855000001</v>
      </c>
      <c r="K2072">
        <v>2400</v>
      </c>
      <c r="L2072">
        <v>0</v>
      </c>
      <c r="M2072">
        <v>0</v>
      </c>
      <c r="N2072">
        <v>2400</v>
      </c>
    </row>
    <row r="2073" spans="1:14" x14ac:dyDescent="0.25">
      <c r="A2073">
        <v>1461.2802139999999</v>
      </c>
      <c r="B2073" s="1">
        <f>DATE(2014,5,1) + TIME(6,43,30)</f>
        <v>41760.28020833333</v>
      </c>
      <c r="C2073">
        <v>80</v>
      </c>
      <c r="D2073">
        <v>71.212265015</v>
      </c>
      <c r="E2073">
        <v>50</v>
      </c>
      <c r="F2073">
        <v>49.861808777</v>
      </c>
      <c r="G2073">
        <v>1367.1612548999999</v>
      </c>
      <c r="H2073">
        <v>1349.9639893000001</v>
      </c>
      <c r="I2073">
        <v>1311.8199463000001</v>
      </c>
      <c r="J2073">
        <v>1292.6396483999999</v>
      </c>
      <c r="K2073">
        <v>2400</v>
      </c>
      <c r="L2073">
        <v>0</v>
      </c>
      <c r="M2073">
        <v>0</v>
      </c>
      <c r="N2073">
        <v>2400</v>
      </c>
    </row>
    <row r="2074" spans="1:14" x14ac:dyDescent="0.25">
      <c r="A2074">
        <v>1461.3113249999999</v>
      </c>
      <c r="B2074" s="1">
        <f>DATE(2014,5,1) + TIME(7,28,18)</f>
        <v>41760.311319444445</v>
      </c>
      <c r="C2074">
        <v>80</v>
      </c>
      <c r="D2074">
        <v>71.618385314999998</v>
      </c>
      <c r="E2074">
        <v>50</v>
      </c>
      <c r="F2074">
        <v>49.857952118</v>
      </c>
      <c r="G2074">
        <v>1368.1409911999999</v>
      </c>
      <c r="H2074">
        <v>1351.0432129000001</v>
      </c>
      <c r="I2074">
        <v>1310.6906738</v>
      </c>
      <c r="J2074">
        <v>1291.5090332</v>
      </c>
      <c r="K2074">
        <v>2400</v>
      </c>
      <c r="L2074">
        <v>0</v>
      </c>
      <c r="M2074">
        <v>0</v>
      </c>
      <c r="N2074">
        <v>2400</v>
      </c>
    </row>
    <row r="2075" spans="1:14" x14ac:dyDescent="0.25">
      <c r="A2075">
        <v>1461.343057</v>
      </c>
      <c r="B2075" s="1">
        <f>DATE(2014,5,1) + TIME(8,14,0)</f>
        <v>41760.343055555553</v>
      </c>
      <c r="C2075">
        <v>80</v>
      </c>
      <c r="D2075">
        <v>72.012687682999996</v>
      </c>
      <c r="E2075">
        <v>50</v>
      </c>
      <c r="F2075">
        <v>49.854187011999997</v>
      </c>
      <c r="G2075">
        <v>1369.0334473</v>
      </c>
      <c r="H2075">
        <v>1352.0335693</v>
      </c>
      <c r="I2075">
        <v>1309.6501464999999</v>
      </c>
      <c r="J2075">
        <v>1290.4672852000001</v>
      </c>
      <c r="K2075">
        <v>2400</v>
      </c>
      <c r="L2075">
        <v>0</v>
      </c>
      <c r="M2075">
        <v>0</v>
      </c>
      <c r="N2075">
        <v>2400</v>
      </c>
    </row>
    <row r="2076" spans="1:14" x14ac:dyDescent="0.25">
      <c r="A2076">
        <v>1461.375434</v>
      </c>
      <c r="B2076" s="1">
        <f>DATE(2014,5,1) + TIME(9,0,37)</f>
        <v>41760.375428240739</v>
      </c>
      <c r="C2076">
        <v>80</v>
      </c>
      <c r="D2076">
        <v>72.395317078000005</v>
      </c>
      <c r="E2076">
        <v>50</v>
      </c>
      <c r="F2076">
        <v>49.850498199</v>
      </c>
      <c r="G2076">
        <v>1369.8524170000001</v>
      </c>
      <c r="H2076">
        <v>1352.9484863</v>
      </c>
      <c r="I2076">
        <v>1308.6844481999999</v>
      </c>
      <c r="J2076">
        <v>1289.5004882999999</v>
      </c>
      <c r="K2076">
        <v>2400</v>
      </c>
      <c r="L2076">
        <v>0</v>
      </c>
      <c r="M2076">
        <v>0</v>
      </c>
      <c r="N2076">
        <v>2400</v>
      </c>
    </row>
    <row r="2077" spans="1:14" x14ac:dyDescent="0.25">
      <c r="A2077">
        <v>1461.4084809999999</v>
      </c>
      <c r="B2077" s="1">
        <f>DATE(2014,5,1) + TIME(9,48,12)</f>
        <v>41760.408472222225</v>
      </c>
      <c r="C2077">
        <v>80</v>
      </c>
      <c r="D2077">
        <v>72.766365050999994</v>
      </c>
      <c r="E2077">
        <v>50</v>
      </c>
      <c r="F2077">
        <v>49.846862793</v>
      </c>
      <c r="G2077">
        <v>1370.6086425999999</v>
      </c>
      <c r="H2077">
        <v>1353.7982178</v>
      </c>
      <c r="I2077">
        <v>1307.7829589999999</v>
      </c>
      <c r="J2077">
        <v>1288.5980225000001</v>
      </c>
      <c r="K2077">
        <v>2400</v>
      </c>
      <c r="L2077">
        <v>0</v>
      </c>
      <c r="M2077">
        <v>0</v>
      </c>
      <c r="N2077">
        <v>2400</v>
      </c>
    </row>
    <row r="2078" spans="1:14" x14ac:dyDescent="0.25">
      <c r="A2078">
        <v>1461.4422300000001</v>
      </c>
      <c r="B2078" s="1">
        <f>DATE(2014,5,1) + TIME(10,36,48)</f>
        <v>41760.44222222222</v>
      </c>
      <c r="C2078">
        <v>80</v>
      </c>
      <c r="D2078">
        <v>73.126022339000002</v>
      </c>
      <c r="E2078">
        <v>50</v>
      </c>
      <c r="F2078">
        <v>49.843269348</v>
      </c>
      <c r="G2078">
        <v>1371.3105469</v>
      </c>
      <c r="H2078">
        <v>1354.5915527</v>
      </c>
      <c r="I2078">
        <v>1306.9371338000001</v>
      </c>
      <c r="J2078">
        <v>1287.7513428</v>
      </c>
      <c r="K2078">
        <v>2400</v>
      </c>
      <c r="L2078">
        <v>0</v>
      </c>
      <c r="M2078">
        <v>0</v>
      </c>
      <c r="N2078">
        <v>2400</v>
      </c>
    </row>
    <row r="2079" spans="1:14" x14ac:dyDescent="0.25">
      <c r="A2079">
        <v>1461.476719</v>
      </c>
      <c r="B2079" s="1">
        <f>DATE(2014,5,1) + TIME(11,26,28)</f>
        <v>41760.476712962962</v>
      </c>
      <c r="C2079">
        <v>80</v>
      </c>
      <c r="D2079">
        <v>73.474494934000006</v>
      </c>
      <c r="E2079">
        <v>50</v>
      </c>
      <c r="F2079">
        <v>49.839702606000003</v>
      </c>
      <c r="G2079">
        <v>1371.9654541</v>
      </c>
      <c r="H2079">
        <v>1355.3352050999999</v>
      </c>
      <c r="I2079">
        <v>1306.1400146000001</v>
      </c>
      <c r="J2079">
        <v>1286.9534911999999</v>
      </c>
      <c r="K2079">
        <v>2400</v>
      </c>
      <c r="L2079">
        <v>0</v>
      </c>
      <c r="M2079">
        <v>0</v>
      </c>
      <c r="N2079">
        <v>2400</v>
      </c>
    </row>
    <row r="2080" spans="1:14" x14ac:dyDescent="0.25">
      <c r="A2080">
        <v>1461.5119870000001</v>
      </c>
      <c r="B2080" s="1">
        <f>DATE(2014,5,1) + TIME(12,17,15)</f>
        <v>41760.511979166666</v>
      </c>
      <c r="C2080">
        <v>80</v>
      </c>
      <c r="D2080">
        <v>73.811981200999995</v>
      </c>
      <c r="E2080">
        <v>50</v>
      </c>
      <c r="F2080">
        <v>49.836151123</v>
      </c>
      <c r="G2080">
        <v>1372.5787353999999</v>
      </c>
      <c r="H2080">
        <v>1356.0350341999999</v>
      </c>
      <c r="I2080">
        <v>1305.3858643000001</v>
      </c>
      <c r="J2080">
        <v>1286.1986084</v>
      </c>
      <c r="K2080">
        <v>2400</v>
      </c>
      <c r="L2080">
        <v>0</v>
      </c>
      <c r="M2080">
        <v>0</v>
      </c>
      <c r="N2080">
        <v>2400</v>
      </c>
    </row>
    <row r="2081" spans="1:14" x14ac:dyDescent="0.25">
      <c r="A2081">
        <v>1461.5480749999999</v>
      </c>
      <c r="B2081" s="1">
        <f>DATE(2014,5,1) + TIME(13,9,13)</f>
        <v>41760.548067129632</v>
      </c>
      <c r="C2081">
        <v>80</v>
      </c>
      <c r="D2081">
        <v>74.138656616000006</v>
      </c>
      <c r="E2081">
        <v>50</v>
      </c>
      <c r="F2081">
        <v>49.832607269</v>
      </c>
      <c r="G2081">
        <v>1373.1553954999999</v>
      </c>
      <c r="H2081">
        <v>1356.6958007999999</v>
      </c>
      <c r="I2081">
        <v>1304.6700439000001</v>
      </c>
      <c r="J2081">
        <v>1285.4820557</v>
      </c>
      <c r="K2081">
        <v>2400</v>
      </c>
      <c r="L2081">
        <v>0</v>
      </c>
      <c r="M2081">
        <v>0</v>
      </c>
      <c r="N2081">
        <v>2400</v>
      </c>
    </row>
    <row r="2082" spans="1:14" x14ac:dyDescent="0.25">
      <c r="A2082">
        <v>1461.58503</v>
      </c>
      <c r="B2082" s="1">
        <f>DATE(2014,5,1) + TIME(14,2,26)</f>
        <v>41760.585023148145</v>
      </c>
      <c r="C2082">
        <v>80</v>
      </c>
      <c r="D2082">
        <v>74.454711914000001</v>
      </c>
      <c r="E2082">
        <v>50</v>
      </c>
      <c r="F2082">
        <v>49.829059600999997</v>
      </c>
      <c r="G2082">
        <v>1373.6993408000001</v>
      </c>
      <c r="H2082">
        <v>1357.3215332</v>
      </c>
      <c r="I2082">
        <v>1303.9886475000001</v>
      </c>
      <c r="J2082">
        <v>1284.7999268000001</v>
      </c>
      <c r="K2082">
        <v>2400</v>
      </c>
      <c r="L2082">
        <v>0</v>
      </c>
      <c r="M2082">
        <v>0</v>
      </c>
      <c r="N2082">
        <v>2400</v>
      </c>
    </row>
    <row r="2083" spans="1:14" x14ac:dyDescent="0.25">
      <c r="A2083">
        <v>1461.6229020000001</v>
      </c>
      <c r="B2083" s="1">
        <f>DATE(2014,5,1) + TIME(14,56,58)</f>
        <v>41760.622893518521</v>
      </c>
      <c r="C2083">
        <v>80</v>
      </c>
      <c r="D2083">
        <v>74.760330199999999</v>
      </c>
      <c r="E2083">
        <v>50</v>
      </c>
      <c r="F2083">
        <v>49.825504303000002</v>
      </c>
      <c r="G2083">
        <v>1374.2142334</v>
      </c>
      <c r="H2083">
        <v>1357.9157714999999</v>
      </c>
      <c r="I2083">
        <v>1303.3380127</v>
      </c>
      <c r="J2083">
        <v>1284.1488036999999</v>
      </c>
      <c r="K2083">
        <v>2400</v>
      </c>
      <c r="L2083">
        <v>0</v>
      </c>
      <c r="M2083">
        <v>0</v>
      </c>
      <c r="N2083">
        <v>2400</v>
      </c>
    </row>
    <row r="2084" spans="1:14" x14ac:dyDescent="0.25">
      <c r="A2084">
        <v>1461.6617450000001</v>
      </c>
      <c r="B2084" s="1">
        <f>DATE(2014,5,1) + TIME(15,52,54)</f>
        <v>41760.661736111113</v>
      </c>
      <c r="C2084">
        <v>80</v>
      </c>
      <c r="D2084">
        <v>75.055641174000002</v>
      </c>
      <c r="E2084">
        <v>50</v>
      </c>
      <c r="F2084">
        <v>49.821929932000003</v>
      </c>
      <c r="G2084">
        <v>1374.7027588000001</v>
      </c>
      <c r="H2084">
        <v>1358.4815673999999</v>
      </c>
      <c r="I2084">
        <v>1302.715332</v>
      </c>
      <c r="J2084">
        <v>1283.5255127</v>
      </c>
      <c r="K2084">
        <v>2400</v>
      </c>
      <c r="L2084">
        <v>0</v>
      </c>
      <c r="M2084">
        <v>0</v>
      </c>
      <c r="N2084">
        <v>2400</v>
      </c>
    </row>
    <row r="2085" spans="1:14" x14ac:dyDescent="0.25">
      <c r="A2085">
        <v>1461.7016189999999</v>
      </c>
      <c r="B2085" s="1">
        <f>DATE(2014,5,1) + TIME(16,50,19)</f>
        <v>41760.701608796298</v>
      </c>
      <c r="C2085">
        <v>80</v>
      </c>
      <c r="D2085">
        <v>75.340705872000001</v>
      </c>
      <c r="E2085">
        <v>50</v>
      </c>
      <c r="F2085">
        <v>49.818328856999997</v>
      </c>
      <c r="G2085">
        <v>1375.1678466999999</v>
      </c>
      <c r="H2085">
        <v>1359.0216064000001</v>
      </c>
      <c r="I2085">
        <v>1302.1180420000001</v>
      </c>
      <c r="J2085">
        <v>1282.9276123</v>
      </c>
      <c r="K2085">
        <v>2400</v>
      </c>
      <c r="L2085">
        <v>0</v>
      </c>
      <c r="M2085">
        <v>0</v>
      </c>
      <c r="N2085">
        <v>2400</v>
      </c>
    </row>
    <row r="2086" spans="1:14" x14ac:dyDescent="0.25">
      <c r="A2086">
        <v>1461.742589</v>
      </c>
      <c r="B2086" s="1">
        <f>DATE(2014,5,1) + TIME(17,49,19)</f>
        <v>41760.742581018516</v>
      </c>
      <c r="C2086">
        <v>80</v>
      </c>
      <c r="D2086">
        <v>75.615852356000005</v>
      </c>
      <c r="E2086">
        <v>50</v>
      </c>
      <c r="F2086">
        <v>49.814693450999997</v>
      </c>
      <c r="G2086">
        <v>1375.6114502</v>
      </c>
      <c r="H2086">
        <v>1359.5380858999999</v>
      </c>
      <c r="I2086">
        <v>1301.5438231999999</v>
      </c>
      <c r="J2086">
        <v>1282.3530272999999</v>
      </c>
      <c r="K2086">
        <v>2400</v>
      </c>
      <c r="L2086">
        <v>0</v>
      </c>
      <c r="M2086">
        <v>0</v>
      </c>
      <c r="N2086">
        <v>2400</v>
      </c>
    </row>
    <row r="2087" spans="1:14" x14ac:dyDescent="0.25">
      <c r="A2087">
        <v>1461.7847360000001</v>
      </c>
      <c r="B2087" s="1">
        <f>DATE(2014,5,1) + TIME(18,50,1)</f>
        <v>41760.784733796296</v>
      </c>
      <c r="C2087">
        <v>80</v>
      </c>
      <c r="D2087">
        <v>75.881301879999995</v>
      </c>
      <c r="E2087">
        <v>50</v>
      </c>
      <c r="F2087">
        <v>49.811019897000001</v>
      </c>
      <c r="G2087">
        <v>1376.0356445</v>
      </c>
      <c r="H2087">
        <v>1360.0332031</v>
      </c>
      <c r="I2087">
        <v>1300.9907227000001</v>
      </c>
      <c r="J2087">
        <v>1281.7993164</v>
      </c>
      <c r="K2087">
        <v>2400</v>
      </c>
      <c r="L2087">
        <v>0</v>
      </c>
      <c r="M2087">
        <v>0</v>
      </c>
      <c r="N2087">
        <v>2400</v>
      </c>
    </row>
    <row r="2088" spans="1:14" x14ac:dyDescent="0.25">
      <c r="A2088">
        <v>1461.8281440000001</v>
      </c>
      <c r="B2088" s="1">
        <f>DATE(2014,5,1) + TIME(19,52,31)</f>
        <v>41760.828136574077</v>
      </c>
      <c r="C2088">
        <v>80</v>
      </c>
      <c r="D2088">
        <v>76.137237549000005</v>
      </c>
      <c r="E2088">
        <v>50</v>
      </c>
      <c r="F2088">
        <v>49.807292938000003</v>
      </c>
      <c r="G2088">
        <v>1376.4425048999999</v>
      </c>
      <c r="H2088">
        <v>1360.5089111</v>
      </c>
      <c r="I2088">
        <v>1300.4567870999999</v>
      </c>
      <c r="J2088">
        <v>1281.2648925999999</v>
      </c>
      <c r="K2088">
        <v>2400</v>
      </c>
      <c r="L2088">
        <v>0</v>
      </c>
      <c r="M2088">
        <v>0</v>
      </c>
      <c r="N2088">
        <v>2400</v>
      </c>
    </row>
    <row r="2089" spans="1:14" x14ac:dyDescent="0.25">
      <c r="A2089">
        <v>1461.872889</v>
      </c>
      <c r="B2089" s="1">
        <f>DATE(2014,5,1) + TIME(20,56,57)</f>
        <v>41760.872881944444</v>
      </c>
      <c r="C2089">
        <v>80</v>
      </c>
      <c r="D2089">
        <v>76.383743285999998</v>
      </c>
      <c r="E2089">
        <v>50</v>
      </c>
      <c r="F2089">
        <v>49.803516387999998</v>
      </c>
      <c r="G2089">
        <v>1376.8331298999999</v>
      </c>
      <c r="H2089">
        <v>1360.9667969</v>
      </c>
      <c r="I2089">
        <v>1299.9405518000001</v>
      </c>
      <c r="J2089">
        <v>1280.7482910000001</v>
      </c>
      <c r="K2089">
        <v>2400</v>
      </c>
      <c r="L2089">
        <v>0</v>
      </c>
      <c r="M2089">
        <v>0</v>
      </c>
      <c r="N2089">
        <v>2400</v>
      </c>
    </row>
    <row r="2090" spans="1:14" x14ac:dyDescent="0.25">
      <c r="A2090">
        <v>1461.9190659999999</v>
      </c>
      <c r="B2090" s="1">
        <f>DATE(2014,5,1) + TIME(22,3,27)</f>
        <v>41760.919062499997</v>
      </c>
      <c r="C2090">
        <v>80</v>
      </c>
      <c r="D2090">
        <v>76.620971679999997</v>
      </c>
      <c r="E2090">
        <v>50</v>
      </c>
      <c r="F2090">
        <v>49.799671173</v>
      </c>
      <c r="G2090">
        <v>1377.2092285000001</v>
      </c>
      <c r="H2090">
        <v>1361.4080810999999</v>
      </c>
      <c r="I2090">
        <v>1299.4407959</v>
      </c>
      <c r="J2090">
        <v>1280.2480469</v>
      </c>
      <c r="K2090">
        <v>2400</v>
      </c>
      <c r="L2090">
        <v>0</v>
      </c>
      <c r="M2090">
        <v>0</v>
      </c>
      <c r="N2090">
        <v>2400</v>
      </c>
    </row>
    <row r="2091" spans="1:14" x14ac:dyDescent="0.25">
      <c r="A2091">
        <v>1461.966782</v>
      </c>
      <c r="B2091" s="1">
        <f>DATE(2014,5,1) + TIME(23,12,9)</f>
        <v>41760.966770833336</v>
      </c>
      <c r="C2091">
        <v>80</v>
      </c>
      <c r="D2091">
        <v>76.849067688000005</v>
      </c>
      <c r="E2091">
        <v>50</v>
      </c>
      <c r="F2091">
        <v>49.795757293999998</v>
      </c>
      <c r="G2091">
        <v>1377.5718993999999</v>
      </c>
      <c r="H2091">
        <v>1361.8342285000001</v>
      </c>
      <c r="I2091">
        <v>1298.9560547000001</v>
      </c>
      <c r="J2091">
        <v>1279.7629394999999</v>
      </c>
      <c r="K2091">
        <v>2400</v>
      </c>
      <c r="L2091">
        <v>0</v>
      </c>
      <c r="M2091">
        <v>0</v>
      </c>
      <c r="N2091">
        <v>2400</v>
      </c>
    </row>
    <row r="2092" spans="1:14" x14ac:dyDescent="0.25">
      <c r="A2092">
        <v>1462.016155</v>
      </c>
      <c r="B2092" s="1">
        <f>DATE(2014,5,2) + TIME(0,23,15)</f>
        <v>41761.016145833331</v>
      </c>
      <c r="C2092">
        <v>80</v>
      </c>
      <c r="D2092">
        <v>77.068183899000005</v>
      </c>
      <c r="E2092">
        <v>50</v>
      </c>
      <c r="F2092">
        <v>49.791763306</v>
      </c>
      <c r="G2092">
        <v>1377.9223632999999</v>
      </c>
      <c r="H2092">
        <v>1362.2464600000001</v>
      </c>
      <c r="I2092">
        <v>1298.4852295000001</v>
      </c>
      <c r="J2092">
        <v>1279.291626</v>
      </c>
      <c r="K2092">
        <v>2400</v>
      </c>
      <c r="L2092">
        <v>0</v>
      </c>
      <c r="M2092">
        <v>0</v>
      </c>
      <c r="N2092">
        <v>2400</v>
      </c>
    </row>
    <row r="2093" spans="1:14" x14ac:dyDescent="0.25">
      <c r="A2093">
        <v>1462.0673179999999</v>
      </c>
      <c r="B2093" s="1">
        <f>DATE(2014,5,2) + TIME(1,36,56)</f>
        <v>41761.067314814813</v>
      </c>
      <c r="C2093">
        <v>80</v>
      </c>
      <c r="D2093">
        <v>77.278450011999993</v>
      </c>
      <c r="E2093">
        <v>50</v>
      </c>
      <c r="F2093">
        <v>49.787681579999997</v>
      </c>
      <c r="G2093">
        <v>1378.2614745999999</v>
      </c>
      <c r="H2093">
        <v>1362.6459961</v>
      </c>
      <c r="I2093">
        <v>1298.0272216999999</v>
      </c>
      <c r="J2093">
        <v>1278.8332519999999</v>
      </c>
      <c r="K2093">
        <v>2400</v>
      </c>
      <c r="L2093">
        <v>0</v>
      </c>
      <c r="M2093">
        <v>0</v>
      </c>
      <c r="N2093">
        <v>2400</v>
      </c>
    </row>
    <row r="2094" spans="1:14" x14ac:dyDescent="0.25">
      <c r="A2094">
        <v>1462.12042</v>
      </c>
      <c r="B2094" s="1">
        <f>DATE(2014,5,2) + TIME(2,53,24)</f>
        <v>41761.120416666665</v>
      </c>
      <c r="C2094">
        <v>80</v>
      </c>
      <c r="D2094">
        <v>77.479995728000006</v>
      </c>
      <c r="E2094">
        <v>50</v>
      </c>
      <c r="F2094">
        <v>49.783496857000003</v>
      </c>
      <c r="G2094">
        <v>1378.5904541</v>
      </c>
      <c r="H2094">
        <v>1363.0336914</v>
      </c>
      <c r="I2094">
        <v>1297.5810547000001</v>
      </c>
      <c r="J2094">
        <v>1278.3867187999999</v>
      </c>
      <c r="K2094">
        <v>2400</v>
      </c>
      <c r="L2094">
        <v>0</v>
      </c>
      <c r="M2094">
        <v>0</v>
      </c>
      <c r="N2094">
        <v>2400</v>
      </c>
    </row>
    <row r="2095" spans="1:14" x14ac:dyDescent="0.25">
      <c r="A2095">
        <v>1462.175628</v>
      </c>
      <c r="B2095" s="1">
        <f>DATE(2014,5,2) + TIME(4,12,54)</f>
        <v>41761.175625000003</v>
      </c>
      <c r="C2095">
        <v>80</v>
      </c>
      <c r="D2095">
        <v>77.672958374000004</v>
      </c>
      <c r="E2095">
        <v>50</v>
      </c>
      <c r="F2095">
        <v>49.779201508</v>
      </c>
      <c r="G2095">
        <v>1378.9100341999999</v>
      </c>
      <c r="H2095">
        <v>1363.4105225000001</v>
      </c>
      <c r="I2095">
        <v>1297.1459961</v>
      </c>
      <c r="J2095">
        <v>1277.9511719</v>
      </c>
      <c r="K2095">
        <v>2400</v>
      </c>
      <c r="L2095">
        <v>0</v>
      </c>
      <c r="M2095">
        <v>0</v>
      </c>
      <c r="N2095">
        <v>2400</v>
      </c>
    </row>
    <row r="2096" spans="1:14" x14ac:dyDescent="0.25">
      <c r="A2096">
        <v>1462.2331300000001</v>
      </c>
      <c r="B2096" s="1">
        <f>DATE(2014,5,2) + TIME(5,35,42)</f>
        <v>41761.233124999999</v>
      </c>
      <c r="C2096">
        <v>80</v>
      </c>
      <c r="D2096">
        <v>77.857460021999998</v>
      </c>
      <c r="E2096">
        <v>50</v>
      </c>
      <c r="F2096">
        <v>49.774784087999997</v>
      </c>
      <c r="G2096">
        <v>1379.2209473</v>
      </c>
      <c r="H2096">
        <v>1363.7774658000001</v>
      </c>
      <c r="I2096">
        <v>1296.7209473</v>
      </c>
      <c r="J2096">
        <v>1277.5256348</v>
      </c>
      <c r="K2096">
        <v>2400</v>
      </c>
      <c r="L2096">
        <v>0</v>
      </c>
      <c r="M2096">
        <v>0</v>
      </c>
      <c r="N2096">
        <v>2400</v>
      </c>
    </row>
    <row r="2097" spans="1:14" x14ac:dyDescent="0.25">
      <c r="A2097">
        <v>1462.2931430000001</v>
      </c>
      <c r="B2097" s="1">
        <f>DATE(2014,5,2) + TIME(7,2,7)</f>
        <v>41761.293136574073</v>
      </c>
      <c r="C2097">
        <v>80</v>
      </c>
      <c r="D2097">
        <v>78.033607482999997</v>
      </c>
      <c r="E2097">
        <v>50</v>
      </c>
      <c r="F2097">
        <v>49.77022934</v>
      </c>
      <c r="G2097">
        <v>1379.5240478999999</v>
      </c>
      <c r="H2097">
        <v>1364.135376</v>
      </c>
      <c r="I2097">
        <v>1296.3051757999999</v>
      </c>
      <c r="J2097">
        <v>1277.1096190999999</v>
      </c>
      <c r="K2097">
        <v>2400</v>
      </c>
      <c r="L2097">
        <v>0</v>
      </c>
      <c r="M2097">
        <v>0</v>
      </c>
      <c r="N2097">
        <v>2400</v>
      </c>
    </row>
    <row r="2098" spans="1:14" x14ac:dyDescent="0.25">
      <c r="A2098">
        <v>1462.355961</v>
      </c>
      <c r="B2098" s="1">
        <f>DATE(2014,5,2) + TIME(8,32,35)</f>
        <v>41761.35596064815</v>
      </c>
      <c r="C2098">
        <v>80</v>
      </c>
      <c r="D2098">
        <v>78.201644896999994</v>
      </c>
      <c r="E2098">
        <v>50</v>
      </c>
      <c r="F2098">
        <v>49.765518188000001</v>
      </c>
      <c r="G2098">
        <v>1379.8201904</v>
      </c>
      <c r="H2098">
        <v>1364.4849853999999</v>
      </c>
      <c r="I2098">
        <v>1295.8979492000001</v>
      </c>
      <c r="J2098">
        <v>1276.7019043</v>
      </c>
      <c r="K2098">
        <v>2400</v>
      </c>
      <c r="L2098">
        <v>0</v>
      </c>
      <c r="M2098">
        <v>0</v>
      </c>
      <c r="N2098">
        <v>2400</v>
      </c>
    </row>
    <row r="2099" spans="1:14" x14ac:dyDescent="0.25">
      <c r="A2099">
        <v>1462.421826</v>
      </c>
      <c r="B2099" s="1">
        <f>DATE(2014,5,2) + TIME(10,7,25)</f>
        <v>41761.421817129631</v>
      </c>
      <c r="C2099">
        <v>80</v>
      </c>
      <c r="D2099">
        <v>78.361549377000003</v>
      </c>
      <c r="E2099">
        <v>50</v>
      </c>
      <c r="F2099">
        <v>49.760639191000003</v>
      </c>
      <c r="G2099">
        <v>1380.1098632999999</v>
      </c>
      <c r="H2099">
        <v>1364.8271483999999</v>
      </c>
      <c r="I2099">
        <v>1295.4985352000001</v>
      </c>
      <c r="J2099">
        <v>1276.302124</v>
      </c>
      <c r="K2099">
        <v>2400</v>
      </c>
      <c r="L2099">
        <v>0</v>
      </c>
      <c r="M2099">
        <v>0</v>
      </c>
      <c r="N2099">
        <v>2400</v>
      </c>
    </row>
    <row r="2100" spans="1:14" x14ac:dyDescent="0.25">
      <c r="A2100">
        <v>1462.491068</v>
      </c>
      <c r="B2100" s="1">
        <f>DATE(2014,5,2) + TIME(11,47,8)</f>
        <v>41761.491064814814</v>
      </c>
      <c r="C2100">
        <v>80</v>
      </c>
      <c r="D2100">
        <v>78.513427734000004</v>
      </c>
      <c r="E2100">
        <v>50</v>
      </c>
      <c r="F2100">
        <v>49.755569457999997</v>
      </c>
      <c r="G2100">
        <v>1380.3936768000001</v>
      </c>
      <c r="H2100">
        <v>1365.1622314000001</v>
      </c>
      <c r="I2100">
        <v>1295.1065673999999</v>
      </c>
      <c r="J2100">
        <v>1275.909668</v>
      </c>
      <c r="K2100">
        <v>2400</v>
      </c>
      <c r="L2100">
        <v>0</v>
      </c>
      <c r="M2100">
        <v>0</v>
      </c>
      <c r="N2100">
        <v>2400</v>
      </c>
    </row>
    <row r="2101" spans="1:14" x14ac:dyDescent="0.25">
      <c r="A2101">
        <v>1462.5640719999999</v>
      </c>
      <c r="B2101" s="1">
        <f>DATE(2014,5,2) + TIME(13,32,15)</f>
        <v>41761.564062500001</v>
      </c>
      <c r="C2101">
        <v>80</v>
      </c>
      <c r="D2101">
        <v>78.657363892000006</v>
      </c>
      <c r="E2101">
        <v>50</v>
      </c>
      <c r="F2101">
        <v>49.750289917000003</v>
      </c>
      <c r="G2101">
        <v>1380.6719971</v>
      </c>
      <c r="H2101">
        <v>1365.4910889</v>
      </c>
      <c r="I2101">
        <v>1294.7214355000001</v>
      </c>
      <c r="J2101">
        <v>1275.5240478999999</v>
      </c>
      <c r="K2101">
        <v>2400</v>
      </c>
      <c r="L2101">
        <v>0</v>
      </c>
      <c r="M2101">
        <v>0</v>
      </c>
      <c r="N2101">
        <v>2400</v>
      </c>
    </row>
    <row r="2102" spans="1:14" x14ac:dyDescent="0.25">
      <c r="A2102">
        <v>1462.6412909999999</v>
      </c>
      <c r="B2102" s="1">
        <f>DATE(2014,5,2) + TIME(15,23,27)</f>
        <v>41761.641284722224</v>
      </c>
      <c r="C2102">
        <v>80</v>
      </c>
      <c r="D2102">
        <v>78.793464661000002</v>
      </c>
      <c r="E2102">
        <v>50</v>
      </c>
      <c r="F2102">
        <v>49.74477005</v>
      </c>
      <c r="G2102">
        <v>1380.9456786999999</v>
      </c>
      <c r="H2102">
        <v>1365.8143310999999</v>
      </c>
      <c r="I2102">
        <v>1294.3424072</v>
      </c>
      <c r="J2102">
        <v>1275.1447754000001</v>
      </c>
      <c r="K2102">
        <v>2400</v>
      </c>
      <c r="L2102">
        <v>0</v>
      </c>
      <c r="M2102">
        <v>0</v>
      </c>
      <c r="N2102">
        <v>2400</v>
      </c>
    </row>
    <row r="2103" spans="1:14" x14ac:dyDescent="0.25">
      <c r="A2103">
        <v>1462.723248</v>
      </c>
      <c r="B2103" s="1">
        <f>DATE(2014,5,2) + TIME(17,21,28)</f>
        <v>41761.723240740743</v>
      </c>
      <c r="C2103">
        <v>80</v>
      </c>
      <c r="D2103">
        <v>78.921775818</v>
      </c>
      <c r="E2103">
        <v>50</v>
      </c>
      <c r="F2103">
        <v>49.738983154000003</v>
      </c>
      <c r="G2103">
        <v>1381.2149658000001</v>
      </c>
      <c r="H2103">
        <v>1366.1324463000001</v>
      </c>
      <c r="I2103">
        <v>1293.9692382999999</v>
      </c>
      <c r="J2103">
        <v>1274.7711182</v>
      </c>
      <c r="K2103">
        <v>2400</v>
      </c>
      <c r="L2103">
        <v>0</v>
      </c>
      <c r="M2103">
        <v>0</v>
      </c>
      <c r="N2103">
        <v>2400</v>
      </c>
    </row>
    <row r="2104" spans="1:14" x14ac:dyDescent="0.25">
      <c r="A2104">
        <v>1462.8105949999999</v>
      </c>
      <c r="B2104" s="1">
        <f>DATE(2014,5,2) + TIME(19,27,15)</f>
        <v>41761.810590277775</v>
      </c>
      <c r="C2104">
        <v>80</v>
      </c>
      <c r="D2104">
        <v>79.042396545000003</v>
      </c>
      <c r="E2104">
        <v>50</v>
      </c>
      <c r="F2104">
        <v>49.732894897000001</v>
      </c>
      <c r="G2104">
        <v>1381.4804687999999</v>
      </c>
      <c r="H2104">
        <v>1366.4461670000001</v>
      </c>
      <c r="I2104">
        <v>1293.6014404</v>
      </c>
      <c r="J2104">
        <v>1274.402832</v>
      </c>
      <c r="K2104">
        <v>2400</v>
      </c>
      <c r="L2104">
        <v>0</v>
      </c>
      <c r="M2104">
        <v>0</v>
      </c>
      <c r="N2104">
        <v>2400</v>
      </c>
    </row>
    <row r="2105" spans="1:14" x14ac:dyDescent="0.25">
      <c r="A2105">
        <v>1462.9041199999999</v>
      </c>
      <c r="B2105" s="1">
        <f>DATE(2014,5,2) + TIME(21,41,55)</f>
        <v>41761.904108796298</v>
      </c>
      <c r="C2105">
        <v>80</v>
      </c>
      <c r="D2105">
        <v>79.155410767000006</v>
      </c>
      <c r="E2105">
        <v>50</v>
      </c>
      <c r="F2105">
        <v>49.726455688000001</v>
      </c>
      <c r="G2105">
        <v>1381.7426757999999</v>
      </c>
      <c r="H2105">
        <v>1366.7559814000001</v>
      </c>
      <c r="I2105">
        <v>1293.2384033000001</v>
      </c>
      <c r="J2105">
        <v>1274.0393065999999</v>
      </c>
      <c r="K2105">
        <v>2400</v>
      </c>
      <c r="L2105">
        <v>0</v>
      </c>
      <c r="M2105">
        <v>0</v>
      </c>
      <c r="N2105">
        <v>2400</v>
      </c>
    </row>
    <row r="2106" spans="1:14" x14ac:dyDescent="0.25">
      <c r="A2106">
        <v>1463.004786</v>
      </c>
      <c r="B2106" s="1">
        <f>DATE(2014,5,3) + TIME(0,6,53)</f>
        <v>41762.004780092589</v>
      </c>
      <c r="C2106">
        <v>80</v>
      </c>
      <c r="D2106">
        <v>79.260879517000006</v>
      </c>
      <c r="E2106">
        <v>50</v>
      </c>
      <c r="F2106">
        <v>49.719615935999997</v>
      </c>
      <c r="G2106">
        <v>1382.0019531</v>
      </c>
      <c r="H2106">
        <v>1367.0625</v>
      </c>
      <c r="I2106">
        <v>1292.8798827999999</v>
      </c>
      <c r="J2106">
        <v>1273.6802978999999</v>
      </c>
      <c r="K2106">
        <v>2400</v>
      </c>
      <c r="L2106">
        <v>0</v>
      </c>
      <c r="M2106">
        <v>0</v>
      </c>
      <c r="N2106">
        <v>2400</v>
      </c>
    </row>
    <row r="2107" spans="1:14" x14ac:dyDescent="0.25">
      <c r="A2107">
        <v>1463.110271</v>
      </c>
      <c r="B2107" s="1">
        <f>DATE(2014,5,3) + TIME(2,38,47)</f>
        <v>41762.110266203701</v>
      </c>
      <c r="C2107">
        <v>80</v>
      </c>
      <c r="D2107">
        <v>79.356132506999998</v>
      </c>
      <c r="E2107">
        <v>50</v>
      </c>
      <c r="F2107">
        <v>49.712520599000001</v>
      </c>
      <c r="G2107">
        <v>1382.2508545000001</v>
      </c>
      <c r="H2107">
        <v>1367.3569336</v>
      </c>
      <c r="I2107">
        <v>1292.5360106999999</v>
      </c>
      <c r="J2107">
        <v>1273.3358154</v>
      </c>
      <c r="K2107">
        <v>2400</v>
      </c>
      <c r="L2107">
        <v>0</v>
      </c>
      <c r="M2107">
        <v>0</v>
      </c>
      <c r="N2107">
        <v>2400</v>
      </c>
    </row>
    <row r="2108" spans="1:14" x14ac:dyDescent="0.25">
      <c r="A2108">
        <v>1463.2159859999999</v>
      </c>
      <c r="B2108" s="1">
        <f>DATE(2014,5,3) + TIME(5,11,1)</f>
        <v>41762.215983796297</v>
      </c>
      <c r="C2108">
        <v>80</v>
      </c>
      <c r="D2108">
        <v>79.438407897999994</v>
      </c>
      <c r="E2108">
        <v>50</v>
      </c>
      <c r="F2108">
        <v>49.705436706999997</v>
      </c>
      <c r="G2108">
        <v>1382.4790039</v>
      </c>
      <c r="H2108">
        <v>1367.6274414</v>
      </c>
      <c r="I2108">
        <v>1292.2199707</v>
      </c>
      <c r="J2108">
        <v>1273.0194091999999</v>
      </c>
      <c r="K2108">
        <v>2400</v>
      </c>
      <c r="L2108">
        <v>0</v>
      </c>
      <c r="M2108">
        <v>0</v>
      </c>
      <c r="N2108">
        <v>2400</v>
      </c>
    </row>
    <row r="2109" spans="1:14" x14ac:dyDescent="0.25">
      <c r="A2109">
        <v>1463.3223700000001</v>
      </c>
      <c r="B2109" s="1">
        <f>DATE(2014,5,3) + TIME(7,44,12)</f>
        <v>41762.32236111111</v>
      </c>
      <c r="C2109">
        <v>80</v>
      </c>
      <c r="D2109">
        <v>79.509727478000002</v>
      </c>
      <c r="E2109">
        <v>50</v>
      </c>
      <c r="F2109">
        <v>49.698337555000002</v>
      </c>
      <c r="G2109">
        <v>1382.6894531</v>
      </c>
      <c r="H2109">
        <v>1367.8775635</v>
      </c>
      <c r="I2109">
        <v>1291.9283447</v>
      </c>
      <c r="J2109">
        <v>1272.7272949000001</v>
      </c>
      <c r="K2109">
        <v>2400</v>
      </c>
      <c r="L2109">
        <v>0</v>
      </c>
      <c r="M2109">
        <v>0</v>
      </c>
      <c r="N2109">
        <v>2400</v>
      </c>
    </row>
    <row r="2110" spans="1:14" x14ac:dyDescent="0.25">
      <c r="A2110">
        <v>1463.42967</v>
      </c>
      <c r="B2110" s="1">
        <f>DATE(2014,5,3) + TIME(10,18,43)</f>
        <v>41762.429664351854</v>
      </c>
      <c r="C2110">
        <v>80</v>
      </c>
      <c r="D2110">
        <v>79.571647643999995</v>
      </c>
      <c r="E2110">
        <v>50</v>
      </c>
      <c r="F2110">
        <v>49.691211699999997</v>
      </c>
      <c r="G2110">
        <v>1382.8842772999999</v>
      </c>
      <c r="H2110">
        <v>1368.1097411999999</v>
      </c>
      <c r="I2110">
        <v>1291.6585693</v>
      </c>
      <c r="J2110">
        <v>1272.4570312000001</v>
      </c>
      <c r="K2110">
        <v>2400</v>
      </c>
      <c r="L2110">
        <v>0</v>
      </c>
      <c r="M2110">
        <v>0</v>
      </c>
      <c r="N2110">
        <v>2400</v>
      </c>
    </row>
    <row r="2111" spans="1:14" x14ac:dyDescent="0.25">
      <c r="A2111">
        <v>1463.538129</v>
      </c>
      <c r="B2111" s="1">
        <f>DATE(2014,5,3) + TIME(12,54,54)</f>
        <v>41762.538124999999</v>
      </c>
      <c r="C2111">
        <v>80</v>
      </c>
      <c r="D2111">
        <v>79.625450134000005</v>
      </c>
      <c r="E2111">
        <v>50</v>
      </c>
      <c r="F2111">
        <v>49.684043883999998</v>
      </c>
      <c r="G2111">
        <v>1383.0651855000001</v>
      </c>
      <c r="H2111">
        <v>1368.3259277</v>
      </c>
      <c r="I2111">
        <v>1291.4085693</v>
      </c>
      <c r="J2111">
        <v>1272.206543</v>
      </c>
      <c r="K2111">
        <v>2400</v>
      </c>
      <c r="L2111">
        <v>0</v>
      </c>
      <c r="M2111">
        <v>0</v>
      </c>
      <c r="N2111">
        <v>2400</v>
      </c>
    </row>
    <row r="2112" spans="1:14" x14ac:dyDescent="0.25">
      <c r="A2112">
        <v>1463.647878</v>
      </c>
      <c r="B2112" s="1">
        <f>DATE(2014,5,3) + TIME(15,32,56)</f>
        <v>41762.647870370369</v>
      </c>
      <c r="C2112">
        <v>80</v>
      </c>
      <c r="D2112">
        <v>79.672203064000001</v>
      </c>
      <c r="E2112">
        <v>50</v>
      </c>
      <c r="F2112">
        <v>49.676830291999998</v>
      </c>
      <c r="G2112">
        <v>1383.2331543</v>
      </c>
      <c r="H2112">
        <v>1368.5273437999999</v>
      </c>
      <c r="I2112">
        <v>1291.1767577999999</v>
      </c>
      <c r="J2112">
        <v>1271.9741211</v>
      </c>
      <c r="K2112">
        <v>2400</v>
      </c>
      <c r="L2112">
        <v>0</v>
      </c>
      <c r="M2112">
        <v>0</v>
      </c>
      <c r="N2112">
        <v>2400</v>
      </c>
    </row>
    <row r="2113" spans="1:14" x14ac:dyDescent="0.25">
      <c r="A2113">
        <v>1463.758632</v>
      </c>
      <c r="B2113" s="1">
        <f>DATE(2014,5,3) + TIME(18,12,25)</f>
        <v>41762.758622685185</v>
      </c>
      <c r="C2113">
        <v>80</v>
      </c>
      <c r="D2113">
        <v>79.712677002000007</v>
      </c>
      <c r="E2113">
        <v>50</v>
      </c>
      <c r="F2113">
        <v>49.669586182000003</v>
      </c>
      <c r="G2113">
        <v>1383.3886719</v>
      </c>
      <c r="H2113">
        <v>1368.7145995999999</v>
      </c>
      <c r="I2113">
        <v>1290.9622803</v>
      </c>
      <c r="J2113">
        <v>1271.7592772999999</v>
      </c>
      <c r="K2113">
        <v>2400</v>
      </c>
      <c r="L2113">
        <v>0</v>
      </c>
      <c r="M2113">
        <v>0</v>
      </c>
      <c r="N2113">
        <v>2400</v>
      </c>
    </row>
    <row r="2114" spans="1:14" x14ac:dyDescent="0.25">
      <c r="A2114">
        <v>1463.8706179999999</v>
      </c>
      <c r="B2114" s="1">
        <f>DATE(2014,5,3) + TIME(20,53,41)</f>
        <v>41762.870613425926</v>
      </c>
      <c r="C2114">
        <v>80</v>
      </c>
      <c r="D2114">
        <v>79.747734070000007</v>
      </c>
      <c r="E2114">
        <v>50</v>
      </c>
      <c r="F2114">
        <v>49.662296294999997</v>
      </c>
      <c r="G2114">
        <v>1383.5328368999999</v>
      </c>
      <c r="H2114">
        <v>1368.8889160000001</v>
      </c>
      <c r="I2114">
        <v>1290.7636719</v>
      </c>
      <c r="J2114">
        <v>1271.5601807</v>
      </c>
      <c r="K2114">
        <v>2400</v>
      </c>
      <c r="L2114">
        <v>0</v>
      </c>
      <c r="M2114">
        <v>0</v>
      </c>
      <c r="N2114">
        <v>2400</v>
      </c>
    </row>
    <row r="2115" spans="1:14" x14ac:dyDescent="0.25">
      <c r="A2115">
        <v>1463.984042</v>
      </c>
      <c r="B2115" s="1">
        <f>DATE(2014,5,3) + TIME(23,37,1)</f>
        <v>41762.984039351853</v>
      </c>
      <c r="C2115">
        <v>80</v>
      </c>
      <c r="D2115">
        <v>79.778114318999997</v>
      </c>
      <c r="E2115">
        <v>50</v>
      </c>
      <c r="F2115">
        <v>49.654949188000003</v>
      </c>
      <c r="G2115">
        <v>1383.666626</v>
      </c>
      <c r="H2115">
        <v>1369.0515137</v>
      </c>
      <c r="I2115">
        <v>1290.5797118999999</v>
      </c>
      <c r="J2115">
        <v>1271.3757324000001</v>
      </c>
      <c r="K2115">
        <v>2400</v>
      </c>
      <c r="L2115">
        <v>0</v>
      </c>
      <c r="M2115">
        <v>0</v>
      </c>
      <c r="N2115">
        <v>2400</v>
      </c>
    </row>
    <row r="2116" spans="1:14" x14ac:dyDescent="0.25">
      <c r="A2116">
        <v>1464.099117</v>
      </c>
      <c r="B2116" s="1">
        <f>DATE(2014,5,4) + TIME(2,22,43)</f>
        <v>41763.099108796298</v>
      </c>
      <c r="C2116">
        <v>80</v>
      </c>
      <c r="D2116">
        <v>79.804443359000004</v>
      </c>
      <c r="E2116">
        <v>50</v>
      </c>
      <c r="F2116">
        <v>49.647533416999998</v>
      </c>
      <c r="G2116">
        <v>1383.7907714999999</v>
      </c>
      <c r="H2116">
        <v>1369.2032471</v>
      </c>
      <c r="I2116">
        <v>1290.4090576000001</v>
      </c>
      <c r="J2116">
        <v>1271.2045897999999</v>
      </c>
      <c r="K2116">
        <v>2400</v>
      </c>
      <c r="L2116">
        <v>0</v>
      </c>
      <c r="M2116">
        <v>0</v>
      </c>
      <c r="N2116">
        <v>2400</v>
      </c>
    </row>
    <row r="2117" spans="1:14" x14ac:dyDescent="0.25">
      <c r="A2117">
        <v>1464.2160590000001</v>
      </c>
      <c r="B2117" s="1">
        <f>DATE(2014,5,4) + TIME(5,11,7)</f>
        <v>41763.216053240743</v>
      </c>
      <c r="C2117">
        <v>80</v>
      </c>
      <c r="D2117">
        <v>79.827247619999994</v>
      </c>
      <c r="E2117">
        <v>50</v>
      </c>
      <c r="F2117">
        <v>49.640037536999998</v>
      </c>
      <c r="G2117">
        <v>1383.9061279</v>
      </c>
      <c r="H2117">
        <v>1369.3452147999999</v>
      </c>
      <c r="I2117">
        <v>1290.2508545000001</v>
      </c>
      <c r="J2117">
        <v>1271.0457764</v>
      </c>
      <c r="K2117">
        <v>2400</v>
      </c>
      <c r="L2117">
        <v>0</v>
      </c>
      <c r="M2117">
        <v>0</v>
      </c>
      <c r="N2117">
        <v>2400</v>
      </c>
    </row>
    <row r="2118" spans="1:14" x14ac:dyDescent="0.25">
      <c r="A2118">
        <v>1464.335108</v>
      </c>
      <c r="B2118" s="1">
        <f>DATE(2014,5,4) + TIME(8,2,33)</f>
        <v>41763.335104166668</v>
      </c>
      <c r="C2118">
        <v>80</v>
      </c>
      <c r="D2118">
        <v>79.846992493000002</v>
      </c>
      <c r="E2118">
        <v>50</v>
      </c>
      <c r="F2118">
        <v>49.632450104</v>
      </c>
      <c r="G2118">
        <v>1384.0131836</v>
      </c>
      <c r="H2118">
        <v>1369.4779053</v>
      </c>
      <c r="I2118">
        <v>1290.1040039</v>
      </c>
      <c r="J2118">
        <v>1270.8985596</v>
      </c>
      <c r="K2118">
        <v>2400</v>
      </c>
      <c r="L2118">
        <v>0</v>
      </c>
      <c r="M2118">
        <v>0</v>
      </c>
      <c r="N2118">
        <v>2400</v>
      </c>
    </row>
    <row r="2119" spans="1:14" x14ac:dyDescent="0.25">
      <c r="A2119">
        <v>1464.4565359999999</v>
      </c>
      <c r="B2119" s="1">
        <f>DATE(2014,5,4) + TIME(10,57,24)</f>
        <v>41763.45652777778</v>
      </c>
      <c r="C2119">
        <v>80</v>
      </c>
      <c r="D2119">
        <v>79.864082335999996</v>
      </c>
      <c r="E2119">
        <v>50</v>
      </c>
      <c r="F2119">
        <v>49.624752045000001</v>
      </c>
      <c r="G2119">
        <v>1384.1125488</v>
      </c>
      <c r="H2119">
        <v>1369.6020507999999</v>
      </c>
      <c r="I2119">
        <v>1289.9677733999999</v>
      </c>
      <c r="J2119">
        <v>1270.7618408000001</v>
      </c>
      <c r="K2119">
        <v>2400</v>
      </c>
      <c r="L2119">
        <v>0</v>
      </c>
      <c r="M2119">
        <v>0</v>
      </c>
      <c r="N2119">
        <v>2400</v>
      </c>
    </row>
    <row r="2120" spans="1:14" x14ac:dyDescent="0.25">
      <c r="A2120">
        <v>1464.580551</v>
      </c>
      <c r="B2120" s="1">
        <f>DATE(2014,5,4) + TIME(13,55,59)</f>
        <v>41763.580543981479</v>
      </c>
      <c r="C2120">
        <v>80</v>
      </c>
      <c r="D2120">
        <v>79.878845214999998</v>
      </c>
      <c r="E2120">
        <v>50</v>
      </c>
      <c r="F2120">
        <v>49.616935730000002</v>
      </c>
      <c r="G2120">
        <v>1384.2047118999999</v>
      </c>
      <c r="H2120">
        <v>1369.7181396000001</v>
      </c>
      <c r="I2120">
        <v>1289.8416748</v>
      </c>
      <c r="J2120">
        <v>1270.6351318</v>
      </c>
      <c r="K2120">
        <v>2400</v>
      </c>
      <c r="L2120">
        <v>0</v>
      </c>
      <c r="M2120">
        <v>0</v>
      </c>
      <c r="N2120">
        <v>2400</v>
      </c>
    </row>
    <row r="2121" spans="1:14" x14ac:dyDescent="0.25">
      <c r="A2121">
        <v>1464.7074239999999</v>
      </c>
      <c r="B2121" s="1">
        <f>DATE(2014,5,4) + TIME(16,58,41)</f>
        <v>41763.707418981481</v>
      </c>
      <c r="C2121">
        <v>80</v>
      </c>
      <c r="D2121">
        <v>79.891578674000002</v>
      </c>
      <c r="E2121">
        <v>50</v>
      </c>
      <c r="F2121">
        <v>49.608982085999997</v>
      </c>
      <c r="G2121">
        <v>1384.2897949000001</v>
      </c>
      <c r="H2121">
        <v>1369.8266602000001</v>
      </c>
      <c r="I2121">
        <v>1289.7247314000001</v>
      </c>
      <c r="J2121">
        <v>1270.5178223</v>
      </c>
      <c r="K2121">
        <v>2400</v>
      </c>
      <c r="L2121">
        <v>0</v>
      </c>
      <c r="M2121">
        <v>0</v>
      </c>
      <c r="N2121">
        <v>2400</v>
      </c>
    </row>
    <row r="2122" spans="1:14" x14ac:dyDescent="0.25">
      <c r="A2122">
        <v>1464.837446</v>
      </c>
      <c r="B2122" s="1">
        <f>DATE(2014,5,4) + TIME(20,5,55)</f>
        <v>41763.837442129632</v>
      </c>
      <c r="C2122">
        <v>80</v>
      </c>
      <c r="D2122">
        <v>79.902549743999998</v>
      </c>
      <c r="E2122">
        <v>50</v>
      </c>
      <c r="F2122">
        <v>49.600875854000002</v>
      </c>
      <c r="G2122">
        <v>1384.3684082</v>
      </c>
      <c r="H2122">
        <v>1369.9282227000001</v>
      </c>
      <c r="I2122">
        <v>1289.6166992000001</v>
      </c>
      <c r="J2122">
        <v>1270.4091797000001</v>
      </c>
      <c r="K2122">
        <v>2400</v>
      </c>
      <c r="L2122">
        <v>0</v>
      </c>
      <c r="M2122">
        <v>0</v>
      </c>
      <c r="N2122">
        <v>2400</v>
      </c>
    </row>
    <row r="2123" spans="1:14" x14ac:dyDescent="0.25">
      <c r="A2123">
        <v>1464.9709350000001</v>
      </c>
      <c r="B2123" s="1">
        <f>DATE(2014,5,4) + TIME(23,18,8)</f>
        <v>41763.970925925925</v>
      </c>
      <c r="C2123">
        <v>80</v>
      </c>
      <c r="D2123">
        <v>79.911987304999997</v>
      </c>
      <c r="E2123">
        <v>50</v>
      </c>
      <c r="F2123">
        <v>49.592605591000002</v>
      </c>
      <c r="G2123">
        <v>1384.4407959</v>
      </c>
      <c r="H2123">
        <v>1370.0229492000001</v>
      </c>
      <c r="I2123">
        <v>1289.5168457</v>
      </c>
      <c r="J2123">
        <v>1270.3088379000001</v>
      </c>
      <c r="K2123">
        <v>2400</v>
      </c>
      <c r="L2123">
        <v>0</v>
      </c>
      <c r="M2123">
        <v>0</v>
      </c>
      <c r="N2123">
        <v>2400</v>
      </c>
    </row>
    <row r="2124" spans="1:14" x14ac:dyDescent="0.25">
      <c r="A2124">
        <v>1465.1082349999999</v>
      </c>
      <c r="B2124" s="1">
        <f>DATE(2014,5,5) + TIME(2,35,51)</f>
        <v>41764.108229166668</v>
      </c>
      <c r="C2124">
        <v>80</v>
      </c>
      <c r="D2124">
        <v>79.920082092000001</v>
      </c>
      <c r="E2124">
        <v>50</v>
      </c>
      <c r="F2124">
        <v>49.584148407000001</v>
      </c>
      <c r="G2124">
        <v>1384.5072021000001</v>
      </c>
      <c r="H2124">
        <v>1370.1113281</v>
      </c>
      <c r="I2124">
        <v>1289.4249268000001</v>
      </c>
      <c r="J2124">
        <v>1270.2163086</v>
      </c>
      <c r="K2124">
        <v>2400</v>
      </c>
      <c r="L2124">
        <v>0</v>
      </c>
      <c r="M2124">
        <v>0</v>
      </c>
      <c r="N2124">
        <v>2400</v>
      </c>
    </row>
    <row r="2125" spans="1:14" x14ac:dyDescent="0.25">
      <c r="A2125">
        <v>1465.2497289999999</v>
      </c>
      <c r="B2125" s="1">
        <f>DATE(2014,5,5) + TIME(5,59,36)</f>
        <v>41764.249722222223</v>
      </c>
      <c r="C2125">
        <v>80</v>
      </c>
      <c r="D2125">
        <v>79.927001953000001</v>
      </c>
      <c r="E2125">
        <v>50</v>
      </c>
      <c r="F2125">
        <v>49.575481414999999</v>
      </c>
      <c r="G2125">
        <v>1384.5679932</v>
      </c>
      <c r="H2125">
        <v>1370.1936035000001</v>
      </c>
      <c r="I2125">
        <v>1289.3402100000001</v>
      </c>
      <c r="J2125">
        <v>1270.1309814000001</v>
      </c>
      <c r="K2125">
        <v>2400</v>
      </c>
      <c r="L2125">
        <v>0</v>
      </c>
      <c r="M2125">
        <v>0</v>
      </c>
      <c r="N2125">
        <v>2400</v>
      </c>
    </row>
    <row r="2126" spans="1:14" x14ac:dyDescent="0.25">
      <c r="A2126">
        <v>1465.395839</v>
      </c>
      <c r="B2126" s="1">
        <f>DATE(2014,5,5) + TIME(9,30,0)</f>
        <v>41764.395833333336</v>
      </c>
      <c r="C2126">
        <v>80</v>
      </c>
      <c r="D2126">
        <v>79.932914733999993</v>
      </c>
      <c r="E2126">
        <v>50</v>
      </c>
      <c r="F2126">
        <v>49.566589354999998</v>
      </c>
      <c r="G2126">
        <v>1384.6230469</v>
      </c>
      <c r="H2126">
        <v>1370.2701416</v>
      </c>
      <c r="I2126">
        <v>1289.2625731999999</v>
      </c>
      <c r="J2126">
        <v>1270.0527344</v>
      </c>
      <c r="K2126">
        <v>2400</v>
      </c>
      <c r="L2126">
        <v>0</v>
      </c>
      <c r="M2126">
        <v>0</v>
      </c>
      <c r="N2126">
        <v>2400</v>
      </c>
    </row>
    <row r="2127" spans="1:14" x14ac:dyDescent="0.25">
      <c r="A2127">
        <v>1465.5470399999999</v>
      </c>
      <c r="B2127" s="1">
        <f>DATE(2014,5,5) + TIME(13,7,44)</f>
        <v>41764.547037037039</v>
      </c>
      <c r="C2127">
        <v>80</v>
      </c>
      <c r="D2127">
        <v>79.937942504999995</v>
      </c>
      <c r="E2127">
        <v>50</v>
      </c>
      <c r="F2127">
        <v>49.557441711000003</v>
      </c>
      <c r="G2127">
        <v>1384.6728516000001</v>
      </c>
      <c r="H2127">
        <v>1370.3410644999999</v>
      </c>
      <c r="I2127">
        <v>1289.1915283000001</v>
      </c>
      <c r="J2127">
        <v>1269.9810791</v>
      </c>
      <c r="K2127">
        <v>2400</v>
      </c>
      <c r="L2127">
        <v>0</v>
      </c>
      <c r="M2127">
        <v>0</v>
      </c>
      <c r="N2127">
        <v>2400</v>
      </c>
    </row>
    <row r="2128" spans="1:14" x14ac:dyDescent="0.25">
      <c r="A2128">
        <v>1465.703861</v>
      </c>
      <c r="B2128" s="1">
        <f>DATE(2014,5,5) + TIME(16,53,33)</f>
        <v>41764.70385416667</v>
      </c>
      <c r="C2128">
        <v>80</v>
      </c>
      <c r="D2128">
        <v>79.942207335999996</v>
      </c>
      <c r="E2128">
        <v>50</v>
      </c>
      <c r="F2128">
        <v>49.548011780000003</v>
      </c>
      <c r="G2128">
        <v>1384.7175293</v>
      </c>
      <c r="H2128">
        <v>1370.4067382999999</v>
      </c>
      <c r="I2128">
        <v>1289.1267089999999</v>
      </c>
      <c r="J2128">
        <v>1269.9157714999999</v>
      </c>
      <c r="K2128">
        <v>2400</v>
      </c>
      <c r="L2128">
        <v>0</v>
      </c>
      <c r="M2128">
        <v>0</v>
      </c>
      <c r="N2128">
        <v>2400</v>
      </c>
    </row>
    <row r="2129" spans="1:14" x14ac:dyDescent="0.25">
      <c r="A2129">
        <v>1465.8670219999999</v>
      </c>
      <c r="B2129" s="1">
        <f>DATE(2014,5,5) + TIME(20,48,30)</f>
        <v>41764.867013888892</v>
      </c>
      <c r="C2129">
        <v>80</v>
      </c>
      <c r="D2129">
        <v>79.945808411000002</v>
      </c>
      <c r="E2129">
        <v>50</v>
      </c>
      <c r="F2129">
        <v>49.538265228</v>
      </c>
      <c r="G2129">
        <v>1384.7570800999999</v>
      </c>
      <c r="H2129">
        <v>1370.4671631000001</v>
      </c>
      <c r="I2129">
        <v>1289.0679932</v>
      </c>
      <c r="J2129">
        <v>1269.8563231999999</v>
      </c>
      <c r="K2129">
        <v>2400</v>
      </c>
      <c r="L2129">
        <v>0</v>
      </c>
      <c r="M2129">
        <v>0</v>
      </c>
      <c r="N2129">
        <v>2400</v>
      </c>
    </row>
    <row r="2130" spans="1:14" x14ac:dyDescent="0.25">
      <c r="A2130">
        <v>1466.0371110000001</v>
      </c>
      <c r="B2130" s="1">
        <f>DATE(2014,5,6) + TIME(0,53,26)</f>
        <v>41765.037106481483</v>
      </c>
      <c r="C2130">
        <v>80</v>
      </c>
      <c r="D2130">
        <v>79.948837280000006</v>
      </c>
      <c r="E2130">
        <v>50</v>
      </c>
      <c r="F2130">
        <v>49.528171538999999</v>
      </c>
      <c r="G2130">
        <v>1384.791626</v>
      </c>
      <c r="H2130">
        <v>1370.5227050999999</v>
      </c>
      <c r="I2130">
        <v>1289.0148925999999</v>
      </c>
      <c r="J2130">
        <v>1269.8026123</v>
      </c>
      <c r="K2130">
        <v>2400</v>
      </c>
      <c r="L2130">
        <v>0</v>
      </c>
      <c r="M2130">
        <v>0</v>
      </c>
      <c r="N2130">
        <v>2400</v>
      </c>
    </row>
    <row r="2131" spans="1:14" x14ac:dyDescent="0.25">
      <c r="A2131">
        <v>1466.2127869999999</v>
      </c>
      <c r="B2131" s="1">
        <f>DATE(2014,5,6) + TIME(5,6,24)</f>
        <v>41765.212777777779</v>
      </c>
      <c r="C2131">
        <v>80</v>
      </c>
      <c r="D2131">
        <v>79.951347350999995</v>
      </c>
      <c r="E2131">
        <v>50</v>
      </c>
      <c r="F2131">
        <v>49.517791748</v>
      </c>
      <c r="G2131">
        <v>1384.8204346</v>
      </c>
      <c r="H2131">
        <v>1370.5723877</v>
      </c>
      <c r="I2131">
        <v>1288.9677733999999</v>
      </c>
      <c r="J2131">
        <v>1269.7547606999999</v>
      </c>
      <c r="K2131">
        <v>2400</v>
      </c>
      <c r="L2131">
        <v>0</v>
      </c>
      <c r="M2131">
        <v>0</v>
      </c>
      <c r="N2131">
        <v>2400</v>
      </c>
    </row>
    <row r="2132" spans="1:14" x14ac:dyDescent="0.25">
      <c r="A2132">
        <v>1466.394462</v>
      </c>
      <c r="B2132" s="1">
        <f>DATE(2014,5,6) + TIME(9,28,1)</f>
        <v>41765.394456018519</v>
      </c>
      <c r="C2132">
        <v>80</v>
      </c>
      <c r="D2132">
        <v>79.953422545999999</v>
      </c>
      <c r="E2132">
        <v>50</v>
      </c>
      <c r="F2132">
        <v>49.507110595999997</v>
      </c>
      <c r="G2132">
        <v>1384.8439940999999</v>
      </c>
      <c r="H2132">
        <v>1370.6168213000001</v>
      </c>
      <c r="I2132">
        <v>1288.9261475000001</v>
      </c>
      <c r="J2132">
        <v>1269.7125243999999</v>
      </c>
      <c r="K2132">
        <v>2400</v>
      </c>
      <c r="L2132">
        <v>0</v>
      </c>
      <c r="M2132">
        <v>0</v>
      </c>
      <c r="N2132">
        <v>2400</v>
      </c>
    </row>
    <row r="2133" spans="1:14" x14ac:dyDescent="0.25">
      <c r="A2133">
        <v>1466.582723</v>
      </c>
      <c r="B2133" s="1">
        <f>DATE(2014,5,6) + TIME(13,59,7)</f>
        <v>41765.582719907405</v>
      </c>
      <c r="C2133">
        <v>80</v>
      </c>
      <c r="D2133">
        <v>79.955123900999993</v>
      </c>
      <c r="E2133">
        <v>50</v>
      </c>
      <c r="F2133">
        <v>49.49609375</v>
      </c>
      <c r="G2133">
        <v>1384.862793</v>
      </c>
      <c r="H2133">
        <v>1370.6563721</v>
      </c>
      <c r="I2133">
        <v>1288.8897704999999</v>
      </c>
      <c r="J2133">
        <v>1269.6754149999999</v>
      </c>
      <c r="K2133">
        <v>2400</v>
      </c>
      <c r="L2133">
        <v>0</v>
      </c>
      <c r="M2133">
        <v>0</v>
      </c>
      <c r="N2133">
        <v>2400</v>
      </c>
    </row>
    <row r="2134" spans="1:14" x14ac:dyDescent="0.25">
      <c r="A2134">
        <v>1466.7782589999999</v>
      </c>
      <c r="B2134" s="1">
        <f>DATE(2014,5,6) + TIME(18,40,41)</f>
        <v>41765.778252314813</v>
      </c>
      <c r="C2134">
        <v>80</v>
      </c>
      <c r="D2134">
        <v>79.956520080999994</v>
      </c>
      <c r="E2134">
        <v>50</v>
      </c>
      <c r="F2134">
        <v>49.484714508000003</v>
      </c>
      <c r="G2134">
        <v>1384.8767089999999</v>
      </c>
      <c r="H2134">
        <v>1370.6910399999999</v>
      </c>
      <c r="I2134">
        <v>1288.8581543</v>
      </c>
      <c r="J2134">
        <v>1269.6430664</v>
      </c>
      <c r="K2134">
        <v>2400</v>
      </c>
      <c r="L2134">
        <v>0</v>
      </c>
      <c r="M2134">
        <v>0</v>
      </c>
      <c r="N2134">
        <v>2400</v>
      </c>
    </row>
    <row r="2135" spans="1:14" x14ac:dyDescent="0.25">
      <c r="A2135">
        <v>1466.9819150000001</v>
      </c>
      <c r="B2135" s="1">
        <f>DATE(2014,5,6) + TIME(23,33,57)</f>
        <v>41765.981909722221</v>
      </c>
      <c r="C2135">
        <v>80</v>
      </c>
      <c r="D2135">
        <v>79.957664489999999</v>
      </c>
      <c r="E2135">
        <v>50</v>
      </c>
      <c r="F2135">
        <v>49.472927093999999</v>
      </c>
      <c r="G2135">
        <v>1384.8861084</v>
      </c>
      <c r="H2135">
        <v>1370.7210693</v>
      </c>
      <c r="I2135">
        <v>1288.8310547000001</v>
      </c>
      <c r="J2135">
        <v>1269.6151123</v>
      </c>
      <c r="K2135">
        <v>2400</v>
      </c>
      <c r="L2135">
        <v>0</v>
      </c>
      <c r="M2135">
        <v>0</v>
      </c>
      <c r="N2135">
        <v>2400</v>
      </c>
    </row>
    <row r="2136" spans="1:14" x14ac:dyDescent="0.25">
      <c r="A2136">
        <v>1467.1944410000001</v>
      </c>
      <c r="B2136" s="1">
        <f>DATE(2014,5,7) + TIME(4,39,59)</f>
        <v>41766.194432870368</v>
      </c>
      <c r="C2136">
        <v>80</v>
      </c>
      <c r="D2136">
        <v>79.958587645999998</v>
      </c>
      <c r="E2136">
        <v>50</v>
      </c>
      <c r="F2136">
        <v>49.460700989000003</v>
      </c>
      <c r="G2136">
        <v>1384.8908690999999</v>
      </c>
      <c r="H2136">
        <v>1370.746582</v>
      </c>
      <c r="I2136">
        <v>1288.8081055</v>
      </c>
      <c r="J2136">
        <v>1269.5914307</v>
      </c>
      <c r="K2136">
        <v>2400</v>
      </c>
      <c r="L2136">
        <v>0</v>
      </c>
      <c r="M2136">
        <v>0</v>
      </c>
      <c r="N2136">
        <v>2400</v>
      </c>
    </row>
    <row r="2137" spans="1:14" x14ac:dyDescent="0.25">
      <c r="A2137">
        <v>1467.4145450000001</v>
      </c>
      <c r="B2137" s="1">
        <f>DATE(2014,5,7) + TIME(9,56,56)</f>
        <v>41766.414537037039</v>
      </c>
      <c r="C2137">
        <v>80</v>
      </c>
      <c r="D2137">
        <v>79.959327697999996</v>
      </c>
      <c r="E2137">
        <v>50</v>
      </c>
      <c r="F2137">
        <v>49.448085785000004</v>
      </c>
      <c r="G2137">
        <v>1384.8907471</v>
      </c>
      <c r="H2137">
        <v>1370.7674560999999</v>
      </c>
      <c r="I2137">
        <v>1288.7890625</v>
      </c>
      <c r="J2137">
        <v>1269.5716553</v>
      </c>
      <c r="K2137">
        <v>2400</v>
      </c>
      <c r="L2137">
        <v>0</v>
      </c>
      <c r="M2137">
        <v>0</v>
      </c>
      <c r="N2137">
        <v>2400</v>
      </c>
    </row>
    <row r="2138" spans="1:14" x14ac:dyDescent="0.25">
      <c r="A2138">
        <v>1467.6363879999999</v>
      </c>
      <c r="B2138" s="1">
        <f>DATE(2014,5,7) + TIME(15,16,23)</f>
        <v>41766.636377314811</v>
      </c>
      <c r="C2138">
        <v>80</v>
      </c>
      <c r="D2138">
        <v>79.959899902000004</v>
      </c>
      <c r="E2138">
        <v>50</v>
      </c>
      <c r="F2138">
        <v>49.435344696000001</v>
      </c>
      <c r="G2138">
        <v>1384.8851318</v>
      </c>
      <c r="H2138">
        <v>1370.7827147999999</v>
      </c>
      <c r="I2138">
        <v>1288.7740478999999</v>
      </c>
      <c r="J2138">
        <v>1269.5556641000001</v>
      </c>
      <c r="K2138">
        <v>2400</v>
      </c>
      <c r="L2138">
        <v>0</v>
      </c>
      <c r="M2138">
        <v>0</v>
      </c>
      <c r="N2138">
        <v>2400</v>
      </c>
    </row>
    <row r="2139" spans="1:14" x14ac:dyDescent="0.25">
      <c r="A2139">
        <v>1467.8605419999999</v>
      </c>
      <c r="B2139" s="1">
        <f>DATE(2014,5,7) + TIME(20,39,10)</f>
        <v>41766.860532407409</v>
      </c>
      <c r="C2139">
        <v>80</v>
      </c>
      <c r="D2139">
        <v>79.960350036999998</v>
      </c>
      <c r="E2139">
        <v>50</v>
      </c>
      <c r="F2139">
        <v>49.422470093000001</v>
      </c>
      <c r="G2139">
        <v>1384.8758545000001</v>
      </c>
      <c r="H2139">
        <v>1370.7938231999999</v>
      </c>
      <c r="I2139">
        <v>1288.762207</v>
      </c>
      <c r="J2139">
        <v>1269.5430908000001</v>
      </c>
      <c r="K2139">
        <v>2400</v>
      </c>
      <c r="L2139">
        <v>0</v>
      </c>
      <c r="M2139">
        <v>0</v>
      </c>
      <c r="N2139">
        <v>2400</v>
      </c>
    </row>
    <row r="2140" spans="1:14" x14ac:dyDescent="0.25">
      <c r="A2140">
        <v>1468.0875510000001</v>
      </c>
      <c r="B2140" s="1">
        <f>DATE(2014,5,8) + TIME(2,6,4)</f>
        <v>41767.087546296294</v>
      </c>
      <c r="C2140">
        <v>80</v>
      </c>
      <c r="D2140">
        <v>79.960700989000003</v>
      </c>
      <c r="E2140">
        <v>50</v>
      </c>
      <c r="F2140">
        <v>49.409446715999998</v>
      </c>
      <c r="G2140">
        <v>1384.8634033000001</v>
      </c>
      <c r="H2140">
        <v>1370.8012695</v>
      </c>
      <c r="I2140">
        <v>1288.7532959</v>
      </c>
      <c r="J2140">
        <v>1269.5332031</v>
      </c>
      <c r="K2140">
        <v>2400</v>
      </c>
      <c r="L2140">
        <v>0</v>
      </c>
      <c r="M2140">
        <v>0</v>
      </c>
      <c r="N2140">
        <v>2400</v>
      </c>
    </row>
    <row r="2141" spans="1:14" x14ac:dyDescent="0.25">
      <c r="A2141">
        <v>1468.3179950000001</v>
      </c>
      <c r="B2141" s="1">
        <f>DATE(2014,5,8) + TIME(7,37,54)</f>
        <v>41767.317986111113</v>
      </c>
      <c r="C2141">
        <v>80</v>
      </c>
      <c r="D2141">
        <v>79.960975646999998</v>
      </c>
      <c r="E2141">
        <v>50</v>
      </c>
      <c r="F2141">
        <v>49.396255492999998</v>
      </c>
      <c r="G2141">
        <v>1384.8480225000001</v>
      </c>
      <c r="H2141">
        <v>1370.8052978999999</v>
      </c>
      <c r="I2141">
        <v>1288.7467041</v>
      </c>
      <c r="J2141">
        <v>1269.5257568</v>
      </c>
      <c r="K2141">
        <v>2400</v>
      </c>
      <c r="L2141">
        <v>0</v>
      </c>
      <c r="M2141">
        <v>0</v>
      </c>
      <c r="N2141">
        <v>2400</v>
      </c>
    </row>
    <row r="2142" spans="1:14" x14ac:dyDescent="0.25">
      <c r="A2142">
        <v>1468.550512</v>
      </c>
      <c r="B2142" s="1">
        <f>DATE(2014,5,8) + TIME(13,12,44)</f>
        <v>41767.550509259258</v>
      </c>
      <c r="C2142">
        <v>80</v>
      </c>
      <c r="D2142">
        <v>79.961189270000006</v>
      </c>
      <c r="E2142">
        <v>50</v>
      </c>
      <c r="F2142">
        <v>49.382961272999999</v>
      </c>
      <c r="G2142">
        <v>1384.8298339999999</v>
      </c>
      <c r="H2142">
        <v>1370.8061522999999</v>
      </c>
      <c r="I2142">
        <v>1288.7420654</v>
      </c>
      <c r="J2142">
        <v>1269.5202637</v>
      </c>
      <c r="K2142">
        <v>2400</v>
      </c>
      <c r="L2142">
        <v>0</v>
      </c>
      <c r="M2142">
        <v>0</v>
      </c>
      <c r="N2142">
        <v>2400</v>
      </c>
    </row>
    <row r="2143" spans="1:14" x14ac:dyDescent="0.25">
      <c r="A2143">
        <v>1468.785355</v>
      </c>
      <c r="B2143" s="1">
        <f>DATE(2014,5,8) + TIME(18,50,54)</f>
        <v>41767.78534722222</v>
      </c>
      <c r="C2143">
        <v>80</v>
      </c>
      <c r="D2143">
        <v>79.961349487000007</v>
      </c>
      <c r="E2143">
        <v>50</v>
      </c>
      <c r="F2143">
        <v>49.369560241999999</v>
      </c>
      <c r="G2143">
        <v>1384.8093262</v>
      </c>
      <c r="H2143">
        <v>1370.8043213000001</v>
      </c>
      <c r="I2143">
        <v>1288.7391356999999</v>
      </c>
      <c r="J2143">
        <v>1269.5163574000001</v>
      </c>
      <c r="K2143">
        <v>2400</v>
      </c>
      <c r="L2143">
        <v>0</v>
      </c>
      <c r="M2143">
        <v>0</v>
      </c>
      <c r="N2143">
        <v>2400</v>
      </c>
    </row>
    <row r="2144" spans="1:14" x14ac:dyDescent="0.25">
      <c r="A2144">
        <v>1469.0230140000001</v>
      </c>
      <c r="B2144" s="1">
        <f>DATE(2014,5,9) + TIME(0,33,8)</f>
        <v>41768.023009259261</v>
      </c>
      <c r="C2144">
        <v>80</v>
      </c>
      <c r="D2144">
        <v>79.961479186999995</v>
      </c>
      <c r="E2144">
        <v>50</v>
      </c>
      <c r="F2144">
        <v>49.356037139999998</v>
      </c>
      <c r="G2144">
        <v>1384.7867432</v>
      </c>
      <c r="H2144">
        <v>1370.8001709</v>
      </c>
      <c r="I2144">
        <v>1288.7375488</v>
      </c>
      <c r="J2144">
        <v>1269.5139160000001</v>
      </c>
      <c r="K2144">
        <v>2400</v>
      </c>
      <c r="L2144">
        <v>0</v>
      </c>
      <c r="M2144">
        <v>0</v>
      </c>
      <c r="N2144">
        <v>2400</v>
      </c>
    </row>
    <row r="2145" spans="1:14" x14ac:dyDescent="0.25">
      <c r="A2145">
        <v>1469.2639019999999</v>
      </c>
      <c r="B2145" s="1">
        <f>DATE(2014,5,9) + TIME(6,20,1)</f>
        <v>41768.26390046296</v>
      </c>
      <c r="C2145">
        <v>80</v>
      </c>
      <c r="D2145">
        <v>79.961570739999999</v>
      </c>
      <c r="E2145">
        <v>50</v>
      </c>
      <c r="F2145">
        <v>49.342376709</v>
      </c>
      <c r="G2145">
        <v>1384.7624512</v>
      </c>
      <c r="H2145">
        <v>1370.7937012</v>
      </c>
      <c r="I2145">
        <v>1288.7370605000001</v>
      </c>
      <c r="J2145">
        <v>1269.5124512</v>
      </c>
      <c r="K2145">
        <v>2400</v>
      </c>
      <c r="L2145">
        <v>0</v>
      </c>
      <c r="M2145">
        <v>0</v>
      </c>
      <c r="N2145">
        <v>2400</v>
      </c>
    </row>
    <row r="2146" spans="1:14" x14ac:dyDescent="0.25">
      <c r="A2146">
        <v>1469.508515</v>
      </c>
      <c r="B2146" s="1">
        <f>DATE(2014,5,9) + TIME(12,12,15)</f>
        <v>41768.508506944447</v>
      </c>
      <c r="C2146">
        <v>80</v>
      </c>
      <c r="D2146">
        <v>79.961647033999995</v>
      </c>
      <c r="E2146">
        <v>50</v>
      </c>
      <c r="F2146">
        <v>49.328559875000003</v>
      </c>
      <c r="G2146">
        <v>1384.7363281</v>
      </c>
      <c r="H2146">
        <v>1370.7852783000001</v>
      </c>
      <c r="I2146">
        <v>1288.7374268000001</v>
      </c>
      <c r="J2146">
        <v>1269.5118408000001</v>
      </c>
      <c r="K2146">
        <v>2400</v>
      </c>
      <c r="L2146">
        <v>0</v>
      </c>
      <c r="M2146">
        <v>0</v>
      </c>
      <c r="N2146">
        <v>2400</v>
      </c>
    </row>
    <row r="2147" spans="1:14" x14ac:dyDescent="0.25">
      <c r="A2147">
        <v>1469.757372</v>
      </c>
      <c r="B2147" s="1">
        <f>DATE(2014,5,9) + TIME(18,10,36)</f>
        <v>41768.757361111115</v>
      </c>
      <c r="C2147">
        <v>80</v>
      </c>
      <c r="D2147">
        <v>79.961700438999998</v>
      </c>
      <c r="E2147">
        <v>50</v>
      </c>
      <c r="F2147">
        <v>49.314559936999999</v>
      </c>
      <c r="G2147">
        <v>1384.7086182</v>
      </c>
      <c r="H2147">
        <v>1370.7750243999999</v>
      </c>
      <c r="I2147">
        <v>1288.7385254000001</v>
      </c>
      <c r="J2147">
        <v>1269.5119629000001</v>
      </c>
      <c r="K2147">
        <v>2400</v>
      </c>
      <c r="L2147">
        <v>0</v>
      </c>
      <c r="M2147">
        <v>0</v>
      </c>
      <c r="N2147">
        <v>2400</v>
      </c>
    </row>
    <row r="2148" spans="1:14" x14ac:dyDescent="0.25">
      <c r="A2148">
        <v>1470.011027</v>
      </c>
      <c r="B2148" s="1">
        <f>DATE(2014,5,10) + TIME(0,15,52)</f>
        <v>41769.011018518519</v>
      </c>
      <c r="C2148">
        <v>80</v>
      </c>
      <c r="D2148">
        <v>79.961738585999996</v>
      </c>
      <c r="E2148">
        <v>50</v>
      </c>
      <c r="F2148">
        <v>49.300357818999998</v>
      </c>
      <c r="G2148">
        <v>1384.6794434000001</v>
      </c>
      <c r="H2148">
        <v>1370.7630615</v>
      </c>
      <c r="I2148">
        <v>1288.7401123</v>
      </c>
      <c r="J2148">
        <v>1269.5125731999999</v>
      </c>
      <c r="K2148">
        <v>2400</v>
      </c>
      <c r="L2148">
        <v>0</v>
      </c>
      <c r="M2148">
        <v>0</v>
      </c>
      <c r="N2148">
        <v>2400</v>
      </c>
    </row>
    <row r="2149" spans="1:14" x14ac:dyDescent="0.25">
      <c r="A2149">
        <v>1470.2700769999999</v>
      </c>
      <c r="B2149" s="1">
        <f>DATE(2014,5,10) + TIME(6,28,54)</f>
        <v>41769.270069444443</v>
      </c>
      <c r="C2149">
        <v>80</v>
      </c>
      <c r="D2149">
        <v>79.961769103999998</v>
      </c>
      <c r="E2149">
        <v>50</v>
      </c>
      <c r="F2149">
        <v>49.285926818999997</v>
      </c>
      <c r="G2149">
        <v>1384.6489257999999</v>
      </c>
      <c r="H2149">
        <v>1370.7495117000001</v>
      </c>
      <c r="I2149">
        <v>1288.7421875</v>
      </c>
      <c r="J2149">
        <v>1269.5135498</v>
      </c>
      <c r="K2149">
        <v>2400</v>
      </c>
      <c r="L2149">
        <v>0</v>
      </c>
      <c r="M2149">
        <v>0</v>
      </c>
      <c r="N2149">
        <v>2400</v>
      </c>
    </row>
    <row r="2150" spans="1:14" x14ac:dyDescent="0.25">
      <c r="A2150">
        <v>1470.535169</v>
      </c>
      <c r="B2150" s="1">
        <f>DATE(2014,5,10) + TIME(12,50,38)</f>
        <v>41769.535162037035</v>
      </c>
      <c r="C2150">
        <v>80</v>
      </c>
      <c r="D2150">
        <v>79.961784363000007</v>
      </c>
      <c r="E2150">
        <v>50</v>
      </c>
      <c r="F2150">
        <v>49.271232605000002</v>
      </c>
      <c r="G2150">
        <v>1384.6169434000001</v>
      </c>
      <c r="H2150">
        <v>1370.734375</v>
      </c>
      <c r="I2150">
        <v>1288.7443848</v>
      </c>
      <c r="J2150">
        <v>1269.5147704999999</v>
      </c>
      <c r="K2150">
        <v>2400</v>
      </c>
      <c r="L2150">
        <v>0</v>
      </c>
      <c r="M2150">
        <v>0</v>
      </c>
      <c r="N2150">
        <v>2400</v>
      </c>
    </row>
    <row r="2151" spans="1:14" x14ac:dyDescent="0.25">
      <c r="A2151">
        <v>1470.807016</v>
      </c>
      <c r="B2151" s="1">
        <f>DATE(2014,5,10) + TIME(19,22,6)</f>
        <v>41769.807013888887</v>
      </c>
      <c r="C2151">
        <v>80</v>
      </c>
      <c r="D2151">
        <v>79.961791992000002</v>
      </c>
      <c r="E2151">
        <v>50</v>
      </c>
      <c r="F2151">
        <v>49.256248474000003</v>
      </c>
      <c r="G2151">
        <v>1384.5836182</v>
      </c>
      <c r="H2151">
        <v>1370.7177733999999</v>
      </c>
      <c r="I2151">
        <v>1288.7468262</v>
      </c>
      <c r="J2151">
        <v>1269.5161132999999</v>
      </c>
      <c r="K2151">
        <v>2400</v>
      </c>
      <c r="L2151">
        <v>0</v>
      </c>
      <c r="M2151">
        <v>0</v>
      </c>
      <c r="N2151">
        <v>2400</v>
      </c>
    </row>
    <row r="2152" spans="1:14" x14ac:dyDescent="0.25">
      <c r="A2152">
        <v>1471.0864079999999</v>
      </c>
      <c r="B2152" s="1">
        <f>DATE(2014,5,11) + TIME(2,4,25)</f>
        <v>41770.086400462962</v>
      </c>
      <c r="C2152">
        <v>80</v>
      </c>
      <c r="D2152">
        <v>79.961799622000001</v>
      </c>
      <c r="E2152">
        <v>50</v>
      </c>
      <c r="F2152">
        <v>49.240932465</v>
      </c>
      <c r="G2152">
        <v>1384.5489502</v>
      </c>
      <c r="H2152">
        <v>1370.6998291</v>
      </c>
      <c r="I2152">
        <v>1288.7491454999999</v>
      </c>
      <c r="J2152">
        <v>1269.5173339999999</v>
      </c>
      <c r="K2152">
        <v>2400</v>
      </c>
      <c r="L2152">
        <v>0</v>
      </c>
      <c r="M2152">
        <v>0</v>
      </c>
      <c r="N2152">
        <v>2400</v>
      </c>
    </row>
    <row r="2153" spans="1:14" x14ac:dyDescent="0.25">
      <c r="A2153">
        <v>1471.3742789999999</v>
      </c>
      <c r="B2153" s="1">
        <f>DATE(2014,5,11) + TIME(8,58,57)</f>
        <v>41770.37427083333</v>
      </c>
      <c r="C2153">
        <v>80</v>
      </c>
      <c r="D2153">
        <v>79.961791992000002</v>
      </c>
      <c r="E2153">
        <v>50</v>
      </c>
      <c r="F2153">
        <v>49.225246429000002</v>
      </c>
      <c r="G2153">
        <v>1384.5128173999999</v>
      </c>
      <c r="H2153">
        <v>1370.6805420000001</v>
      </c>
      <c r="I2153">
        <v>1288.7515868999999</v>
      </c>
      <c r="J2153">
        <v>1269.5186768000001</v>
      </c>
      <c r="K2153">
        <v>2400</v>
      </c>
      <c r="L2153">
        <v>0</v>
      </c>
      <c r="M2153">
        <v>0</v>
      </c>
      <c r="N2153">
        <v>2400</v>
      </c>
    </row>
    <row r="2154" spans="1:14" x14ac:dyDescent="0.25">
      <c r="A2154">
        <v>1471.6717590000001</v>
      </c>
      <c r="B2154" s="1">
        <f>DATE(2014,5,11) + TIME(16,7,19)</f>
        <v>41770.671747685185</v>
      </c>
      <c r="C2154">
        <v>80</v>
      </c>
      <c r="D2154">
        <v>79.961784363000007</v>
      </c>
      <c r="E2154">
        <v>50</v>
      </c>
      <c r="F2154">
        <v>49.209136962999999</v>
      </c>
      <c r="G2154">
        <v>1384.4754639</v>
      </c>
      <c r="H2154">
        <v>1370.6597899999999</v>
      </c>
      <c r="I2154">
        <v>1288.7539062000001</v>
      </c>
      <c r="J2154">
        <v>1269.5197754000001</v>
      </c>
      <c r="K2154">
        <v>2400</v>
      </c>
      <c r="L2154">
        <v>0</v>
      </c>
      <c r="M2154">
        <v>0</v>
      </c>
      <c r="N2154">
        <v>2400</v>
      </c>
    </row>
    <row r="2155" spans="1:14" x14ac:dyDescent="0.25">
      <c r="A2155">
        <v>1471.978789</v>
      </c>
      <c r="B2155" s="1">
        <f>DATE(2014,5,11) + TIME(23,29,27)</f>
        <v>41770.978784722225</v>
      </c>
      <c r="C2155">
        <v>80</v>
      </c>
      <c r="D2155">
        <v>79.961776732999994</v>
      </c>
      <c r="E2155">
        <v>50</v>
      </c>
      <c r="F2155">
        <v>49.192604064999998</v>
      </c>
      <c r="G2155">
        <v>1384.4365233999999</v>
      </c>
      <c r="H2155">
        <v>1370.6375731999999</v>
      </c>
      <c r="I2155">
        <v>1288.7559814000001</v>
      </c>
      <c r="J2155">
        <v>1269.5206298999999</v>
      </c>
      <c r="K2155">
        <v>2400</v>
      </c>
      <c r="L2155">
        <v>0</v>
      </c>
      <c r="M2155">
        <v>0</v>
      </c>
      <c r="N2155">
        <v>2400</v>
      </c>
    </row>
    <row r="2156" spans="1:14" x14ac:dyDescent="0.25">
      <c r="A2156">
        <v>1472.2920489999999</v>
      </c>
      <c r="B2156" s="1">
        <f>DATE(2014,5,12) + TIME(7,0,32)</f>
        <v>41771.292037037034</v>
      </c>
      <c r="C2156">
        <v>80</v>
      </c>
      <c r="D2156">
        <v>79.961753845000004</v>
      </c>
      <c r="E2156">
        <v>50</v>
      </c>
      <c r="F2156">
        <v>49.175765990999999</v>
      </c>
      <c r="G2156">
        <v>1384.3962402</v>
      </c>
      <c r="H2156">
        <v>1370.6141356999999</v>
      </c>
      <c r="I2156">
        <v>1288.7576904</v>
      </c>
      <c r="J2156">
        <v>1269.5211182</v>
      </c>
      <c r="K2156">
        <v>2400</v>
      </c>
      <c r="L2156">
        <v>0</v>
      </c>
      <c r="M2156">
        <v>0</v>
      </c>
      <c r="N2156">
        <v>2400</v>
      </c>
    </row>
    <row r="2157" spans="1:14" x14ac:dyDescent="0.25">
      <c r="A2157">
        <v>1472.6123030000001</v>
      </c>
      <c r="B2157" s="1">
        <f>DATE(2014,5,12) + TIME(14,41,43)</f>
        <v>41771.612303240741</v>
      </c>
      <c r="C2157">
        <v>80</v>
      </c>
      <c r="D2157">
        <v>79.961738585999996</v>
      </c>
      <c r="E2157">
        <v>50</v>
      </c>
      <c r="F2157">
        <v>49.158607482999997</v>
      </c>
      <c r="G2157">
        <v>1384.3551024999999</v>
      </c>
      <c r="H2157">
        <v>1370.5895995999999</v>
      </c>
      <c r="I2157">
        <v>1288.7591553</v>
      </c>
      <c r="J2157">
        <v>1269.5212402</v>
      </c>
      <c r="K2157">
        <v>2400</v>
      </c>
      <c r="L2157">
        <v>0</v>
      </c>
      <c r="M2157">
        <v>0</v>
      </c>
      <c r="N2157">
        <v>2400</v>
      </c>
    </row>
    <row r="2158" spans="1:14" x14ac:dyDescent="0.25">
      <c r="A2158">
        <v>1472.9403150000001</v>
      </c>
      <c r="B2158" s="1">
        <f>DATE(2014,5,12) + TIME(22,34,3)</f>
        <v>41771.940312500003</v>
      </c>
      <c r="C2158">
        <v>80</v>
      </c>
      <c r="D2158">
        <v>79.961715698000006</v>
      </c>
      <c r="E2158">
        <v>50</v>
      </c>
      <c r="F2158">
        <v>49.141101837000001</v>
      </c>
      <c r="G2158">
        <v>1384.3131103999999</v>
      </c>
      <c r="H2158">
        <v>1370.5640868999999</v>
      </c>
      <c r="I2158">
        <v>1288.7601318</v>
      </c>
      <c r="J2158">
        <v>1269.5209961</v>
      </c>
      <c r="K2158">
        <v>2400</v>
      </c>
      <c r="L2158">
        <v>0</v>
      </c>
      <c r="M2158">
        <v>0</v>
      </c>
      <c r="N2158">
        <v>2400</v>
      </c>
    </row>
    <row r="2159" spans="1:14" x14ac:dyDescent="0.25">
      <c r="A2159">
        <v>1473.2769269999999</v>
      </c>
      <c r="B2159" s="1">
        <f>DATE(2014,5,13) + TIME(6,38,46)</f>
        <v>41772.276921296296</v>
      </c>
      <c r="C2159">
        <v>80</v>
      </c>
      <c r="D2159">
        <v>79.961692810000002</v>
      </c>
      <c r="E2159">
        <v>50</v>
      </c>
      <c r="F2159">
        <v>49.123226166000002</v>
      </c>
      <c r="G2159">
        <v>1384.2702637</v>
      </c>
      <c r="H2159">
        <v>1370.5375977000001</v>
      </c>
      <c r="I2159">
        <v>1288.7608643000001</v>
      </c>
      <c r="J2159">
        <v>1269.5202637</v>
      </c>
      <c r="K2159">
        <v>2400</v>
      </c>
      <c r="L2159">
        <v>0</v>
      </c>
      <c r="M2159">
        <v>0</v>
      </c>
      <c r="N2159">
        <v>2400</v>
      </c>
    </row>
    <row r="2160" spans="1:14" x14ac:dyDescent="0.25">
      <c r="A2160">
        <v>1473.623083</v>
      </c>
      <c r="B2160" s="1">
        <f>DATE(2014,5,13) + TIME(14,57,14)</f>
        <v>41772.623078703706</v>
      </c>
      <c r="C2160">
        <v>80</v>
      </c>
      <c r="D2160">
        <v>79.961662292</v>
      </c>
      <c r="E2160">
        <v>50</v>
      </c>
      <c r="F2160">
        <v>49.104938507</v>
      </c>
      <c r="G2160">
        <v>1384.2265625</v>
      </c>
      <c r="H2160">
        <v>1370.5101318</v>
      </c>
      <c r="I2160">
        <v>1288.7609863</v>
      </c>
      <c r="J2160">
        <v>1269.519043</v>
      </c>
      <c r="K2160">
        <v>2400</v>
      </c>
      <c r="L2160">
        <v>0</v>
      </c>
      <c r="M2160">
        <v>0</v>
      </c>
      <c r="N2160">
        <v>2400</v>
      </c>
    </row>
    <row r="2161" spans="1:14" x14ac:dyDescent="0.25">
      <c r="A2161">
        <v>1473.9798450000001</v>
      </c>
      <c r="B2161" s="1">
        <f>DATE(2014,5,13) + TIME(23,30,58)</f>
        <v>41772.979837962965</v>
      </c>
      <c r="C2161">
        <v>80</v>
      </c>
      <c r="D2161">
        <v>79.961631775000001</v>
      </c>
      <c r="E2161">
        <v>50</v>
      </c>
      <c r="F2161">
        <v>49.086200714</v>
      </c>
      <c r="G2161">
        <v>1384.1818848</v>
      </c>
      <c r="H2161">
        <v>1370.4816894999999</v>
      </c>
      <c r="I2161">
        <v>1288.7607422000001</v>
      </c>
      <c r="J2161">
        <v>1269.5173339999999</v>
      </c>
      <c r="K2161">
        <v>2400</v>
      </c>
      <c r="L2161">
        <v>0</v>
      </c>
      <c r="M2161">
        <v>0</v>
      </c>
      <c r="N2161">
        <v>2400</v>
      </c>
    </row>
    <row r="2162" spans="1:14" x14ac:dyDescent="0.25">
      <c r="A2162">
        <v>1474.3480320000001</v>
      </c>
      <c r="B2162" s="1">
        <f>DATE(2014,5,14) + TIME(8,21,9)</f>
        <v>41773.348020833335</v>
      </c>
      <c r="C2162">
        <v>80</v>
      </c>
      <c r="D2162">
        <v>79.961608886999997</v>
      </c>
      <c r="E2162">
        <v>50</v>
      </c>
      <c r="F2162">
        <v>49.066978454999997</v>
      </c>
      <c r="G2162">
        <v>1384.1362305</v>
      </c>
      <c r="H2162">
        <v>1370.4522704999999</v>
      </c>
      <c r="I2162">
        <v>1288.7600098</v>
      </c>
      <c r="J2162">
        <v>1269.5150146000001</v>
      </c>
      <c r="K2162">
        <v>2400</v>
      </c>
      <c r="L2162">
        <v>0</v>
      </c>
      <c r="M2162">
        <v>0</v>
      </c>
      <c r="N2162">
        <v>2400</v>
      </c>
    </row>
    <row r="2163" spans="1:14" x14ac:dyDescent="0.25">
      <c r="A2163">
        <v>1474.721057</v>
      </c>
      <c r="B2163" s="1">
        <f>DATE(2014,5,14) + TIME(17,18,19)</f>
        <v>41773.721053240741</v>
      </c>
      <c r="C2163">
        <v>80</v>
      </c>
      <c r="D2163">
        <v>79.961570739999999</v>
      </c>
      <c r="E2163">
        <v>50</v>
      </c>
      <c r="F2163">
        <v>49.04750061</v>
      </c>
      <c r="G2163">
        <v>1384.0895995999999</v>
      </c>
      <c r="H2163">
        <v>1370.4219971</v>
      </c>
      <c r="I2163">
        <v>1288.7586670000001</v>
      </c>
      <c r="J2163">
        <v>1269.5120850000001</v>
      </c>
      <c r="K2163">
        <v>2400</v>
      </c>
      <c r="L2163">
        <v>0</v>
      </c>
      <c r="M2163">
        <v>0</v>
      </c>
      <c r="N2163">
        <v>2400</v>
      </c>
    </row>
    <row r="2164" spans="1:14" x14ac:dyDescent="0.25">
      <c r="A2164">
        <v>1475.099962</v>
      </c>
      <c r="B2164" s="1">
        <f>DATE(2014,5,15) + TIME(2,23,56)</f>
        <v>41774.099953703706</v>
      </c>
      <c r="C2164">
        <v>80</v>
      </c>
      <c r="D2164">
        <v>79.961540221999996</v>
      </c>
      <c r="E2164">
        <v>50</v>
      </c>
      <c r="F2164">
        <v>49.027755737</v>
      </c>
      <c r="G2164">
        <v>1384.0427245999999</v>
      </c>
      <c r="H2164">
        <v>1370.3911132999999</v>
      </c>
      <c r="I2164">
        <v>1288.7568358999999</v>
      </c>
      <c r="J2164">
        <v>1269.5086670000001</v>
      </c>
      <c r="K2164">
        <v>2400</v>
      </c>
      <c r="L2164">
        <v>0</v>
      </c>
      <c r="M2164">
        <v>0</v>
      </c>
      <c r="N2164">
        <v>2400</v>
      </c>
    </row>
    <row r="2165" spans="1:14" x14ac:dyDescent="0.25">
      <c r="A2165">
        <v>1475.4853049999999</v>
      </c>
      <c r="B2165" s="1">
        <f>DATE(2014,5,15) + TIME(11,38,50)</f>
        <v>41774.485300925924</v>
      </c>
      <c r="C2165">
        <v>80</v>
      </c>
      <c r="D2165">
        <v>79.961509704999997</v>
      </c>
      <c r="E2165">
        <v>50</v>
      </c>
      <c r="F2165">
        <v>49.007743834999999</v>
      </c>
      <c r="G2165">
        <v>1383.9957274999999</v>
      </c>
      <c r="H2165">
        <v>1370.3597411999999</v>
      </c>
      <c r="I2165">
        <v>1288.7545166</v>
      </c>
      <c r="J2165">
        <v>1269.5047606999999</v>
      </c>
      <c r="K2165">
        <v>2400</v>
      </c>
      <c r="L2165">
        <v>0</v>
      </c>
      <c r="M2165">
        <v>0</v>
      </c>
      <c r="N2165">
        <v>2400</v>
      </c>
    </row>
    <row r="2166" spans="1:14" x14ac:dyDescent="0.25">
      <c r="A2166">
        <v>1475.8737699999999</v>
      </c>
      <c r="B2166" s="1">
        <f>DATE(2014,5,15) + TIME(20,58,13)</f>
        <v>41774.873761574076</v>
      </c>
      <c r="C2166">
        <v>80</v>
      </c>
      <c r="D2166">
        <v>79.961479186999995</v>
      </c>
      <c r="E2166">
        <v>50</v>
      </c>
      <c r="F2166">
        <v>48.987590789999999</v>
      </c>
      <c r="G2166">
        <v>1383.9484863</v>
      </c>
      <c r="H2166">
        <v>1370.3280029</v>
      </c>
      <c r="I2166">
        <v>1288.7517089999999</v>
      </c>
      <c r="J2166">
        <v>1269.5003661999999</v>
      </c>
      <c r="K2166">
        <v>2400</v>
      </c>
      <c r="L2166">
        <v>0</v>
      </c>
      <c r="M2166">
        <v>0</v>
      </c>
      <c r="N2166">
        <v>2400</v>
      </c>
    </row>
    <row r="2167" spans="1:14" x14ac:dyDescent="0.25">
      <c r="A2167">
        <v>1476.2662069999999</v>
      </c>
      <c r="B2167" s="1">
        <f>DATE(2014,5,16) + TIME(6,23,20)</f>
        <v>41775.266203703701</v>
      </c>
      <c r="C2167">
        <v>80</v>
      </c>
      <c r="D2167">
        <v>79.961448669000006</v>
      </c>
      <c r="E2167">
        <v>50</v>
      </c>
      <c r="F2167">
        <v>48.967292786000002</v>
      </c>
      <c r="G2167">
        <v>1383.9013672000001</v>
      </c>
      <c r="H2167">
        <v>1370.2960204999999</v>
      </c>
      <c r="I2167">
        <v>1288.7484131000001</v>
      </c>
      <c r="J2167">
        <v>1269.4953613</v>
      </c>
      <c r="K2167">
        <v>2400</v>
      </c>
      <c r="L2167">
        <v>0</v>
      </c>
      <c r="M2167">
        <v>0</v>
      </c>
      <c r="N2167">
        <v>2400</v>
      </c>
    </row>
    <row r="2168" spans="1:14" x14ac:dyDescent="0.25">
      <c r="A2168">
        <v>1476.6634650000001</v>
      </c>
      <c r="B2168" s="1">
        <f>DATE(2014,5,16) + TIME(15,55,23)</f>
        <v>41775.663460648146</v>
      </c>
      <c r="C2168">
        <v>80</v>
      </c>
      <c r="D2168">
        <v>79.961410521999994</v>
      </c>
      <c r="E2168">
        <v>50</v>
      </c>
      <c r="F2168">
        <v>48.946834564</v>
      </c>
      <c r="G2168">
        <v>1383.8544922000001</v>
      </c>
      <c r="H2168">
        <v>1370.2639160000001</v>
      </c>
      <c r="I2168">
        <v>1288.744751</v>
      </c>
      <c r="J2168">
        <v>1269.4899902</v>
      </c>
      <c r="K2168">
        <v>2400</v>
      </c>
      <c r="L2168">
        <v>0</v>
      </c>
      <c r="M2168">
        <v>0</v>
      </c>
      <c r="N2168">
        <v>2400</v>
      </c>
    </row>
    <row r="2169" spans="1:14" x14ac:dyDescent="0.25">
      <c r="A2169">
        <v>1477.066435</v>
      </c>
      <c r="B2169" s="1">
        <f>DATE(2014,5,17) + TIME(1,35,40)</f>
        <v>41776.066435185188</v>
      </c>
      <c r="C2169">
        <v>80</v>
      </c>
      <c r="D2169">
        <v>79.961380004999995</v>
      </c>
      <c r="E2169">
        <v>50</v>
      </c>
      <c r="F2169">
        <v>48.926185607999997</v>
      </c>
      <c r="G2169">
        <v>1383.8076172000001</v>
      </c>
      <c r="H2169">
        <v>1370.2316894999999</v>
      </c>
      <c r="I2169">
        <v>1288.7406006000001</v>
      </c>
      <c r="J2169">
        <v>1269.4841309000001</v>
      </c>
      <c r="K2169">
        <v>2400</v>
      </c>
      <c r="L2169">
        <v>0</v>
      </c>
      <c r="M2169">
        <v>0</v>
      </c>
      <c r="N2169">
        <v>2400</v>
      </c>
    </row>
    <row r="2170" spans="1:14" x14ac:dyDescent="0.25">
      <c r="A2170">
        <v>1477.47606</v>
      </c>
      <c r="B2170" s="1">
        <f>DATE(2014,5,17) + TIME(11,25,31)</f>
        <v>41776.476053240738</v>
      </c>
      <c r="C2170">
        <v>80</v>
      </c>
      <c r="D2170">
        <v>79.961349487000007</v>
      </c>
      <c r="E2170">
        <v>50</v>
      </c>
      <c r="F2170">
        <v>48.905323029000002</v>
      </c>
      <c r="G2170">
        <v>1383.7607422000001</v>
      </c>
      <c r="H2170">
        <v>1370.1990966999999</v>
      </c>
      <c r="I2170">
        <v>1288.7360839999999</v>
      </c>
      <c r="J2170">
        <v>1269.4779053</v>
      </c>
      <c r="K2170">
        <v>2400</v>
      </c>
      <c r="L2170">
        <v>0</v>
      </c>
      <c r="M2170">
        <v>0</v>
      </c>
      <c r="N2170">
        <v>2400</v>
      </c>
    </row>
    <row r="2171" spans="1:14" x14ac:dyDescent="0.25">
      <c r="A2171">
        <v>1477.8933500000001</v>
      </c>
      <c r="B2171" s="1">
        <f>DATE(2014,5,17) + TIME(21,26,25)</f>
        <v>41776.89334490741</v>
      </c>
      <c r="C2171">
        <v>80</v>
      </c>
      <c r="D2171">
        <v>79.961318969999994</v>
      </c>
      <c r="E2171">
        <v>50</v>
      </c>
      <c r="F2171">
        <v>48.884201050000001</v>
      </c>
      <c r="G2171">
        <v>1383.7137451000001</v>
      </c>
      <c r="H2171">
        <v>1370.1662598</v>
      </c>
      <c r="I2171">
        <v>1288.7312012</v>
      </c>
      <c r="J2171">
        <v>1269.4711914</v>
      </c>
      <c r="K2171">
        <v>2400</v>
      </c>
      <c r="L2171">
        <v>0</v>
      </c>
      <c r="M2171">
        <v>0</v>
      </c>
      <c r="N2171">
        <v>2400</v>
      </c>
    </row>
    <row r="2172" spans="1:14" x14ac:dyDescent="0.25">
      <c r="A2172">
        <v>1478.3194040000001</v>
      </c>
      <c r="B2172" s="1">
        <f>DATE(2014,5,18) + TIME(7,39,56)</f>
        <v>41777.319398148145</v>
      </c>
      <c r="C2172">
        <v>80</v>
      </c>
      <c r="D2172">
        <v>79.961288452000005</v>
      </c>
      <c r="E2172">
        <v>50</v>
      </c>
      <c r="F2172">
        <v>48.862781525000003</v>
      </c>
      <c r="G2172">
        <v>1383.6665039</v>
      </c>
      <c r="H2172">
        <v>1370.1330565999999</v>
      </c>
      <c r="I2172">
        <v>1288.7259521000001</v>
      </c>
      <c r="J2172">
        <v>1269.4639893000001</v>
      </c>
      <c r="K2172">
        <v>2400</v>
      </c>
      <c r="L2172">
        <v>0</v>
      </c>
      <c r="M2172">
        <v>0</v>
      </c>
      <c r="N2172">
        <v>2400</v>
      </c>
    </row>
    <row r="2173" spans="1:14" x14ac:dyDescent="0.25">
      <c r="A2173">
        <v>1478.7542980000001</v>
      </c>
      <c r="B2173" s="1">
        <f>DATE(2014,5,18) + TIME(18,6,11)</f>
        <v>41777.754293981481</v>
      </c>
      <c r="C2173">
        <v>80</v>
      </c>
      <c r="D2173">
        <v>79.961265564000001</v>
      </c>
      <c r="E2173">
        <v>50</v>
      </c>
      <c r="F2173">
        <v>48.841049194</v>
      </c>
      <c r="G2173">
        <v>1383.6191406</v>
      </c>
      <c r="H2173">
        <v>1370.0994873</v>
      </c>
      <c r="I2173">
        <v>1288.7202147999999</v>
      </c>
      <c r="J2173">
        <v>1269.4562988</v>
      </c>
      <c r="K2173">
        <v>2400</v>
      </c>
      <c r="L2173">
        <v>0</v>
      </c>
      <c r="M2173">
        <v>0</v>
      </c>
      <c r="N2173">
        <v>2400</v>
      </c>
    </row>
    <row r="2174" spans="1:14" x14ac:dyDescent="0.25">
      <c r="A2174">
        <v>1479.198672</v>
      </c>
      <c r="B2174" s="1">
        <f>DATE(2014,5,19) + TIME(4,46,5)</f>
        <v>41778.19866898148</v>
      </c>
      <c r="C2174">
        <v>80</v>
      </c>
      <c r="D2174">
        <v>79.961235045999999</v>
      </c>
      <c r="E2174">
        <v>50</v>
      </c>
      <c r="F2174">
        <v>48.818984985</v>
      </c>
      <c r="G2174">
        <v>1383.5714111</v>
      </c>
      <c r="H2174">
        <v>1370.0654297000001</v>
      </c>
      <c r="I2174">
        <v>1288.7141113</v>
      </c>
      <c r="J2174">
        <v>1269.4482422000001</v>
      </c>
      <c r="K2174">
        <v>2400</v>
      </c>
      <c r="L2174">
        <v>0</v>
      </c>
      <c r="M2174">
        <v>0</v>
      </c>
      <c r="N2174">
        <v>2400</v>
      </c>
    </row>
    <row r="2175" spans="1:14" x14ac:dyDescent="0.25">
      <c r="A2175">
        <v>1479.653742</v>
      </c>
      <c r="B2175" s="1">
        <f>DATE(2014,5,19) + TIME(15,41,23)</f>
        <v>41778.653738425928</v>
      </c>
      <c r="C2175">
        <v>80</v>
      </c>
      <c r="D2175">
        <v>79.961204529</v>
      </c>
      <c r="E2175">
        <v>50</v>
      </c>
      <c r="F2175">
        <v>48.796539307000003</v>
      </c>
      <c r="G2175">
        <v>1383.5234375</v>
      </c>
      <c r="H2175">
        <v>1370.0311279</v>
      </c>
      <c r="I2175">
        <v>1288.7076416</v>
      </c>
      <c r="J2175">
        <v>1269.4396973</v>
      </c>
      <c r="K2175">
        <v>2400</v>
      </c>
      <c r="L2175">
        <v>0</v>
      </c>
      <c r="M2175">
        <v>0</v>
      </c>
      <c r="N2175">
        <v>2400</v>
      </c>
    </row>
    <row r="2176" spans="1:14" x14ac:dyDescent="0.25">
      <c r="A2176">
        <v>1480.120856</v>
      </c>
      <c r="B2176" s="1">
        <f>DATE(2014,5,20) + TIME(2,54,1)</f>
        <v>41779.120844907404</v>
      </c>
      <c r="C2176">
        <v>80</v>
      </c>
      <c r="D2176">
        <v>79.961174010999997</v>
      </c>
      <c r="E2176">
        <v>50</v>
      </c>
      <c r="F2176">
        <v>48.773666382000002</v>
      </c>
      <c r="G2176">
        <v>1383.4749756000001</v>
      </c>
      <c r="H2176">
        <v>1369.9962158000001</v>
      </c>
      <c r="I2176">
        <v>1288.7006836</v>
      </c>
      <c r="J2176">
        <v>1269.4306641000001</v>
      </c>
      <c r="K2176">
        <v>2400</v>
      </c>
      <c r="L2176">
        <v>0</v>
      </c>
      <c r="M2176">
        <v>0</v>
      </c>
      <c r="N2176">
        <v>2400</v>
      </c>
    </row>
    <row r="2177" spans="1:14" x14ac:dyDescent="0.25">
      <c r="A2177">
        <v>1480.601521</v>
      </c>
      <c r="B2177" s="1">
        <f>DATE(2014,5,20) + TIME(14,26,11)</f>
        <v>41779.6015162037</v>
      </c>
      <c r="C2177">
        <v>80</v>
      </c>
      <c r="D2177">
        <v>79.961143493999998</v>
      </c>
      <c r="E2177">
        <v>50</v>
      </c>
      <c r="F2177">
        <v>48.750305175999998</v>
      </c>
      <c r="G2177">
        <v>1383.4261475000001</v>
      </c>
      <c r="H2177">
        <v>1369.9608154</v>
      </c>
      <c r="I2177">
        <v>1288.6933594</v>
      </c>
      <c r="J2177">
        <v>1269.4210204999999</v>
      </c>
      <c r="K2177">
        <v>2400</v>
      </c>
      <c r="L2177">
        <v>0</v>
      </c>
      <c r="M2177">
        <v>0</v>
      </c>
      <c r="N2177">
        <v>2400</v>
      </c>
    </row>
    <row r="2178" spans="1:14" x14ac:dyDescent="0.25">
      <c r="A2178">
        <v>1481.0978009999999</v>
      </c>
      <c r="B2178" s="1">
        <f>DATE(2014,5,21) + TIME(2,20,50)</f>
        <v>41780.097800925927</v>
      </c>
      <c r="C2178">
        <v>80</v>
      </c>
      <c r="D2178">
        <v>79.961120605000005</v>
      </c>
      <c r="E2178">
        <v>50</v>
      </c>
      <c r="F2178">
        <v>48.726387023999997</v>
      </c>
      <c r="G2178">
        <v>1383.3765868999999</v>
      </c>
      <c r="H2178">
        <v>1369.9248047000001</v>
      </c>
      <c r="I2178">
        <v>1288.6855469</v>
      </c>
      <c r="J2178">
        <v>1269.4110106999999</v>
      </c>
      <c r="K2178">
        <v>2400</v>
      </c>
      <c r="L2178">
        <v>0</v>
      </c>
      <c r="M2178">
        <v>0</v>
      </c>
      <c r="N2178">
        <v>2400</v>
      </c>
    </row>
    <row r="2179" spans="1:14" x14ac:dyDescent="0.25">
      <c r="A2179">
        <v>1481.603885</v>
      </c>
      <c r="B2179" s="1">
        <f>DATE(2014,5,21) + TIME(14,29,35)</f>
        <v>41780.603877314818</v>
      </c>
      <c r="C2179">
        <v>80</v>
      </c>
      <c r="D2179">
        <v>79.961090088000006</v>
      </c>
      <c r="E2179">
        <v>50</v>
      </c>
      <c r="F2179">
        <v>48.702056884999998</v>
      </c>
      <c r="G2179">
        <v>1383.3265381000001</v>
      </c>
      <c r="H2179">
        <v>1369.8880615</v>
      </c>
      <c r="I2179">
        <v>1288.6772461</v>
      </c>
      <c r="J2179">
        <v>1269.4003906</v>
      </c>
      <c r="K2179">
        <v>2400</v>
      </c>
      <c r="L2179">
        <v>0</v>
      </c>
      <c r="M2179">
        <v>0</v>
      </c>
      <c r="N2179">
        <v>2400</v>
      </c>
    </row>
    <row r="2180" spans="1:14" x14ac:dyDescent="0.25">
      <c r="A2180">
        <v>1482.1169179999999</v>
      </c>
      <c r="B2180" s="1">
        <f>DATE(2014,5,22) + TIME(2,48,21)</f>
        <v>41781.116909722223</v>
      </c>
      <c r="C2180">
        <v>80</v>
      </c>
      <c r="D2180">
        <v>79.961067200000002</v>
      </c>
      <c r="E2180">
        <v>50</v>
      </c>
      <c r="F2180">
        <v>48.677433014000002</v>
      </c>
      <c r="G2180">
        <v>1383.2763672000001</v>
      </c>
      <c r="H2180">
        <v>1369.8511963000001</v>
      </c>
      <c r="I2180">
        <v>1288.6685791</v>
      </c>
      <c r="J2180">
        <v>1269.3892822</v>
      </c>
      <c r="K2180">
        <v>2400</v>
      </c>
      <c r="L2180">
        <v>0</v>
      </c>
      <c r="M2180">
        <v>0</v>
      </c>
      <c r="N2180">
        <v>2400</v>
      </c>
    </row>
    <row r="2181" spans="1:14" x14ac:dyDescent="0.25">
      <c r="A2181">
        <v>1482.63807</v>
      </c>
      <c r="B2181" s="1">
        <f>DATE(2014,5,22) + TIME(15,18,49)</f>
        <v>41781.638067129628</v>
      </c>
      <c r="C2181">
        <v>80</v>
      </c>
      <c r="D2181">
        <v>79.961036682</v>
      </c>
      <c r="E2181">
        <v>50</v>
      </c>
      <c r="F2181">
        <v>48.652519226000003</v>
      </c>
      <c r="G2181">
        <v>1383.2261963000001</v>
      </c>
      <c r="H2181">
        <v>1369.8142089999999</v>
      </c>
      <c r="I2181">
        <v>1288.6595459</v>
      </c>
      <c r="J2181">
        <v>1269.3778076000001</v>
      </c>
      <c r="K2181">
        <v>2400</v>
      </c>
      <c r="L2181">
        <v>0</v>
      </c>
      <c r="M2181">
        <v>0</v>
      </c>
      <c r="N2181">
        <v>2400</v>
      </c>
    </row>
    <row r="2182" spans="1:14" x14ac:dyDescent="0.25">
      <c r="A2182">
        <v>1483.167956</v>
      </c>
      <c r="B2182" s="1">
        <f>DATE(2014,5,23) + TIME(4,1,51)</f>
        <v>41782.167951388888</v>
      </c>
      <c r="C2182">
        <v>80</v>
      </c>
      <c r="D2182">
        <v>79.961013793999996</v>
      </c>
      <c r="E2182">
        <v>50</v>
      </c>
      <c r="F2182">
        <v>48.627323150999999</v>
      </c>
      <c r="G2182">
        <v>1383.1761475000001</v>
      </c>
      <c r="H2182">
        <v>1369.7769774999999</v>
      </c>
      <c r="I2182">
        <v>1288.6502685999999</v>
      </c>
      <c r="J2182">
        <v>1269.3659668</v>
      </c>
      <c r="K2182">
        <v>2400</v>
      </c>
      <c r="L2182">
        <v>0</v>
      </c>
      <c r="M2182">
        <v>0</v>
      </c>
      <c r="N2182">
        <v>2400</v>
      </c>
    </row>
    <row r="2183" spans="1:14" x14ac:dyDescent="0.25">
      <c r="A2183">
        <v>1483.70767</v>
      </c>
      <c r="B2183" s="1">
        <f>DATE(2014,5,23) + TIME(16,59,2)</f>
        <v>41782.707662037035</v>
      </c>
      <c r="C2183">
        <v>80</v>
      </c>
      <c r="D2183">
        <v>79.960983275999993</v>
      </c>
      <c r="E2183">
        <v>50</v>
      </c>
      <c r="F2183">
        <v>48.601814269999998</v>
      </c>
      <c r="G2183">
        <v>1383.1262207</v>
      </c>
      <c r="H2183">
        <v>1369.739624</v>
      </c>
      <c r="I2183">
        <v>1288.640625</v>
      </c>
      <c r="J2183">
        <v>1269.3536377</v>
      </c>
      <c r="K2183">
        <v>2400</v>
      </c>
      <c r="L2183">
        <v>0</v>
      </c>
      <c r="M2183">
        <v>0</v>
      </c>
      <c r="N2183">
        <v>2400</v>
      </c>
    </row>
    <row r="2184" spans="1:14" x14ac:dyDescent="0.25">
      <c r="A2184">
        <v>1484.258728</v>
      </c>
      <c r="B2184" s="1">
        <f>DATE(2014,5,24) + TIME(6,12,34)</f>
        <v>41783.258726851855</v>
      </c>
      <c r="C2184">
        <v>80</v>
      </c>
      <c r="D2184">
        <v>79.960960388000004</v>
      </c>
      <c r="E2184">
        <v>50</v>
      </c>
      <c r="F2184">
        <v>48.575958252</v>
      </c>
      <c r="G2184">
        <v>1383.0761719</v>
      </c>
      <c r="H2184">
        <v>1369.7021483999999</v>
      </c>
      <c r="I2184">
        <v>1288.6306152</v>
      </c>
      <c r="J2184">
        <v>1269.3408202999999</v>
      </c>
      <c r="K2184">
        <v>2400</v>
      </c>
      <c r="L2184">
        <v>0</v>
      </c>
      <c r="M2184">
        <v>0</v>
      </c>
      <c r="N2184">
        <v>2400</v>
      </c>
    </row>
    <row r="2185" spans="1:14" x14ac:dyDescent="0.25">
      <c r="A2185">
        <v>1484.819945</v>
      </c>
      <c r="B2185" s="1">
        <f>DATE(2014,5,24) + TIME(19,40,43)</f>
        <v>41783.81994212963</v>
      </c>
      <c r="C2185">
        <v>80</v>
      </c>
      <c r="D2185">
        <v>79.9609375</v>
      </c>
      <c r="E2185">
        <v>50</v>
      </c>
      <c r="F2185">
        <v>48.549781799000002</v>
      </c>
      <c r="G2185">
        <v>1383.0258789</v>
      </c>
      <c r="H2185">
        <v>1369.6643065999999</v>
      </c>
      <c r="I2185">
        <v>1288.6202393000001</v>
      </c>
      <c r="J2185">
        <v>1269.3276367000001</v>
      </c>
      <c r="K2185">
        <v>2400</v>
      </c>
      <c r="L2185">
        <v>0</v>
      </c>
      <c r="M2185">
        <v>0</v>
      </c>
      <c r="N2185">
        <v>2400</v>
      </c>
    </row>
    <row r="2186" spans="1:14" x14ac:dyDescent="0.25">
      <c r="A2186">
        <v>1485.3847969999999</v>
      </c>
      <c r="B2186" s="1">
        <f>DATE(2014,5,25) + TIME(9,14,6)</f>
        <v>41784.384791666664</v>
      </c>
      <c r="C2186">
        <v>80</v>
      </c>
      <c r="D2186">
        <v>79.960914611999996</v>
      </c>
      <c r="E2186">
        <v>50</v>
      </c>
      <c r="F2186">
        <v>48.523460387999997</v>
      </c>
      <c r="G2186">
        <v>1382.9758300999999</v>
      </c>
      <c r="H2186">
        <v>1369.6264647999999</v>
      </c>
      <c r="I2186">
        <v>1288.6094971</v>
      </c>
      <c r="J2186">
        <v>1269.3140868999999</v>
      </c>
      <c r="K2186">
        <v>2400</v>
      </c>
      <c r="L2186">
        <v>0</v>
      </c>
      <c r="M2186">
        <v>0</v>
      </c>
      <c r="N2186">
        <v>2400</v>
      </c>
    </row>
    <row r="2187" spans="1:14" x14ac:dyDescent="0.25">
      <c r="A2187">
        <v>1485.9524060000001</v>
      </c>
      <c r="B2187" s="1">
        <f>DATE(2014,5,25) + TIME(22,51,27)</f>
        <v>41784.95239583333</v>
      </c>
      <c r="C2187">
        <v>80</v>
      </c>
      <c r="D2187">
        <v>79.960891724000007</v>
      </c>
      <c r="E2187">
        <v>50</v>
      </c>
      <c r="F2187">
        <v>48.497081756999997</v>
      </c>
      <c r="G2187">
        <v>1382.9262695</v>
      </c>
      <c r="H2187">
        <v>1369.5887451000001</v>
      </c>
      <c r="I2187">
        <v>1288.5986327999999</v>
      </c>
      <c r="J2187">
        <v>1269.3001709</v>
      </c>
      <c r="K2187">
        <v>2400</v>
      </c>
      <c r="L2187">
        <v>0</v>
      </c>
      <c r="M2187">
        <v>0</v>
      </c>
      <c r="N2187">
        <v>2400</v>
      </c>
    </row>
    <row r="2188" spans="1:14" x14ac:dyDescent="0.25">
      <c r="A2188">
        <v>1486.523856</v>
      </c>
      <c r="B2188" s="1">
        <f>DATE(2014,5,26) + TIME(12,34,21)</f>
        <v>41785.523854166669</v>
      </c>
      <c r="C2188">
        <v>80</v>
      </c>
      <c r="D2188">
        <v>79.960868834999999</v>
      </c>
      <c r="E2188">
        <v>50</v>
      </c>
      <c r="F2188">
        <v>48.470653534</v>
      </c>
      <c r="G2188">
        <v>1382.8771973</v>
      </c>
      <c r="H2188">
        <v>1369.5513916</v>
      </c>
      <c r="I2188">
        <v>1288.5875243999999</v>
      </c>
      <c r="J2188">
        <v>1269.2860106999999</v>
      </c>
      <c r="K2188">
        <v>2400</v>
      </c>
      <c r="L2188">
        <v>0</v>
      </c>
      <c r="M2188">
        <v>0</v>
      </c>
      <c r="N2188">
        <v>2400</v>
      </c>
    </row>
    <row r="2189" spans="1:14" x14ac:dyDescent="0.25">
      <c r="A2189">
        <v>1487.1003490000001</v>
      </c>
      <c r="B2189" s="1">
        <f>DATE(2014,5,27) + TIME(2,24,30)</f>
        <v>41786.100347222222</v>
      </c>
      <c r="C2189">
        <v>80</v>
      </c>
      <c r="D2189">
        <v>79.960853576999995</v>
      </c>
      <c r="E2189">
        <v>50</v>
      </c>
      <c r="F2189">
        <v>48.444160461000003</v>
      </c>
      <c r="G2189">
        <v>1382.8286132999999</v>
      </c>
      <c r="H2189">
        <v>1369.5141602000001</v>
      </c>
      <c r="I2189">
        <v>1288.5760498</v>
      </c>
      <c r="J2189">
        <v>1269.2714844</v>
      </c>
      <c r="K2189">
        <v>2400</v>
      </c>
      <c r="L2189">
        <v>0</v>
      </c>
      <c r="M2189">
        <v>0</v>
      </c>
      <c r="N2189">
        <v>2400</v>
      </c>
    </row>
    <row r="2190" spans="1:14" x14ac:dyDescent="0.25">
      <c r="A2190">
        <v>1487.683133</v>
      </c>
      <c r="B2190" s="1">
        <f>DATE(2014,5,27) + TIME(16,23,42)</f>
        <v>41786.683125000003</v>
      </c>
      <c r="C2190">
        <v>80</v>
      </c>
      <c r="D2190">
        <v>79.960830688000001</v>
      </c>
      <c r="E2190">
        <v>50</v>
      </c>
      <c r="F2190">
        <v>48.417564392000003</v>
      </c>
      <c r="G2190">
        <v>1382.7803954999999</v>
      </c>
      <c r="H2190">
        <v>1369.4770507999999</v>
      </c>
      <c r="I2190">
        <v>1288.5644531</v>
      </c>
      <c r="J2190">
        <v>1269.2567139</v>
      </c>
      <c r="K2190">
        <v>2400</v>
      </c>
      <c r="L2190">
        <v>0</v>
      </c>
      <c r="M2190">
        <v>0</v>
      </c>
      <c r="N2190">
        <v>2400</v>
      </c>
    </row>
    <row r="2191" spans="1:14" x14ac:dyDescent="0.25">
      <c r="A2191">
        <v>1488.273531</v>
      </c>
      <c r="B2191" s="1">
        <f>DATE(2014,5,28) + TIME(6,33,53)</f>
        <v>41787.273530092592</v>
      </c>
      <c r="C2191">
        <v>80</v>
      </c>
      <c r="D2191">
        <v>79.960815429999997</v>
      </c>
      <c r="E2191">
        <v>50</v>
      </c>
      <c r="F2191">
        <v>48.390830993999998</v>
      </c>
      <c r="G2191">
        <v>1382.7325439000001</v>
      </c>
      <c r="H2191">
        <v>1369.4400635</v>
      </c>
      <c r="I2191">
        <v>1288.5526123</v>
      </c>
      <c r="J2191">
        <v>1269.2415771000001</v>
      </c>
      <c r="K2191">
        <v>2400</v>
      </c>
      <c r="L2191">
        <v>0</v>
      </c>
      <c r="M2191">
        <v>0</v>
      </c>
      <c r="N2191">
        <v>2400</v>
      </c>
    </row>
    <row r="2192" spans="1:14" x14ac:dyDescent="0.25">
      <c r="A2192">
        <v>1488.872961</v>
      </c>
      <c r="B2192" s="1">
        <f>DATE(2014,5,28) + TIME(20,57,3)</f>
        <v>41787.87295138889</v>
      </c>
      <c r="C2192">
        <v>80</v>
      </c>
      <c r="D2192">
        <v>79.960800171000002</v>
      </c>
      <c r="E2192">
        <v>50</v>
      </c>
      <c r="F2192">
        <v>48.363903045999997</v>
      </c>
      <c r="G2192">
        <v>1382.6848144999999</v>
      </c>
      <c r="H2192">
        <v>1369.4030762</v>
      </c>
      <c r="I2192">
        <v>1288.5405272999999</v>
      </c>
      <c r="J2192">
        <v>1269.2259521000001</v>
      </c>
      <c r="K2192">
        <v>2400</v>
      </c>
      <c r="L2192">
        <v>0</v>
      </c>
      <c r="M2192">
        <v>0</v>
      </c>
      <c r="N2192">
        <v>2400</v>
      </c>
    </row>
    <row r="2193" spans="1:14" x14ac:dyDescent="0.25">
      <c r="A2193">
        <v>1489.48296</v>
      </c>
      <c r="B2193" s="1">
        <f>DATE(2014,5,29) + TIME(11,35,27)</f>
        <v>41788.482951388891</v>
      </c>
      <c r="C2193">
        <v>80</v>
      </c>
      <c r="D2193">
        <v>79.960777282999999</v>
      </c>
      <c r="E2193">
        <v>50</v>
      </c>
      <c r="F2193">
        <v>48.336730957</v>
      </c>
      <c r="G2193">
        <v>1382.6370850000001</v>
      </c>
      <c r="H2193">
        <v>1369.3659668</v>
      </c>
      <c r="I2193">
        <v>1288.5279541</v>
      </c>
      <c r="J2193">
        <v>1269.2099608999999</v>
      </c>
      <c r="K2193">
        <v>2400</v>
      </c>
      <c r="L2193">
        <v>0</v>
      </c>
      <c r="M2193">
        <v>0</v>
      </c>
      <c r="N2193">
        <v>2400</v>
      </c>
    </row>
    <row r="2194" spans="1:14" x14ac:dyDescent="0.25">
      <c r="A2194">
        <v>1490.105215</v>
      </c>
      <c r="B2194" s="1">
        <f>DATE(2014,5,30) + TIME(2,31,30)</f>
        <v>41789.105208333334</v>
      </c>
      <c r="C2194">
        <v>80</v>
      </c>
      <c r="D2194">
        <v>79.960762024000005</v>
      </c>
      <c r="E2194">
        <v>50</v>
      </c>
      <c r="F2194">
        <v>48.309249878000003</v>
      </c>
      <c r="G2194">
        <v>1382.5893555</v>
      </c>
      <c r="H2194">
        <v>1369.3286132999999</v>
      </c>
      <c r="I2194">
        <v>1288.5151367000001</v>
      </c>
      <c r="J2194">
        <v>1269.1934814000001</v>
      </c>
      <c r="K2194">
        <v>2400</v>
      </c>
      <c r="L2194">
        <v>0</v>
      </c>
      <c r="M2194">
        <v>0</v>
      </c>
      <c r="N2194">
        <v>2400</v>
      </c>
    </row>
    <row r="2195" spans="1:14" x14ac:dyDescent="0.25">
      <c r="A2195">
        <v>1490.7415940000001</v>
      </c>
      <c r="B2195" s="1">
        <f>DATE(2014,5,30) + TIME(17,47,53)</f>
        <v>41789.741585648146</v>
      </c>
      <c r="C2195">
        <v>80</v>
      </c>
      <c r="D2195">
        <v>79.960746764999996</v>
      </c>
      <c r="E2195">
        <v>50</v>
      </c>
      <c r="F2195">
        <v>48.281391143999997</v>
      </c>
      <c r="G2195">
        <v>1382.5415039</v>
      </c>
      <c r="H2195">
        <v>1369.2910156</v>
      </c>
      <c r="I2195">
        <v>1288.5018310999999</v>
      </c>
      <c r="J2195">
        <v>1269.1765137</v>
      </c>
      <c r="K2195">
        <v>2400</v>
      </c>
      <c r="L2195">
        <v>0</v>
      </c>
      <c r="M2195">
        <v>0</v>
      </c>
      <c r="N2195">
        <v>2400</v>
      </c>
    </row>
    <row r="2196" spans="1:14" x14ac:dyDescent="0.25">
      <c r="A2196">
        <v>1491.394462</v>
      </c>
      <c r="B2196" s="1">
        <f>DATE(2014,5,31) + TIME(9,28,1)</f>
        <v>41790.394456018519</v>
      </c>
      <c r="C2196">
        <v>80</v>
      </c>
      <c r="D2196">
        <v>79.960731506000002</v>
      </c>
      <c r="E2196">
        <v>50</v>
      </c>
      <c r="F2196">
        <v>48.253074646000002</v>
      </c>
      <c r="G2196">
        <v>1382.4932861</v>
      </c>
      <c r="H2196">
        <v>1369.2530518000001</v>
      </c>
      <c r="I2196">
        <v>1288.4881591999999</v>
      </c>
      <c r="J2196">
        <v>1269.1588135</v>
      </c>
      <c r="K2196">
        <v>2400</v>
      </c>
      <c r="L2196">
        <v>0</v>
      </c>
      <c r="M2196">
        <v>0</v>
      </c>
      <c r="N2196">
        <v>2400</v>
      </c>
    </row>
    <row r="2197" spans="1:14" x14ac:dyDescent="0.25">
      <c r="A2197">
        <v>1492</v>
      </c>
      <c r="B2197" s="1">
        <f>DATE(2014,6,1) + TIME(0,0,0)</f>
        <v>41791</v>
      </c>
      <c r="C2197">
        <v>80</v>
      </c>
      <c r="D2197">
        <v>79.960716247999997</v>
      </c>
      <c r="E2197">
        <v>50</v>
      </c>
      <c r="F2197">
        <v>48.225849152000002</v>
      </c>
      <c r="G2197">
        <v>1382.4458007999999</v>
      </c>
      <c r="H2197">
        <v>1369.2158202999999</v>
      </c>
      <c r="I2197">
        <v>1288.4741211</v>
      </c>
      <c r="J2197">
        <v>1269.1408690999999</v>
      </c>
      <c r="K2197">
        <v>2400</v>
      </c>
      <c r="L2197">
        <v>0</v>
      </c>
      <c r="M2197">
        <v>0</v>
      </c>
      <c r="N2197">
        <v>2400</v>
      </c>
    </row>
    <row r="2198" spans="1:14" x14ac:dyDescent="0.25">
      <c r="A2198">
        <v>1492.6716939999999</v>
      </c>
      <c r="B2198" s="1">
        <f>DATE(2014,6,1) + TIME(16,7,14)</f>
        <v>41791.671689814815</v>
      </c>
      <c r="C2198">
        <v>80</v>
      </c>
      <c r="D2198">
        <v>79.960708617999998</v>
      </c>
      <c r="E2198">
        <v>50</v>
      </c>
      <c r="F2198">
        <v>48.197418212999999</v>
      </c>
      <c r="G2198">
        <v>1382.3999022999999</v>
      </c>
      <c r="H2198">
        <v>1369.1790771000001</v>
      </c>
      <c r="I2198">
        <v>1288.4605713000001</v>
      </c>
      <c r="J2198">
        <v>1269.1231689000001</v>
      </c>
      <c r="K2198">
        <v>2400</v>
      </c>
      <c r="L2198">
        <v>0</v>
      </c>
      <c r="M2198">
        <v>0</v>
      </c>
      <c r="N2198">
        <v>2400</v>
      </c>
    </row>
    <row r="2199" spans="1:14" x14ac:dyDescent="0.25">
      <c r="A2199">
        <v>1493.386673</v>
      </c>
      <c r="B2199" s="1">
        <f>DATE(2014,6,2) + TIME(9,16,48)</f>
        <v>41792.386666666665</v>
      </c>
      <c r="C2199">
        <v>80</v>
      </c>
      <c r="D2199">
        <v>79.960700989000003</v>
      </c>
      <c r="E2199">
        <v>50</v>
      </c>
      <c r="F2199">
        <v>48.167751312</v>
      </c>
      <c r="G2199">
        <v>1382.3513184000001</v>
      </c>
      <c r="H2199">
        <v>1369.1403809000001</v>
      </c>
      <c r="I2199">
        <v>1288.4455565999999</v>
      </c>
      <c r="J2199">
        <v>1269.1036377</v>
      </c>
      <c r="K2199">
        <v>2400</v>
      </c>
      <c r="L2199">
        <v>0</v>
      </c>
      <c r="M2199">
        <v>0</v>
      </c>
      <c r="N2199">
        <v>2400</v>
      </c>
    </row>
    <row r="2200" spans="1:14" x14ac:dyDescent="0.25">
      <c r="A2200">
        <v>1494.11628</v>
      </c>
      <c r="B2200" s="1">
        <f>DATE(2014,6,3) + TIME(2,47,26)</f>
        <v>41793.116273148145</v>
      </c>
      <c r="C2200">
        <v>80</v>
      </c>
      <c r="D2200">
        <v>79.960685729999994</v>
      </c>
      <c r="E2200">
        <v>50</v>
      </c>
      <c r="F2200">
        <v>48.137310028000002</v>
      </c>
      <c r="G2200">
        <v>1382.3009033000001</v>
      </c>
      <c r="H2200">
        <v>1369.1002197</v>
      </c>
      <c r="I2200">
        <v>1288.4295654</v>
      </c>
      <c r="J2200">
        <v>1269.0830077999999</v>
      </c>
      <c r="K2200">
        <v>2400</v>
      </c>
      <c r="L2200">
        <v>0</v>
      </c>
      <c r="M2200">
        <v>0</v>
      </c>
      <c r="N2200">
        <v>2400</v>
      </c>
    </row>
    <row r="2201" spans="1:14" x14ac:dyDescent="0.25">
      <c r="A2201">
        <v>1494.8620289999999</v>
      </c>
      <c r="B2201" s="1">
        <f>DATE(2014,6,3) + TIME(20,41,19)</f>
        <v>41793.862025462964</v>
      </c>
      <c r="C2201">
        <v>80</v>
      </c>
      <c r="D2201">
        <v>79.960670471</v>
      </c>
      <c r="E2201">
        <v>50</v>
      </c>
      <c r="F2201">
        <v>48.106227875000002</v>
      </c>
      <c r="G2201">
        <v>1382.2501221</v>
      </c>
      <c r="H2201">
        <v>1369.0595702999999</v>
      </c>
      <c r="I2201">
        <v>1288.4129639</v>
      </c>
      <c r="J2201">
        <v>1269.0614014</v>
      </c>
      <c r="K2201">
        <v>2400</v>
      </c>
      <c r="L2201">
        <v>0</v>
      </c>
      <c r="M2201">
        <v>0</v>
      </c>
      <c r="N2201">
        <v>2400</v>
      </c>
    </row>
    <row r="2202" spans="1:14" x14ac:dyDescent="0.25">
      <c r="A2202">
        <v>1495.6264450000001</v>
      </c>
      <c r="B2202" s="1">
        <f>DATE(2014,6,4) + TIME(15,2,4)</f>
        <v>41794.626435185186</v>
      </c>
      <c r="C2202">
        <v>80</v>
      </c>
      <c r="D2202">
        <v>79.960662842000005</v>
      </c>
      <c r="E2202">
        <v>50</v>
      </c>
      <c r="F2202">
        <v>48.074542999000002</v>
      </c>
      <c r="G2202">
        <v>1382.1990966999999</v>
      </c>
      <c r="H2202">
        <v>1369.0184326000001</v>
      </c>
      <c r="I2202">
        <v>1288.3957519999999</v>
      </c>
      <c r="J2202">
        <v>1269.0389404</v>
      </c>
      <c r="K2202">
        <v>2400</v>
      </c>
      <c r="L2202">
        <v>0</v>
      </c>
      <c r="M2202">
        <v>0</v>
      </c>
      <c r="N2202">
        <v>2400</v>
      </c>
    </row>
    <row r="2203" spans="1:14" x14ac:dyDescent="0.25">
      <c r="A2203">
        <v>1496.0118419999999</v>
      </c>
      <c r="B2203" s="1">
        <f>DATE(2014,6,5) + TIME(0,17,3)</f>
        <v>41795.011840277781</v>
      </c>
      <c r="C2203">
        <v>80</v>
      </c>
      <c r="D2203">
        <v>79.960624695000007</v>
      </c>
      <c r="E2203">
        <v>50</v>
      </c>
      <c r="F2203">
        <v>48.053405761999997</v>
      </c>
      <c r="G2203">
        <v>1382.1566161999999</v>
      </c>
      <c r="H2203">
        <v>1368.9855957</v>
      </c>
      <c r="I2203">
        <v>1288.3796387</v>
      </c>
      <c r="J2203">
        <v>1269.0194091999999</v>
      </c>
      <c r="K2203">
        <v>2400</v>
      </c>
      <c r="L2203">
        <v>0</v>
      </c>
      <c r="M2203">
        <v>0</v>
      </c>
      <c r="N2203">
        <v>2400</v>
      </c>
    </row>
    <row r="2204" spans="1:14" x14ac:dyDescent="0.25">
      <c r="A2204">
        <v>1496.397238</v>
      </c>
      <c r="B2204" s="1">
        <f>DATE(2014,6,5) + TIME(9,32,1)</f>
        <v>41795.397233796299</v>
      </c>
      <c r="C2204">
        <v>80</v>
      </c>
      <c r="D2204">
        <v>79.960617064999994</v>
      </c>
      <c r="E2204">
        <v>50</v>
      </c>
      <c r="F2204">
        <v>48.033901215</v>
      </c>
      <c r="G2204">
        <v>1382.1270752</v>
      </c>
      <c r="H2204">
        <v>1368.9611815999999</v>
      </c>
      <c r="I2204">
        <v>1288.3696289</v>
      </c>
      <c r="J2204">
        <v>1269.0058594</v>
      </c>
      <c r="K2204">
        <v>2400</v>
      </c>
      <c r="L2204">
        <v>0</v>
      </c>
      <c r="M2204">
        <v>0</v>
      </c>
      <c r="N2204">
        <v>2400</v>
      </c>
    </row>
    <row r="2205" spans="1:14" x14ac:dyDescent="0.25">
      <c r="A2205">
        <v>1496.782635</v>
      </c>
      <c r="B2205" s="1">
        <f>DATE(2014,6,5) + TIME(18,46,59)</f>
        <v>41795.782627314817</v>
      </c>
      <c r="C2205">
        <v>80</v>
      </c>
      <c r="D2205">
        <v>79.960609435999999</v>
      </c>
      <c r="E2205">
        <v>50</v>
      </c>
      <c r="F2205">
        <v>48.015518188000001</v>
      </c>
      <c r="G2205">
        <v>1382.1003418</v>
      </c>
      <c r="H2205">
        <v>1368.9392089999999</v>
      </c>
      <c r="I2205">
        <v>1288.3603516000001</v>
      </c>
      <c r="J2205">
        <v>1268.9932861</v>
      </c>
      <c r="K2205">
        <v>2400</v>
      </c>
      <c r="L2205">
        <v>0</v>
      </c>
      <c r="M2205">
        <v>0</v>
      </c>
      <c r="N2205">
        <v>2400</v>
      </c>
    </row>
    <row r="2206" spans="1:14" x14ac:dyDescent="0.25">
      <c r="A2206">
        <v>1497.1680309999999</v>
      </c>
      <c r="B2206" s="1">
        <f>DATE(2014,6,6) + TIME(4,1,57)</f>
        <v>41796.168020833335</v>
      </c>
      <c r="C2206">
        <v>80</v>
      </c>
      <c r="D2206">
        <v>79.960609435999999</v>
      </c>
      <c r="E2206">
        <v>50</v>
      </c>
      <c r="F2206">
        <v>47.997913361000002</v>
      </c>
      <c r="G2206">
        <v>1382.0744629000001</v>
      </c>
      <c r="H2206">
        <v>1368.9180908000001</v>
      </c>
      <c r="I2206">
        <v>1288.3511963000001</v>
      </c>
      <c r="J2206">
        <v>1268.9808350000001</v>
      </c>
      <c r="K2206">
        <v>2400</v>
      </c>
      <c r="L2206">
        <v>0</v>
      </c>
      <c r="M2206">
        <v>0</v>
      </c>
      <c r="N2206">
        <v>2400</v>
      </c>
    </row>
    <row r="2207" spans="1:14" x14ac:dyDescent="0.25">
      <c r="A2207">
        <v>1497.5534279999999</v>
      </c>
      <c r="B2207" s="1">
        <f>DATE(2014,6,6) + TIME(13,16,56)</f>
        <v>41796.553425925929</v>
      </c>
      <c r="C2207">
        <v>80</v>
      </c>
      <c r="D2207">
        <v>79.960609435999999</v>
      </c>
      <c r="E2207">
        <v>50</v>
      </c>
      <c r="F2207">
        <v>47.980854033999996</v>
      </c>
      <c r="G2207">
        <v>1382.0490723</v>
      </c>
      <c r="H2207">
        <v>1368.8972168</v>
      </c>
      <c r="I2207">
        <v>1288.3419189000001</v>
      </c>
      <c r="J2207">
        <v>1268.9683838000001</v>
      </c>
      <c r="K2207">
        <v>2400</v>
      </c>
      <c r="L2207">
        <v>0</v>
      </c>
      <c r="M2207">
        <v>0</v>
      </c>
      <c r="N2207">
        <v>2400</v>
      </c>
    </row>
    <row r="2208" spans="1:14" x14ac:dyDescent="0.25">
      <c r="A2208">
        <v>1497.938825</v>
      </c>
      <c r="B2208" s="1">
        <f>DATE(2014,6,6) + TIME(22,31,54)</f>
        <v>41796.938819444447</v>
      </c>
      <c r="C2208">
        <v>80</v>
      </c>
      <c r="D2208">
        <v>79.960609435999999</v>
      </c>
      <c r="E2208">
        <v>50</v>
      </c>
      <c r="F2208">
        <v>47.964179993000002</v>
      </c>
      <c r="G2208">
        <v>1382.0240478999999</v>
      </c>
      <c r="H2208">
        <v>1368.8767089999999</v>
      </c>
      <c r="I2208">
        <v>1288.3325195</v>
      </c>
      <c r="J2208">
        <v>1268.9559326000001</v>
      </c>
      <c r="K2208">
        <v>2400</v>
      </c>
      <c r="L2208">
        <v>0</v>
      </c>
      <c r="M2208">
        <v>0</v>
      </c>
      <c r="N2208">
        <v>2400</v>
      </c>
    </row>
    <row r="2209" spans="1:14" x14ac:dyDescent="0.25">
      <c r="A2209">
        <v>1498.7096180000001</v>
      </c>
      <c r="B2209" s="1">
        <f>DATE(2014,6,7) + TIME(17,1,50)</f>
        <v>41797.709606481483</v>
      </c>
      <c r="C2209">
        <v>80</v>
      </c>
      <c r="D2209">
        <v>79.960632324000002</v>
      </c>
      <c r="E2209">
        <v>50</v>
      </c>
      <c r="F2209">
        <v>47.939353943</v>
      </c>
      <c r="G2209">
        <v>1381.9927978999999</v>
      </c>
      <c r="H2209">
        <v>1368.8500977000001</v>
      </c>
      <c r="I2209">
        <v>1288.3218993999999</v>
      </c>
      <c r="J2209">
        <v>1268.9405518000001</v>
      </c>
      <c r="K2209">
        <v>2400</v>
      </c>
      <c r="L2209">
        <v>0</v>
      </c>
      <c r="M2209">
        <v>0</v>
      </c>
      <c r="N2209">
        <v>2400</v>
      </c>
    </row>
    <row r="2210" spans="1:14" x14ac:dyDescent="0.25">
      <c r="A2210">
        <v>1499.4813220000001</v>
      </c>
      <c r="B2210" s="1">
        <f>DATE(2014,6,8) + TIME(11,33,6)</f>
        <v>41798.481319444443</v>
      </c>
      <c r="C2210">
        <v>80</v>
      </c>
      <c r="D2210">
        <v>79.960624695000007</v>
      </c>
      <c r="E2210">
        <v>50</v>
      </c>
      <c r="F2210">
        <v>47.911296843999999</v>
      </c>
      <c r="G2210">
        <v>1381.9471435999999</v>
      </c>
      <c r="H2210">
        <v>1368.8131103999999</v>
      </c>
      <c r="I2210">
        <v>1288.3034668</v>
      </c>
      <c r="J2210">
        <v>1268.9167480000001</v>
      </c>
      <c r="K2210">
        <v>2400</v>
      </c>
      <c r="L2210">
        <v>0</v>
      </c>
      <c r="M2210">
        <v>0</v>
      </c>
      <c r="N2210">
        <v>2400</v>
      </c>
    </row>
    <row r="2211" spans="1:14" x14ac:dyDescent="0.25">
      <c r="A2211">
        <v>1500.2580969999999</v>
      </c>
      <c r="B2211" s="1">
        <f>DATE(2014,6,9) + TIME(6,11,39)</f>
        <v>41799.258090277777</v>
      </c>
      <c r="C2211">
        <v>80</v>
      </c>
      <c r="D2211">
        <v>79.960617064999994</v>
      </c>
      <c r="E2211">
        <v>50</v>
      </c>
      <c r="F2211">
        <v>47.881587981999999</v>
      </c>
      <c r="G2211">
        <v>1381.9001464999999</v>
      </c>
      <c r="H2211">
        <v>1368.7746582</v>
      </c>
      <c r="I2211">
        <v>1288.2843018000001</v>
      </c>
      <c r="J2211">
        <v>1268.8917236</v>
      </c>
      <c r="K2211">
        <v>2400</v>
      </c>
      <c r="L2211">
        <v>0</v>
      </c>
      <c r="M2211">
        <v>0</v>
      </c>
      <c r="N2211">
        <v>2400</v>
      </c>
    </row>
    <row r="2212" spans="1:14" x14ac:dyDescent="0.25">
      <c r="A2212">
        <v>1501.0418299999999</v>
      </c>
      <c r="B2212" s="1">
        <f>DATE(2014,6,10) + TIME(1,0,14)</f>
        <v>41800.041828703703</v>
      </c>
      <c r="C2212">
        <v>80</v>
      </c>
      <c r="D2212">
        <v>79.960601807000003</v>
      </c>
      <c r="E2212">
        <v>50</v>
      </c>
      <c r="F2212">
        <v>47.850990295000003</v>
      </c>
      <c r="G2212">
        <v>1381.8530272999999</v>
      </c>
      <c r="H2212">
        <v>1368.7358397999999</v>
      </c>
      <c r="I2212">
        <v>1288.2647704999999</v>
      </c>
      <c r="J2212">
        <v>1268.8658447</v>
      </c>
      <c r="K2212">
        <v>2400</v>
      </c>
      <c r="L2212">
        <v>0</v>
      </c>
      <c r="M2212">
        <v>0</v>
      </c>
      <c r="N2212">
        <v>2400</v>
      </c>
    </row>
    <row r="2213" spans="1:14" x14ac:dyDescent="0.25">
      <c r="A2213">
        <v>1501.8345159999999</v>
      </c>
      <c r="B2213" s="1">
        <f>DATE(2014,6,10) + TIME(20,1,42)</f>
        <v>41800.834513888891</v>
      </c>
      <c r="C2213">
        <v>80</v>
      </c>
      <c r="D2213">
        <v>79.960601807000003</v>
      </c>
      <c r="E2213">
        <v>50</v>
      </c>
      <c r="F2213">
        <v>47.819869994999998</v>
      </c>
      <c r="G2213">
        <v>1381.8059082</v>
      </c>
      <c r="H2213">
        <v>1368.6970214999999</v>
      </c>
      <c r="I2213">
        <v>1288.2448730000001</v>
      </c>
      <c r="J2213">
        <v>1268.8393555</v>
      </c>
      <c r="K2213">
        <v>2400</v>
      </c>
      <c r="L2213">
        <v>0</v>
      </c>
      <c r="M2213">
        <v>0</v>
      </c>
      <c r="N2213">
        <v>2400</v>
      </c>
    </row>
    <row r="2214" spans="1:14" x14ac:dyDescent="0.25">
      <c r="A2214">
        <v>1502.6382819999999</v>
      </c>
      <c r="B2214" s="1">
        <f>DATE(2014,6,11) + TIME(15,19,7)</f>
        <v>41801.638275462959</v>
      </c>
      <c r="C2214">
        <v>80</v>
      </c>
      <c r="D2214">
        <v>79.960594177000004</v>
      </c>
      <c r="E2214">
        <v>50</v>
      </c>
      <c r="F2214">
        <v>47.788360595999997</v>
      </c>
      <c r="G2214">
        <v>1381.7590332</v>
      </c>
      <c r="H2214">
        <v>1368.6580810999999</v>
      </c>
      <c r="I2214">
        <v>1288.2244873</v>
      </c>
      <c r="J2214">
        <v>1268.8118896000001</v>
      </c>
      <c r="K2214">
        <v>2400</v>
      </c>
      <c r="L2214">
        <v>0</v>
      </c>
      <c r="M2214">
        <v>0</v>
      </c>
      <c r="N2214">
        <v>2400</v>
      </c>
    </row>
    <row r="2215" spans="1:14" x14ac:dyDescent="0.25">
      <c r="A2215">
        <v>1503.4554350000001</v>
      </c>
      <c r="B2215" s="1">
        <f>DATE(2014,6,12) + TIME(10,55,49)</f>
        <v>41802.455428240741</v>
      </c>
      <c r="C2215">
        <v>80</v>
      </c>
      <c r="D2215">
        <v>79.960594177000004</v>
      </c>
      <c r="E2215">
        <v>50</v>
      </c>
      <c r="F2215">
        <v>47.756507874</v>
      </c>
      <c r="G2215">
        <v>1381.7120361</v>
      </c>
      <c r="H2215">
        <v>1368.6190185999999</v>
      </c>
      <c r="I2215">
        <v>1288.2034911999999</v>
      </c>
      <c r="J2215">
        <v>1268.7836914</v>
      </c>
      <c r="K2215">
        <v>2400</v>
      </c>
      <c r="L2215">
        <v>0</v>
      </c>
      <c r="M2215">
        <v>0</v>
      </c>
      <c r="N2215">
        <v>2400</v>
      </c>
    </row>
    <row r="2216" spans="1:14" x14ac:dyDescent="0.25">
      <c r="A2216">
        <v>1504.288497</v>
      </c>
      <c r="B2216" s="1">
        <f>DATE(2014,6,13) + TIME(6,55,26)</f>
        <v>41803.288495370369</v>
      </c>
      <c r="C2216">
        <v>80</v>
      </c>
      <c r="D2216">
        <v>79.960586547999995</v>
      </c>
      <c r="E2216">
        <v>50</v>
      </c>
      <c r="F2216">
        <v>47.724273682000003</v>
      </c>
      <c r="G2216">
        <v>1381.6650391000001</v>
      </c>
      <c r="H2216">
        <v>1368.5797118999999</v>
      </c>
      <c r="I2216">
        <v>1288.1818848</v>
      </c>
      <c r="J2216">
        <v>1268.7545166</v>
      </c>
      <c r="K2216">
        <v>2400</v>
      </c>
      <c r="L2216">
        <v>0</v>
      </c>
      <c r="M2216">
        <v>0</v>
      </c>
      <c r="N2216">
        <v>2400</v>
      </c>
    </row>
    <row r="2217" spans="1:14" x14ac:dyDescent="0.25">
      <c r="A2217">
        <v>1505.140416</v>
      </c>
      <c r="B2217" s="1">
        <f>DATE(2014,6,14) + TIME(3,22,11)</f>
        <v>41804.140405092592</v>
      </c>
      <c r="C2217">
        <v>80</v>
      </c>
      <c r="D2217">
        <v>79.960586547999995</v>
      </c>
      <c r="E2217">
        <v>50</v>
      </c>
      <c r="F2217">
        <v>47.691600800000003</v>
      </c>
      <c r="G2217">
        <v>1381.6177978999999</v>
      </c>
      <c r="H2217">
        <v>1368.5401611</v>
      </c>
      <c r="I2217">
        <v>1288.1595459</v>
      </c>
      <c r="J2217">
        <v>1268.7242432</v>
      </c>
      <c r="K2217">
        <v>2400</v>
      </c>
      <c r="L2217">
        <v>0</v>
      </c>
      <c r="M2217">
        <v>0</v>
      </c>
      <c r="N2217">
        <v>2400</v>
      </c>
    </row>
    <row r="2218" spans="1:14" x14ac:dyDescent="0.25">
      <c r="A2218">
        <v>1506.0147059999999</v>
      </c>
      <c r="B2218" s="1">
        <f>DATE(2014,6,15) + TIME(0,21,10)</f>
        <v>41805.014699074076</v>
      </c>
      <c r="C2218">
        <v>80</v>
      </c>
      <c r="D2218">
        <v>79.960586547999995</v>
      </c>
      <c r="E2218">
        <v>50</v>
      </c>
      <c r="F2218">
        <v>47.658390044999997</v>
      </c>
      <c r="G2218">
        <v>1381.5700684000001</v>
      </c>
      <c r="H2218">
        <v>1368.5</v>
      </c>
      <c r="I2218">
        <v>1288.1363524999999</v>
      </c>
      <c r="J2218">
        <v>1268.692749</v>
      </c>
      <c r="K2218">
        <v>2400</v>
      </c>
      <c r="L2218">
        <v>0</v>
      </c>
      <c r="M2218">
        <v>0</v>
      </c>
      <c r="N2218">
        <v>2400</v>
      </c>
    </row>
    <row r="2219" spans="1:14" x14ac:dyDescent="0.25">
      <c r="A2219">
        <v>1506.9111</v>
      </c>
      <c r="B2219" s="1">
        <f>DATE(2014,6,15) + TIME(21,51,59)</f>
        <v>41805.911099537036</v>
      </c>
      <c r="C2219">
        <v>80</v>
      </c>
      <c r="D2219">
        <v>79.960586547999995</v>
      </c>
      <c r="E2219">
        <v>50</v>
      </c>
      <c r="F2219">
        <v>47.624603270999998</v>
      </c>
      <c r="G2219">
        <v>1381.5218506000001</v>
      </c>
      <c r="H2219">
        <v>1368.4594727000001</v>
      </c>
      <c r="I2219">
        <v>1288.1123047000001</v>
      </c>
      <c r="J2219">
        <v>1268.6599120999999</v>
      </c>
      <c r="K2219">
        <v>2400</v>
      </c>
      <c r="L2219">
        <v>0</v>
      </c>
      <c r="M2219">
        <v>0</v>
      </c>
      <c r="N2219">
        <v>2400</v>
      </c>
    </row>
    <row r="2220" spans="1:14" x14ac:dyDescent="0.25">
      <c r="A2220">
        <v>1507.8251210000001</v>
      </c>
      <c r="B2220" s="1">
        <f>DATE(2014,6,16) + TIME(19,48,10)</f>
        <v>41806.825115740743</v>
      </c>
      <c r="C2220">
        <v>80</v>
      </c>
      <c r="D2220">
        <v>79.960586547999995</v>
      </c>
      <c r="E2220">
        <v>50</v>
      </c>
      <c r="F2220">
        <v>47.590305327999999</v>
      </c>
      <c r="G2220">
        <v>1381.4732666</v>
      </c>
      <c r="H2220">
        <v>1368.4183350000001</v>
      </c>
      <c r="I2220">
        <v>1288.0872803</v>
      </c>
      <c r="J2220">
        <v>1268.6256103999999</v>
      </c>
      <c r="K2220">
        <v>2400</v>
      </c>
      <c r="L2220">
        <v>0</v>
      </c>
      <c r="M2220">
        <v>0</v>
      </c>
      <c r="N2220">
        <v>2400</v>
      </c>
    </row>
    <row r="2221" spans="1:14" x14ac:dyDescent="0.25">
      <c r="A2221">
        <v>1508.759851</v>
      </c>
      <c r="B2221" s="1">
        <f>DATE(2014,6,17) + TIME(18,14,11)</f>
        <v>41807.75984953704</v>
      </c>
      <c r="C2221">
        <v>80</v>
      </c>
      <c r="D2221">
        <v>79.960586547999995</v>
      </c>
      <c r="E2221">
        <v>50</v>
      </c>
      <c r="F2221">
        <v>47.555492401000002</v>
      </c>
      <c r="G2221">
        <v>1381.4243164</v>
      </c>
      <c r="H2221">
        <v>1368.3769531</v>
      </c>
      <c r="I2221">
        <v>1288.0614014</v>
      </c>
      <c r="J2221">
        <v>1268.5900879000001</v>
      </c>
      <c r="K2221">
        <v>2400</v>
      </c>
      <c r="L2221">
        <v>0</v>
      </c>
      <c r="M2221">
        <v>0</v>
      </c>
      <c r="N2221">
        <v>2400</v>
      </c>
    </row>
    <row r="2222" spans="1:14" x14ac:dyDescent="0.25">
      <c r="A2222">
        <v>1509.718985</v>
      </c>
      <c r="B2222" s="1">
        <f>DATE(2014,6,18) + TIME(17,15,20)</f>
        <v>41808.718981481485</v>
      </c>
      <c r="C2222">
        <v>80</v>
      </c>
      <c r="D2222">
        <v>79.960586547999995</v>
      </c>
      <c r="E2222">
        <v>50</v>
      </c>
      <c r="F2222">
        <v>47.520088196000003</v>
      </c>
      <c r="G2222">
        <v>1381.375</v>
      </c>
      <c r="H2222">
        <v>1368.3349608999999</v>
      </c>
      <c r="I2222">
        <v>1288.034668</v>
      </c>
      <c r="J2222">
        <v>1268.5531006000001</v>
      </c>
      <c r="K2222">
        <v>2400</v>
      </c>
      <c r="L2222">
        <v>0</v>
      </c>
      <c r="M2222">
        <v>0</v>
      </c>
      <c r="N2222">
        <v>2400</v>
      </c>
    </row>
    <row r="2223" spans="1:14" x14ac:dyDescent="0.25">
      <c r="A2223">
        <v>1510.7064339999999</v>
      </c>
      <c r="B2223" s="1">
        <f>DATE(2014,6,19) + TIME(16,57,15)</f>
        <v>41809.706423611111</v>
      </c>
      <c r="C2223">
        <v>80</v>
      </c>
      <c r="D2223">
        <v>79.960586547999995</v>
      </c>
      <c r="E2223">
        <v>50</v>
      </c>
      <c r="F2223">
        <v>47.483997344999999</v>
      </c>
      <c r="G2223">
        <v>1381.3251952999999</v>
      </c>
      <c r="H2223">
        <v>1368.2924805</v>
      </c>
      <c r="I2223">
        <v>1288.0067139</v>
      </c>
      <c r="J2223">
        <v>1268.5144043</v>
      </c>
      <c r="K2223">
        <v>2400</v>
      </c>
      <c r="L2223">
        <v>0</v>
      </c>
      <c r="M2223">
        <v>0</v>
      </c>
      <c r="N2223">
        <v>2400</v>
      </c>
    </row>
    <row r="2224" spans="1:14" x14ac:dyDescent="0.25">
      <c r="A2224">
        <v>1511.214882</v>
      </c>
      <c r="B2224" s="1">
        <f>DATE(2014,6,20) + TIME(5,9,25)</f>
        <v>41810.214872685188</v>
      </c>
      <c r="C2224">
        <v>80</v>
      </c>
      <c r="D2224">
        <v>79.960563660000005</v>
      </c>
      <c r="E2224">
        <v>50</v>
      </c>
      <c r="F2224">
        <v>47.458515167000002</v>
      </c>
      <c r="G2224">
        <v>1381.2840576000001</v>
      </c>
      <c r="H2224">
        <v>1368.2584228999999</v>
      </c>
      <c r="I2224">
        <v>1287.9801024999999</v>
      </c>
      <c r="J2224">
        <v>1268.4793701000001</v>
      </c>
      <c r="K2224">
        <v>2400</v>
      </c>
      <c r="L2224">
        <v>0</v>
      </c>
      <c r="M2224">
        <v>0</v>
      </c>
      <c r="N2224">
        <v>2400</v>
      </c>
    </row>
    <row r="2225" spans="1:14" x14ac:dyDescent="0.25">
      <c r="A2225">
        <v>1511.72333</v>
      </c>
      <c r="B2225" s="1">
        <f>DATE(2014,6,20) + TIME(17,21,35)</f>
        <v>41810.723321759258</v>
      </c>
      <c r="C2225">
        <v>80</v>
      </c>
      <c r="D2225">
        <v>79.960563660000005</v>
      </c>
      <c r="E2225">
        <v>50</v>
      </c>
      <c r="F2225">
        <v>47.435626984000002</v>
      </c>
      <c r="G2225">
        <v>1381.2545166</v>
      </c>
      <c r="H2225">
        <v>1368.2326660000001</v>
      </c>
      <c r="I2225">
        <v>1287.9636230000001</v>
      </c>
      <c r="J2225">
        <v>1268.4555664</v>
      </c>
      <c r="K2225">
        <v>2400</v>
      </c>
      <c r="L2225">
        <v>0</v>
      </c>
      <c r="M2225">
        <v>0</v>
      </c>
      <c r="N2225">
        <v>2400</v>
      </c>
    </row>
    <row r="2226" spans="1:14" x14ac:dyDescent="0.25">
      <c r="A2226">
        <v>1512.2317780000001</v>
      </c>
      <c r="B2226" s="1">
        <f>DATE(2014,6,21) + TIME(5,33,45)</f>
        <v>41811.231770833336</v>
      </c>
      <c r="C2226">
        <v>80</v>
      </c>
      <c r="D2226">
        <v>79.960571289000001</v>
      </c>
      <c r="E2226">
        <v>50</v>
      </c>
      <c r="F2226">
        <v>47.414352417000003</v>
      </c>
      <c r="G2226">
        <v>1381.2275391000001</v>
      </c>
      <c r="H2226">
        <v>1368.2093506000001</v>
      </c>
      <c r="I2226">
        <v>1287.9479980000001</v>
      </c>
      <c r="J2226">
        <v>1268.4331055</v>
      </c>
      <c r="K2226">
        <v>2400</v>
      </c>
      <c r="L2226">
        <v>0</v>
      </c>
      <c r="M2226">
        <v>0</v>
      </c>
      <c r="N2226">
        <v>2400</v>
      </c>
    </row>
    <row r="2227" spans="1:14" x14ac:dyDescent="0.25">
      <c r="A2227">
        <v>1512.7402259999999</v>
      </c>
      <c r="B2227" s="1">
        <f>DATE(2014,6,21) + TIME(17,45,55)</f>
        <v>41811.740219907406</v>
      </c>
      <c r="C2227">
        <v>80</v>
      </c>
      <c r="D2227">
        <v>79.960571289000001</v>
      </c>
      <c r="E2227">
        <v>50</v>
      </c>
      <c r="F2227">
        <v>47.394096374999997</v>
      </c>
      <c r="G2227">
        <v>1381.2014160000001</v>
      </c>
      <c r="H2227">
        <v>1368.1867675999999</v>
      </c>
      <c r="I2227">
        <v>1287.9323730000001</v>
      </c>
      <c r="J2227">
        <v>1268.4107666</v>
      </c>
      <c r="K2227">
        <v>2400</v>
      </c>
      <c r="L2227">
        <v>0</v>
      </c>
      <c r="M2227">
        <v>0</v>
      </c>
      <c r="N2227">
        <v>2400</v>
      </c>
    </row>
    <row r="2228" spans="1:14" x14ac:dyDescent="0.25">
      <c r="A2228">
        <v>1513.2486739999999</v>
      </c>
      <c r="B2228" s="1">
        <f>DATE(2014,6,22) + TIME(5,58,5)</f>
        <v>41812.248668981483</v>
      </c>
      <c r="C2228">
        <v>80</v>
      </c>
      <c r="D2228">
        <v>79.960578917999996</v>
      </c>
      <c r="E2228">
        <v>50</v>
      </c>
      <c r="F2228">
        <v>47.374492644999997</v>
      </c>
      <c r="G2228">
        <v>1381.1759033000001</v>
      </c>
      <c r="H2228">
        <v>1368.1646728999999</v>
      </c>
      <c r="I2228">
        <v>1287.9167480000001</v>
      </c>
      <c r="J2228">
        <v>1268.3885498</v>
      </c>
      <c r="K2228">
        <v>2400</v>
      </c>
      <c r="L2228">
        <v>0</v>
      </c>
      <c r="M2228">
        <v>0</v>
      </c>
      <c r="N2228">
        <v>2400</v>
      </c>
    </row>
    <row r="2229" spans="1:14" x14ac:dyDescent="0.25">
      <c r="A2229">
        <v>1513.7571210000001</v>
      </c>
      <c r="B2229" s="1">
        <f>DATE(2014,6,22) + TIME(18,10,15)</f>
        <v>41812.757118055553</v>
      </c>
      <c r="C2229">
        <v>80</v>
      </c>
      <c r="D2229">
        <v>79.960586547999995</v>
      </c>
      <c r="E2229">
        <v>50</v>
      </c>
      <c r="F2229">
        <v>47.355319977000001</v>
      </c>
      <c r="G2229">
        <v>1381.1506348</v>
      </c>
      <c r="H2229">
        <v>1368.1428223</v>
      </c>
      <c r="I2229">
        <v>1287.9008789</v>
      </c>
      <c r="J2229">
        <v>1268.3662108999999</v>
      </c>
      <c r="K2229">
        <v>2400</v>
      </c>
      <c r="L2229">
        <v>0</v>
      </c>
      <c r="M2229">
        <v>0</v>
      </c>
      <c r="N2229">
        <v>2400</v>
      </c>
    </row>
    <row r="2230" spans="1:14" x14ac:dyDescent="0.25">
      <c r="A2230">
        <v>1514.2655689999999</v>
      </c>
      <c r="B2230" s="1">
        <f>DATE(2014,6,23) + TIME(6,22,25)</f>
        <v>41813.265567129631</v>
      </c>
      <c r="C2230">
        <v>80</v>
      </c>
      <c r="D2230">
        <v>79.960586547999995</v>
      </c>
      <c r="E2230">
        <v>50</v>
      </c>
      <c r="F2230">
        <v>47.336437224999997</v>
      </c>
      <c r="G2230">
        <v>1381.1256103999999</v>
      </c>
      <c r="H2230">
        <v>1368.1212158000001</v>
      </c>
      <c r="I2230">
        <v>1287.8850098</v>
      </c>
      <c r="J2230">
        <v>1268.3436279</v>
      </c>
      <c r="K2230">
        <v>2400</v>
      </c>
      <c r="L2230">
        <v>0</v>
      </c>
      <c r="M2230">
        <v>0</v>
      </c>
      <c r="N2230">
        <v>2400</v>
      </c>
    </row>
    <row r="2231" spans="1:14" x14ac:dyDescent="0.25">
      <c r="A2231">
        <v>1514.774017</v>
      </c>
      <c r="B2231" s="1">
        <f>DATE(2014,6,23) + TIME(18,34,35)</f>
        <v>41813.774016203701</v>
      </c>
      <c r="C2231">
        <v>80</v>
      </c>
      <c r="D2231">
        <v>79.960594177000004</v>
      </c>
      <c r="E2231">
        <v>50</v>
      </c>
      <c r="F2231">
        <v>47.317752837999997</v>
      </c>
      <c r="G2231">
        <v>1381.1008300999999</v>
      </c>
      <c r="H2231">
        <v>1368.0997314000001</v>
      </c>
      <c r="I2231">
        <v>1287.8690185999999</v>
      </c>
      <c r="J2231">
        <v>1268.3210449000001</v>
      </c>
      <c r="K2231">
        <v>2400</v>
      </c>
      <c r="L2231">
        <v>0</v>
      </c>
      <c r="M2231">
        <v>0</v>
      </c>
      <c r="N2231">
        <v>2400</v>
      </c>
    </row>
    <row r="2232" spans="1:14" x14ac:dyDescent="0.25">
      <c r="A2232">
        <v>1515.282465</v>
      </c>
      <c r="B2232" s="1">
        <f>DATE(2014,6,24) + TIME(6,46,44)</f>
        <v>41814.282453703701</v>
      </c>
      <c r="C2232">
        <v>80</v>
      </c>
      <c r="D2232">
        <v>79.960594177000004</v>
      </c>
      <c r="E2232">
        <v>50</v>
      </c>
      <c r="F2232">
        <v>47.299221039000003</v>
      </c>
      <c r="G2232">
        <v>1381.0762939000001</v>
      </c>
      <c r="H2232">
        <v>1368.0783690999999</v>
      </c>
      <c r="I2232">
        <v>1287.8529053</v>
      </c>
      <c r="J2232">
        <v>1268.2982178</v>
      </c>
      <c r="K2232">
        <v>2400</v>
      </c>
      <c r="L2232">
        <v>0</v>
      </c>
      <c r="M2232">
        <v>0</v>
      </c>
      <c r="N2232">
        <v>2400</v>
      </c>
    </row>
    <row r="2233" spans="1:14" x14ac:dyDescent="0.25">
      <c r="A2233">
        <v>1515.790913</v>
      </c>
      <c r="B2233" s="1">
        <f>DATE(2014,6,24) + TIME(18,58,54)</f>
        <v>41814.790902777779</v>
      </c>
      <c r="C2233">
        <v>80</v>
      </c>
      <c r="D2233">
        <v>79.960601807000003</v>
      </c>
      <c r="E2233">
        <v>50</v>
      </c>
      <c r="F2233">
        <v>47.280803679999998</v>
      </c>
      <c r="G2233">
        <v>1381.0520019999999</v>
      </c>
      <c r="H2233">
        <v>1368.057251</v>
      </c>
      <c r="I2233">
        <v>1287.8366699000001</v>
      </c>
      <c r="J2233">
        <v>1268.2751464999999</v>
      </c>
      <c r="K2233">
        <v>2400</v>
      </c>
      <c r="L2233">
        <v>0</v>
      </c>
      <c r="M2233">
        <v>0</v>
      </c>
      <c r="N2233">
        <v>2400</v>
      </c>
    </row>
    <row r="2234" spans="1:14" x14ac:dyDescent="0.25">
      <c r="A2234">
        <v>1516.8078089999999</v>
      </c>
      <c r="B2234" s="1">
        <f>DATE(2014,6,25) + TIME(19,23,14)</f>
        <v>41815.807800925926</v>
      </c>
      <c r="C2234">
        <v>80</v>
      </c>
      <c r="D2234">
        <v>79.960632324000002</v>
      </c>
      <c r="E2234">
        <v>50</v>
      </c>
      <c r="F2234">
        <v>47.254295349000003</v>
      </c>
      <c r="G2234">
        <v>1381.0209961</v>
      </c>
      <c r="H2234">
        <v>1368.0295410000001</v>
      </c>
      <c r="I2234">
        <v>1287.8181152</v>
      </c>
      <c r="J2234">
        <v>1268.2473144999999</v>
      </c>
      <c r="K2234">
        <v>2400</v>
      </c>
      <c r="L2234">
        <v>0</v>
      </c>
      <c r="M2234">
        <v>0</v>
      </c>
      <c r="N2234">
        <v>2400</v>
      </c>
    </row>
    <row r="2235" spans="1:14" x14ac:dyDescent="0.25">
      <c r="A2235">
        <v>1517.8248530000001</v>
      </c>
      <c r="B2235" s="1">
        <f>DATE(2014,6,26) + TIME(19,47,47)</f>
        <v>41816.824849537035</v>
      </c>
      <c r="C2235">
        <v>80</v>
      </c>
      <c r="D2235">
        <v>79.960632324000002</v>
      </c>
      <c r="E2235">
        <v>50</v>
      </c>
      <c r="F2235">
        <v>47.222438812</v>
      </c>
      <c r="G2235">
        <v>1380.9766846</v>
      </c>
      <c r="H2235">
        <v>1367.9913329999999</v>
      </c>
      <c r="I2235">
        <v>1287.786499</v>
      </c>
      <c r="J2235">
        <v>1268.2033690999999</v>
      </c>
      <c r="K2235">
        <v>2400</v>
      </c>
      <c r="L2235">
        <v>0</v>
      </c>
      <c r="M2235">
        <v>0</v>
      </c>
      <c r="N2235">
        <v>2400</v>
      </c>
    </row>
    <row r="2236" spans="1:14" x14ac:dyDescent="0.25">
      <c r="A2236">
        <v>1518.852265</v>
      </c>
      <c r="B2236" s="1">
        <f>DATE(2014,6,27) + TIME(20,27,15)</f>
        <v>41817.852256944447</v>
      </c>
      <c r="C2236">
        <v>80</v>
      </c>
      <c r="D2236">
        <v>79.960639954000001</v>
      </c>
      <c r="E2236">
        <v>50</v>
      </c>
      <c r="F2236">
        <v>47.188182830999999</v>
      </c>
      <c r="G2236">
        <v>1380.9306641000001</v>
      </c>
      <c r="H2236">
        <v>1367.9512939000001</v>
      </c>
      <c r="I2236">
        <v>1287.7535399999999</v>
      </c>
      <c r="J2236">
        <v>1268.1567382999999</v>
      </c>
      <c r="K2236">
        <v>2400</v>
      </c>
      <c r="L2236">
        <v>0</v>
      </c>
      <c r="M2236">
        <v>0</v>
      </c>
      <c r="N2236">
        <v>2400</v>
      </c>
    </row>
    <row r="2237" spans="1:14" x14ac:dyDescent="0.25">
      <c r="A2237">
        <v>1519.8894439999999</v>
      </c>
      <c r="B2237" s="1">
        <f>DATE(2014,6,28) + TIME(21,20,47)</f>
        <v>41818.889432870368</v>
      </c>
      <c r="C2237">
        <v>80</v>
      </c>
      <c r="D2237">
        <v>79.960639954000001</v>
      </c>
      <c r="E2237">
        <v>50</v>
      </c>
      <c r="F2237">
        <v>47.152790070000002</v>
      </c>
      <c r="G2237">
        <v>1380.8843993999999</v>
      </c>
      <c r="H2237">
        <v>1367.9108887</v>
      </c>
      <c r="I2237">
        <v>1287.7196045000001</v>
      </c>
      <c r="J2237">
        <v>1268.1083983999999</v>
      </c>
      <c r="K2237">
        <v>2400</v>
      </c>
      <c r="L2237">
        <v>0</v>
      </c>
      <c r="M2237">
        <v>0</v>
      </c>
      <c r="N2237">
        <v>2400</v>
      </c>
    </row>
    <row r="2238" spans="1:14" x14ac:dyDescent="0.25">
      <c r="A2238">
        <v>1520.933794</v>
      </c>
      <c r="B2238" s="1">
        <f>DATE(2014,6,29) + TIME(22,24,39)</f>
        <v>41819.93378472222</v>
      </c>
      <c r="C2238">
        <v>80</v>
      </c>
      <c r="D2238">
        <v>79.960647582999997</v>
      </c>
      <c r="E2238">
        <v>50</v>
      </c>
      <c r="F2238">
        <v>47.116874695</v>
      </c>
      <c r="G2238">
        <v>1380.8380127</v>
      </c>
      <c r="H2238">
        <v>1367.8702393000001</v>
      </c>
      <c r="I2238">
        <v>1287.6849365</v>
      </c>
      <c r="J2238">
        <v>1268.0587158000001</v>
      </c>
      <c r="K2238">
        <v>2400</v>
      </c>
      <c r="L2238">
        <v>0</v>
      </c>
      <c r="M2238">
        <v>0</v>
      </c>
      <c r="N2238">
        <v>2400</v>
      </c>
    </row>
    <row r="2239" spans="1:14" x14ac:dyDescent="0.25">
      <c r="A2239">
        <v>1522</v>
      </c>
      <c r="B2239" s="1">
        <f>DATE(2014,7,1) + TIME(0,0,0)</f>
        <v>41821</v>
      </c>
      <c r="C2239">
        <v>80</v>
      </c>
      <c r="D2239">
        <v>79.960655212000006</v>
      </c>
      <c r="E2239">
        <v>50</v>
      </c>
      <c r="F2239">
        <v>47.080501556000002</v>
      </c>
      <c r="G2239">
        <v>1380.7917480000001</v>
      </c>
      <c r="H2239">
        <v>1367.8295897999999</v>
      </c>
      <c r="I2239">
        <v>1287.6495361</v>
      </c>
      <c r="J2239">
        <v>1268.0074463000001</v>
      </c>
      <c r="K2239">
        <v>2400</v>
      </c>
      <c r="L2239">
        <v>0</v>
      </c>
      <c r="M2239">
        <v>0</v>
      </c>
      <c r="N2239">
        <v>2400</v>
      </c>
    </row>
    <row r="2240" spans="1:14" x14ac:dyDescent="0.25">
      <c r="A2240">
        <v>1523.0544460000001</v>
      </c>
      <c r="B2240" s="1">
        <f>DATE(2014,7,2) + TIME(1,18,24)</f>
        <v>41822.054444444446</v>
      </c>
      <c r="C2240">
        <v>80</v>
      </c>
      <c r="D2240">
        <v>79.960662842000005</v>
      </c>
      <c r="E2240">
        <v>50</v>
      </c>
      <c r="F2240">
        <v>47.044143677000001</v>
      </c>
      <c r="G2240">
        <v>1380.7454834</v>
      </c>
      <c r="H2240">
        <v>1367.7889404</v>
      </c>
      <c r="I2240">
        <v>1287.6130370999999</v>
      </c>
      <c r="J2240">
        <v>1267.9545897999999</v>
      </c>
      <c r="K2240">
        <v>2400</v>
      </c>
      <c r="L2240">
        <v>0</v>
      </c>
      <c r="M2240">
        <v>0</v>
      </c>
      <c r="N2240">
        <v>2400</v>
      </c>
    </row>
    <row r="2241" spans="1:14" x14ac:dyDescent="0.25">
      <c r="A2241">
        <v>1524.138731</v>
      </c>
      <c r="B2241" s="1">
        <f>DATE(2014,7,3) + TIME(3,19,46)</f>
        <v>41823.138726851852</v>
      </c>
      <c r="C2241">
        <v>80</v>
      </c>
      <c r="D2241">
        <v>79.960678100999999</v>
      </c>
      <c r="E2241">
        <v>50</v>
      </c>
      <c r="F2241">
        <v>47.007537841999998</v>
      </c>
      <c r="G2241">
        <v>1380.6995850000001</v>
      </c>
      <c r="H2241">
        <v>1367.7482910000001</v>
      </c>
      <c r="I2241">
        <v>1287.5761719</v>
      </c>
      <c r="J2241">
        <v>1267.9008789</v>
      </c>
      <c r="K2241">
        <v>2400</v>
      </c>
      <c r="L2241">
        <v>0</v>
      </c>
      <c r="M2241">
        <v>0</v>
      </c>
      <c r="N2241">
        <v>2400</v>
      </c>
    </row>
    <row r="2242" spans="1:14" x14ac:dyDescent="0.25">
      <c r="A2242">
        <v>1525.243029</v>
      </c>
      <c r="B2242" s="1">
        <f>DATE(2014,7,4) + TIME(5,49,57)</f>
        <v>41824.243020833332</v>
      </c>
      <c r="C2242">
        <v>80</v>
      </c>
      <c r="D2242">
        <v>79.960685729999994</v>
      </c>
      <c r="E2242">
        <v>50</v>
      </c>
      <c r="F2242">
        <v>46.970546722000002</v>
      </c>
      <c r="G2242">
        <v>1380.6531981999999</v>
      </c>
      <c r="H2242">
        <v>1367.7073975000001</v>
      </c>
      <c r="I2242">
        <v>1287.5379639</v>
      </c>
      <c r="J2242">
        <v>1267.8449707</v>
      </c>
      <c r="K2242">
        <v>2400</v>
      </c>
      <c r="L2242">
        <v>0</v>
      </c>
      <c r="M2242">
        <v>0</v>
      </c>
      <c r="N2242">
        <v>2400</v>
      </c>
    </row>
    <row r="2243" spans="1:14" x14ac:dyDescent="0.25">
      <c r="A2243">
        <v>1526.371564</v>
      </c>
      <c r="B2243" s="1">
        <f>DATE(2014,7,5) + TIME(8,55,3)</f>
        <v>41825.371562499997</v>
      </c>
      <c r="C2243">
        <v>80</v>
      </c>
      <c r="D2243">
        <v>79.960700989000003</v>
      </c>
      <c r="E2243">
        <v>50</v>
      </c>
      <c r="F2243">
        <v>46.933094025000003</v>
      </c>
      <c r="G2243">
        <v>1380.6066894999999</v>
      </c>
      <c r="H2243">
        <v>1367.6660156</v>
      </c>
      <c r="I2243">
        <v>1287.4985352000001</v>
      </c>
      <c r="J2243">
        <v>1267.7872314000001</v>
      </c>
      <c r="K2243">
        <v>2400</v>
      </c>
      <c r="L2243">
        <v>0</v>
      </c>
      <c r="M2243">
        <v>0</v>
      </c>
      <c r="N2243">
        <v>2400</v>
      </c>
    </row>
    <row r="2244" spans="1:14" x14ac:dyDescent="0.25">
      <c r="A2244">
        <v>1527.5296900000001</v>
      </c>
      <c r="B2244" s="1">
        <f>DATE(2014,7,6) + TIME(12,42,45)</f>
        <v>41826.529687499999</v>
      </c>
      <c r="C2244">
        <v>80</v>
      </c>
      <c r="D2244">
        <v>79.960716247999997</v>
      </c>
      <c r="E2244">
        <v>50</v>
      </c>
      <c r="F2244">
        <v>46.895076752000001</v>
      </c>
      <c r="G2244">
        <v>1380.5595702999999</v>
      </c>
      <c r="H2244">
        <v>1367.6241454999999</v>
      </c>
      <c r="I2244">
        <v>1287.4577637</v>
      </c>
      <c r="J2244">
        <v>1267.7271728999999</v>
      </c>
      <c r="K2244">
        <v>2400</v>
      </c>
      <c r="L2244">
        <v>0</v>
      </c>
      <c r="M2244">
        <v>0</v>
      </c>
      <c r="N2244">
        <v>2400</v>
      </c>
    </row>
    <row r="2245" spans="1:14" x14ac:dyDescent="0.25">
      <c r="A2245">
        <v>1528.721849</v>
      </c>
      <c r="B2245" s="1">
        <f>DATE(2014,7,7) + TIME(17,19,27)</f>
        <v>41827.72184027778</v>
      </c>
      <c r="C2245">
        <v>80</v>
      </c>
      <c r="D2245">
        <v>79.960731506000002</v>
      </c>
      <c r="E2245">
        <v>50</v>
      </c>
      <c r="F2245">
        <v>46.856361389</v>
      </c>
      <c r="G2245">
        <v>1380.5118408000001</v>
      </c>
      <c r="H2245">
        <v>1367.5816649999999</v>
      </c>
      <c r="I2245">
        <v>1287.4154053</v>
      </c>
      <c r="J2245">
        <v>1267.6645507999999</v>
      </c>
      <c r="K2245">
        <v>2400</v>
      </c>
      <c r="L2245">
        <v>0</v>
      </c>
      <c r="M2245">
        <v>0</v>
      </c>
      <c r="N2245">
        <v>2400</v>
      </c>
    </row>
    <row r="2246" spans="1:14" x14ac:dyDescent="0.25">
      <c r="A2246">
        <v>1529.954056</v>
      </c>
      <c r="B2246" s="1">
        <f>DATE(2014,7,8) + TIME(22,53,50)</f>
        <v>41828.954050925924</v>
      </c>
      <c r="C2246">
        <v>80</v>
      </c>
      <c r="D2246">
        <v>79.960746764999996</v>
      </c>
      <c r="E2246">
        <v>50</v>
      </c>
      <c r="F2246">
        <v>46.816810607999997</v>
      </c>
      <c r="G2246">
        <v>1380.4633789</v>
      </c>
      <c r="H2246">
        <v>1367.5383300999999</v>
      </c>
      <c r="I2246">
        <v>1287.3712158000001</v>
      </c>
      <c r="J2246">
        <v>1267.5991211</v>
      </c>
      <c r="K2246">
        <v>2400</v>
      </c>
      <c r="L2246">
        <v>0</v>
      </c>
      <c r="M2246">
        <v>0</v>
      </c>
      <c r="N2246">
        <v>2400</v>
      </c>
    </row>
    <row r="2247" spans="1:14" x14ac:dyDescent="0.25">
      <c r="A2247">
        <v>1531.209697</v>
      </c>
      <c r="B2247" s="1">
        <f>DATE(2014,7,10) + TIME(5,1,57)</f>
        <v>41830.209687499999</v>
      </c>
      <c r="C2247">
        <v>80</v>
      </c>
      <c r="D2247">
        <v>79.960754394999995</v>
      </c>
      <c r="E2247">
        <v>50</v>
      </c>
      <c r="F2247">
        <v>46.776550293</v>
      </c>
      <c r="G2247">
        <v>1380.4141846</v>
      </c>
      <c r="H2247">
        <v>1367.4942627</v>
      </c>
      <c r="I2247">
        <v>1287.3250731999999</v>
      </c>
      <c r="J2247">
        <v>1267.5306396000001</v>
      </c>
      <c r="K2247">
        <v>2400</v>
      </c>
      <c r="L2247">
        <v>0</v>
      </c>
      <c r="M2247">
        <v>0</v>
      </c>
      <c r="N2247">
        <v>2400</v>
      </c>
    </row>
    <row r="2248" spans="1:14" x14ac:dyDescent="0.25">
      <c r="A2248">
        <v>1532.4659260000001</v>
      </c>
      <c r="B2248" s="1">
        <f>DATE(2014,7,11) + TIME(11,10,56)</f>
        <v>41831.465925925928</v>
      </c>
      <c r="C2248">
        <v>80</v>
      </c>
      <c r="D2248">
        <v>79.960769653</v>
      </c>
      <c r="E2248">
        <v>50</v>
      </c>
      <c r="F2248">
        <v>46.736049651999998</v>
      </c>
      <c r="G2248">
        <v>1380.3648682</v>
      </c>
      <c r="H2248">
        <v>1367.4500731999999</v>
      </c>
      <c r="I2248">
        <v>1287.2775879000001</v>
      </c>
      <c r="J2248">
        <v>1267.4598389</v>
      </c>
      <c r="K2248">
        <v>2400</v>
      </c>
      <c r="L2248">
        <v>0</v>
      </c>
      <c r="M2248">
        <v>0</v>
      </c>
      <c r="N2248">
        <v>2400</v>
      </c>
    </row>
    <row r="2249" spans="1:14" x14ac:dyDescent="0.25">
      <c r="A2249">
        <v>1533.0959909999999</v>
      </c>
      <c r="B2249" s="1">
        <f>DATE(2014,7,12) + TIME(2,18,13)</f>
        <v>41832.095983796295</v>
      </c>
      <c r="C2249">
        <v>80</v>
      </c>
      <c r="D2249">
        <v>79.960754394999995</v>
      </c>
      <c r="E2249">
        <v>50</v>
      </c>
      <c r="F2249">
        <v>46.707015990999999</v>
      </c>
      <c r="G2249">
        <v>1380.3258057</v>
      </c>
      <c r="H2249">
        <v>1367.4158935999999</v>
      </c>
      <c r="I2249">
        <v>1287.2336425999999</v>
      </c>
      <c r="J2249">
        <v>1267.3966064000001</v>
      </c>
      <c r="K2249">
        <v>2400</v>
      </c>
      <c r="L2249">
        <v>0</v>
      </c>
      <c r="M2249">
        <v>0</v>
      </c>
      <c r="N2249">
        <v>2400</v>
      </c>
    </row>
    <row r="2250" spans="1:14" x14ac:dyDescent="0.25">
      <c r="A2250">
        <v>1533.726056</v>
      </c>
      <c r="B2250" s="1">
        <f>DATE(2014,7,12) + TIME(17,25,31)</f>
        <v>41832.726053240738</v>
      </c>
      <c r="C2250">
        <v>80</v>
      </c>
      <c r="D2250">
        <v>79.960762024000005</v>
      </c>
      <c r="E2250">
        <v>50</v>
      </c>
      <c r="F2250">
        <v>46.681896209999998</v>
      </c>
      <c r="G2250">
        <v>1380.2973632999999</v>
      </c>
      <c r="H2250">
        <v>1367.3898925999999</v>
      </c>
      <c r="I2250">
        <v>1287.2069091999999</v>
      </c>
      <c r="J2250">
        <v>1267.3551024999999</v>
      </c>
      <c r="K2250">
        <v>2400</v>
      </c>
      <c r="L2250">
        <v>0</v>
      </c>
      <c r="M2250">
        <v>0</v>
      </c>
      <c r="N2250">
        <v>2400</v>
      </c>
    </row>
    <row r="2251" spans="1:14" x14ac:dyDescent="0.25">
      <c r="A2251">
        <v>1534.3561199999999</v>
      </c>
      <c r="B2251" s="1">
        <f>DATE(2014,7,13) + TIME(8,32,48)</f>
        <v>41833.356111111112</v>
      </c>
      <c r="C2251">
        <v>80</v>
      </c>
      <c r="D2251">
        <v>79.960777282999999</v>
      </c>
      <c r="E2251">
        <v>50</v>
      </c>
      <c r="F2251">
        <v>46.659015656000001</v>
      </c>
      <c r="G2251">
        <v>1380.2714844</v>
      </c>
      <c r="H2251">
        <v>1367.3663329999999</v>
      </c>
      <c r="I2251">
        <v>1287.1816406</v>
      </c>
      <c r="J2251">
        <v>1267.3160399999999</v>
      </c>
      <c r="K2251">
        <v>2400</v>
      </c>
      <c r="L2251">
        <v>0</v>
      </c>
      <c r="M2251">
        <v>0</v>
      </c>
      <c r="N2251">
        <v>2400</v>
      </c>
    </row>
    <row r="2252" spans="1:14" x14ac:dyDescent="0.25">
      <c r="A2252">
        <v>1534.986185</v>
      </c>
      <c r="B2252" s="1">
        <f>DATE(2014,7,13) + TIME(23,40,6)</f>
        <v>41833.986180555556</v>
      </c>
      <c r="C2252">
        <v>80</v>
      </c>
      <c r="D2252">
        <v>79.960784911999994</v>
      </c>
      <c r="E2252">
        <v>50</v>
      </c>
      <c r="F2252">
        <v>46.637435912999997</v>
      </c>
      <c r="G2252">
        <v>1380.2464600000001</v>
      </c>
      <c r="H2252">
        <v>1367.34375</v>
      </c>
      <c r="I2252">
        <v>1287.1566161999999</v>
      </c>
      <c r="J2252">
        <v>1267.2775879000001</v>
      </c>
      <c r="K2252">
        <v>2400</v>
      </c>
      <c r="L2252">
        <v>0</v>
      </c>
      <c r="M2252">
        <v>0</v>
      </c>
      <c r="N2252">
        <v>2400</v>
      </c>
    </row>
    <row r="2253" spans="1:14" x14ac:dyDescent="0.25">
      <c r="A2253">
        <v>1535.61625</v>
      </c>
      <c r="B2253" s="1">
        <f>DATE(2014,7,14) + TIME(14,47,23)</f>
        <v>41834.616238425922</v>
      </c>
      <c r="C2253">
        <v>80</v>
      </c>
      <c r="D2253">
        <v>79.960800171000002</v>
      </c>
      <c r="E2253">
        <v>50</v>
      </c>
      <c r="F2253">
        <v>46.616634369000003</v>
      </c>
      <c r="G2253">
        <v>1380.2220459</v>
      </c>
      <c r="H2253">
        <v>1367.3215332</v>
      </c>
      <c r="I2253">
        <v>1287.1314697</v>
      </c>
      <c r="J2253">
        <v>1267.2392577999999</v>
      </c>
      <c r="K2253">
        <v>2400</v>
      </c>
      <c r="L2253">
        <v>0</v>
      </c>
      <c r="M2253">
        <v>0</v>
      </c>
      <c r="N2253">
        <v>2400</v>
      </c>
    </row>
    <row r="2254" spans="1:14" x14ac:dyDescent="0.25">
      <c r="A2254">
        <v>1536.246314</v>
      </c>
      <c r="B2254" s="1">
        <f>DATE(2014,7,15) + TIME(5,54,41)</f>
        <v>41835.246307870373</v>
      </c>
      <c r="C2254">
        <v>80</v>
      </c>
      <c r="D2254">
        <v>79.960807799999998</v>
      </c>
      <c r="E2254">
        <v>50</v>
      </c>
      <c r="F2254">
        <v>46.596317290999998</v>
      </c>
      <c r="G2254">
        <v>1380.197876</v>
      </c>
      <c r="H2254">
        <v>1367.2996826000001</v>
      </c>
      <c r="I2254">
        <v>1287.1063231999999</v>
      </c>
      <c r="J2254">
        <v>1267.2009277</v>
      </c>
      <c r="K2254">
        <v>2400</v>
      </c>
      <c r="L2254">
        <v>0</v>
      </c>
      <c r="M2254">
        <v>0</v>
      </c>
      <c r="N2254">
        <v>2400</v>
      </c>
    </row>
    <row r="2255" spans="1:14" x14ac:dyDescent="0.25">
      <c r="A2255">
        <v>1536.876379</v>
      </c>
      <c r="B2255" s="1">
        <f>DATE(2014,7,15) + TIME(21,1,59)</f>
        <v>41835.876377314817</v>
      </c>
      <c r="C2255">
        <v>80</v>
      </c>
      <c r="D2255">
        <v>79.960823059000006</v>
      </c>
      <c r="E2255">
        <v>50</v>
      </c>
      <c r="F2255">
        <v>46.576313018999997</v>
      </c>
      <c r="G2255">
        <v>1380.1739502</v>
      </c>
      <c r="H2255">
        <v>1367.2779541</v>
      </c>
      <c r="I2255">
        <v>1287.0811768000001</v>
      </c>
      <c r="J2255">
        <v>1267.1625977000001</v>
      </c>
      <c r="K2255">
        <v>2400</v>
      </c>
      <c r="L2255">
        <v>0</v>
      </c>
      <c r="M2255">
        <v>0</v>
      </c>
      <c r="N2255">
        <v>2400</v>
      </c>
    </row>
    <row r="2256" spans="1:14" x14ac:dyDescent="0.25">
      <c r="A2256">
        <v>1537.5064440000001</v>
      </c>
      <c r="B2256" s="1">
        <f>DATE(2014,7,16) + TIME(12,9,16)</f>
        <v>41836.506435185183</v>
      </c>
      <c r="C2256">
        <v>80</v>
      </c>
      <c r="D2256">
        <v>79.960830688000001</v>
      </c>
      <c r="E2256">
        <v>50</v>
      </c>
      <c r="F2256">
        <v>46.556529998999999</v>
      </c>
      <c r="G2256">
        <v>1380.1502685999999</v>
      </c>
      <c r="H2256">
        <v>1367.2564697</v>
      </c>
      <c r="I2256">
        <v>1287.0557861</v>
      </c>
      <c r="J2256">
        <v>1267.1241454999999</v>
      </c>
      <c r="K2256">
        <v>2400</v>
      </c>
      <c r="L2256">
        <v>0</v>
      </c>
      <c r="M2256">
        <v>0</v>
      </c>
      <c r="N2256">
        <v>2400</v>
      </c>
    </row>
    <row r="2257" spans="1:14" x14ac:dyDescent="0.25">
      <c r="A2257">
        <v>1538.136508</v>
      </c>
      <c r="B2257" s="1">
        <f>DATE(2014,7,17) + TIME(3,16,34)</f>
        <v>41837.136504629627</v>
      </c>
      <c r="C2257">
        <v>80</v>
      </c>
      <c r="D2257">
        <v>79.960838318</v>
      </c>
      <c r="E2257">
        <v>50</v>
      </c>
      <c r="F2257">
        <v>46.536914824999997</v>
      </c>
      <c r="G2257">
        <v>1380.1268310999999</v>
      </c>
      <c r="H2257">
        <v>1367.2352295000001</v>
      </c>
      <c r="I2257">
        <v>1287.0303954999999</v>
      </c>
      <c r="J2257">
        <v>1267.0853271000001</v>
      </c>
      <c r="K2257">
        <v>2400</v>
      </c>
      <c r="L2257">
        <v>0</v>
      </c>
      <c r="M2257">
        <v>0</v>
      </c>
      <c r="N2257">
        <v>2400</v>
      </c>
    </row>
    <row r="2258" spans="1:14" x14ac:dyDescent="0.25">
      <c r="A2258">
        <v>1538.7665730000001</v>
      </c>
      <c r="B2258" s="1">
        <f>DATE(2014,7,17) + TIME(18,23,51)</f>
        <v>41837.766562500001</v>
      </c>
      <c r="C2258">
        <v>80</v>
      </c>
      <c r="D2258">
        <v>79.960845946999996</v>
      </c>
      <c r="E2258">
        <v>50</v>
      </c>
      <c r="F2258">
        <v>46.517444611000002</v>
      </c>
      <c r="G2258">
        <v>1380.1035156</v>
      </c>
      <c r="H2258">
        <v>1367.2139893000001</v>
      </c>
      <c r="I2258">
        <v>1287.0048827999999</v>
      </c>
      <c r="J2258">
        <v>1267.0465088000001</v>
      </c>
      <c r="K2258">
        <v>2400</v>
      </c>
      <c r="L2258">
        <v>0</v>
      </c>
      <c r="M2258">
        <v>0</v>
      </c>
      <c r="N2258">
        <v>2400</v>
      </c>
    </row>
    <row r="2259" spans="1:14" x14ac:dyDescent="0.25">
      <c r="A2259">
        <v>1539.3966379999999</v>
      </c>
      <c r="B2259" s="1">
        <f>DATE(2014,7,18) + TIME(9,31,9)</f>
        <v>41838.396631944444</v>
      </c>
      <c r="C2259">
        <v>80</v>
      </c>
      <c r="D2259">
        <v>79.960853576999995</v>
      </c>
      <c r="E2259">
        <v>50</v>
      </c>
      <c r="F2259">
        <v>46.498100280999999</v>
      </c>
      <c r="G2259">
        <v>1380.0804443</v>
      </c>
      <c r="H2259">
        <v>1367.1929932</v>
      </c>
      <c r="I2259">
        <v>1286.9793701000001</v>
      </c>
      <c r="J2259">
        <v>1267.0074463000001</v>
      </c>
      <c r="K2259">
        <v>2400</v>
      </c>
      <c r="L2259">
        <v>0</v>
      </c>
      <c r="M2259">
        <v>0</v>
      </c>
      <c r="N2259">
        <v>2400</v>
      </c>
    </row>
    <row r="2260" spans="1:14" x14ac:dyDescent="0.25">
      <c r="A2260">
        <v>1540.0267019999999</v>
      </c>
      <c r="B2260" s="1">
        <f>DATE(2014,7,19) + TIME(0,38,27)</f>
        <v>41839.026701388888</v>
      </c>
      <c r="C2260">
        <v>80</v>
      </c>
      <c r="D2260">
        <v>79.960868834999999</v>
      </c>
      <c r="E2260">
        <v>50</v>
      </c>
      <c r="F2260">
        <v>46.478878021</v>
      </c>
      <c r="G2260">
        <v>1380.0574951000001</v>
      </c>
      <c r="H2260">
        <v>1367.1719971</v>
      </c>
      <c r="I2260">
        <v>1286.9536132999999</v>
      </c>
      <c r="J2260">
        <v>1266.9681396000001</v>
      </c>
      <c r="K2260">
        <v>2400</v>
      </c>
      <c r="L2260">
        <v>0</v>
      </c>
      <c r="M2260">
        <v>0</v>
      </c>
      <c r="N2260">
        <v>2400</v>
      </c>
    </row>
    <row r="2261" spans="1:14" x14ac:dyDescent="0.25">
      <c r="A2261">
        <v>1540.6567669999999</v>
      </c>
      <c r="B2261" s="1">
        <f>DATE(2014,7,19) + TIME(15,45,44)</f>
        <v>41839.656759259262</v>
      </c>
      <c r="C2261">
        <v>80</v>
      </c>
      <c r="D2261">
        <v>79.960876464999998</v>
      </c>
      <c r="E2261">
        <v>50</v>
      </c>
      <c r="F2261">
        <v>46.459766387999998</v>
      </c>
      <c r="G2261">
        <v>1380.034668</v>
      </c>
      <c r="H2261">
        <v>1367.1512451000001</v>
      </c>
      <c r="I2261">
        <v>1286.9278564000001</v>
      </c>
      <c r="J2261">
        <v>1266.9285889</v>
      </c>
      <c r="K2261">
        <v>2400</v>
      </c>
      <c r="L2261">
        <v>0</v>
      </c>
      <c r="M2261">
        <v>0</v>
      </c>
      <c r="N2261">
        <v>2400</v>
      </c>
    </row>
    <row r="2262" spans="1:14" x14ac:dyDescent="0.25">
      <c r="A2262">
        <v>1541.916896</v>
      </c>
      <c r="B2262" s="1">
        <f>DATE(2014,7,20) + TIME(22,0,19)</f>
        <v>41840.916886574072</v>
      </c>
      <c r="C2262">
        <v>80</v>
      </c>
      <c r="D2262">
        <v>79.960914611999996</v>
      </c>
      <c r="E2262">
        <v>50</v>
      </c>
      <c r="F2262">
        <v>46.433341980000002</v>
      </c>
      <c r="G2262">
        <v>1380.0048827999999</v>
      </c>
      <c r="H2262">
        <v>1367.1235352000001</v>
      </c>
      <c r="I2262">
        <v>1286.8986815999999</v>
      </c>
      <c r="J2262">
        <v>1266.8818358999999</v>
      </c>
      <c r="K2262">
        <v>2400</v>
      </c>
      <c r="L2262">
        <v>0</v>
      </c>
      <c r="M2262">
        <v>0</v>
      </c>
      <c r="N2262">
        <v>2400</v>
      </c>
    </row>
    <row r="2263" spans="1:14" x14ac:dyDescent="0.25">
      <c r="A2263">
        <v>1543.181691</v>
      </c>
      <c r="B2263" s="1">
        <f>DATE(2014,7,22) + TIME(4,21,38)</f>
        <v>41842.181689814817</v>
      </c>
      <c r="C2263">
        <v>80</v>
      </c>
      <c r="D2263">
        <v>79.960929871000005</v>
      </c>
      <c r="E2263">
        <v>50</v>
      </c>
      <c r="F2263">
        <v>46.400177002</v>
      </c>
      <c r="G2263">
        <v>1379.963501</v>
      </c>
      <c r="H2263">
        <v>1367.0859375</v>
      </c>
      <c r="I2263">
        <v>1286.848999</v>
      </c>
      <c r="J2263">
        <v>1266.8071289</v>
      </c>
      <c r="K2263">
        <v>2400</v>
      </c>
      <c r="L2263">
        <v>0</v>
      </c>
      <c r="M2263">
        <v>0</v>
      </c>
      <c r="N2263">
        <v>2400</v>
      </c>
    </row>
    <row r="2264" spans="1:14" x14ac:dyDescent="0.25">
      <c r="A2264">
        <v>1544.463915</v>
      </c>
      <c r="B2264" s="1">
        <f>DATE(2014,7,23) + TIME(11,8,2)</f>
        <v>41843.463912037034</v>
      </c>
      <c r="C2264">
        <v>80</v>
      </c>
      <c r="D2264">
        <v>79.960945128999995</v>
      </c>
      <c r="E2264">
        <v>50</v>
      </c>
      <c r="F2264">
        <v>46.364418030000003</v>
      </c>
      <c r="G2264">
        <v>1379.9200439000001</v>
      </c>
      <c r="H2264">
        <v>1367.0463867000001</v>
      </c>
      <c r="I2264">
        <v>1286.7973632999999</v>
      </c>
      <c r="J2264">
        <v>1266.7281493999999</v>
      </c>
      <c r="K2264">
        <v>2400</v>
      </c>
      <c r="L2264">
        <v>0</v>
      </c>
      <c r="M2264">
        <v>0</v>
      </c>
      <c r="N2264">
        <v>2400</v>
      </c>
    </row>
    <row r="2265" spans="1:14" x14ac:dyDescent="0.25">
      <c r="A2265">
        <v>1545.7679559999999</v>
      </c>
      <c r="B2265" s="1">
        <f>DATE(2014,7,24) + TIME(18,25,51)</f>
        <v>41844.767951388887</v>
      </c>
      <c r="C2265">
        <v>80</v>
      </c>
      <c r="D2265">
        <v>79.960960388000004</v>
      </c>
      <c r="E2265">
        <v>50</v>
      </c>
      <c r="F2265">
        <v>46.327587127999998</v>
      </c>
      <c r="G2265">
        <v>1379.8759766000001</v>
      </c>
      <c r="H2265">
        <v>1367.0061035000001</v>
      </c>
      <c r="I2265">
        <v>1286.7443848</v>
      </c>
      <c r="J2265">
        <v>1266.6462402</v>
      </c>
      <c r="K2265">
        <v>2400</v>
      </c>
      <c r="L2265">
        <v>0</v>
      </c>
      <c r="M2265">
        <v>0</v>
      </c>
      <c r="N2265">
        <v>2400</v>
      </c>
    </row>
    <row r="2266" spans="1:14" x14ac:dyDescent="0.25">
      <c r="A2266">
        <v>1547.098671</v>
      </c>
      <c r="B2266" s="1">
        <f>DATE(2014,7,26) + TIME(2,22,5)</f>
        <v>41846.098668981482</v>
      </c>
      <c r="C2266">
        <v>80</v>
      </c>
      <c r="D2266">
        <v>79.960983275999993</v>
      </c>
      <c r="E2266">
        <v>50</v>
      </c>
      <c r="F2266">
        <v>46.290225982999999</v>
      </c>
      <c r="G2266">
        <v>1379.8314209</v>
      </c>
      <c r="H2266">
        <v>1366.9652100000001</v>
      </c>
      <c r="I2266">
        <v>1286.6899414</v>
      </c>
      <c r="J2266">
        <v>1266.5617675999999</v>
      </c>
      <c r="K2266">
        <v>2400</v>
      </c>
      <c r="L2266">
        <v>0</v>
      </c>
      <c r="M2266">
        <v>0</v>
      </c>
      <c r="N2266">
        <v>2400</v>
      </c>
    </row>
    <row r="2267" spans="1:14" x14ac:dyDescent="0.25">
      <c r="A2267">
        <v>1548.4619439999999</v>
      </c>
      <c r="B2267" s="1">
        <f>DATE(2014,7,27) + TIME(11,5,11)</f>
        <v>41847.46193287037</v>
      </c>
      <c r="C2267">
        <v>80</v>
      </c>
      <c r="D2267">
        <v>79.961006165000001</v>
      </c>
      <c r="E2267">
        <v>50</v>
      </c>
      <c r="F2267">
        <v>46.252479553000001</v>
      </c>
      <c r="G2267">
        <v>1379.7862548999999</v>
      </c>
      <c r="H2267">
        <v>1366.9237060999999</v>
      </c>
      <c r="I2267">
        <v>1286.6341553</v>
      </c>
      <c r="J2267">
        <v>1266.4746094</v>
      </c>
      <c r="K2267">
        <v>2400</v>
      </c>
      <c r="L2267">
        <v>0</v>
      </c>
      <c r="M2267">
        <v>0</v>
      </c>
      <c r="N2267">
        <v>2400</v>
      </c>
    </row>
    <row r="2268" spans="1:14" x14ac:dyDescent="0.25">
      <c r="A2268">
        <v>1549.864235</v>
      </c>
      <c r="B2268" s="1">
        <f>DATE(2014,7,28) + TIME(20,44,29)</f>
        <v>41848.864224537036</v>
      </c>
      <c r="C2268">
        <v>80</v>
      </c>
      <c r="D2268">
        <v>79.961029053000004</v>
      </c>
      <c r="E2268">
        <v>50</v>
      </c>
      <c r="F2268">
        <v>46.214344025000003</v>
      </c>
      <c r="G2268">
        <v>1379.7403564000001</v>
      </c>
      <c r="H2268">
        <v>1366.8814697</v>
      </c>
      <c r="I2268">
        <v>1286.5765381000001</v>
      </c>
      <c r="J2268">
        <v>1266.3845214999999</v>
      </c>
      <c r="K2268">
        <v>2400</v>
      </c>
      <c r="L2268">
        <v>0</v>
      </c>
      <c r="M2268">
        <v>0</v>
      </c>
      <c r="N2268">
        <v>2400</v>
      </c>
    </row>
    <row r="2269" spans="1:14" x14ac:dyDescent="0.25">
      <c r="A2269">
        <v>1551.298939</v>
      </c>
      <c r="B2269" s="1">
        <f>DATE(2014,7,30) + TIME(7,10,28)</f>
        <v>41850.298935185187</v>
      </c>
      <c r="C2269">
        <v>80</v>
      </c>
      <c r="D2269">
        <v>79.961051940999994</v>
      </c>
      <c r="E2269">
        <v>50</v>
      </c>
      <c r="F2269">
        <v>46.175888061999999</v>
      </c>
      <c r="G2269">
        <v>1379.6937256000001</v>
      </c>
      <c r="H2269">
        <v>1366.838501</v>
      </c>
      <c r="I2269">
        <v>1286.5170897999999</v>
      </c>
      <c r="J2269">
        <v>1266.2911377</v>
      </c>
      <c r="K2269">
        <v>2400</v>
      </c>
      <c r="L2269">
        <v>0</v>
      </c>
      <c r="M2269">
        <v>0</v>
      </c>
      <c r="N2269">
        <v>2400</v>
      </c>
    </row>
    <row r="2270" spans="1:14" x14ac:dyDescent="0.25">
      <c r="A2270">
        <v>1552.7502380000001</v>
      </c>
      <c r="B2270" s="1">
        <f>DATE(2014,7,31) + TIME(18,0,20)</f>
        <v>41851.750231481485</v>
      </c>
      <c r="C2270">
        <v>80</v>
      </c>
      <c r="D2270">
        <v>79.961074828999998</v>
      </c>
      <c r="E2270">
        <v>50</v>
      </c>
      <c r="F2270">
        <v>46.137386321999998</v>
      </c>
      <c r="G2270">
        <v>1379.6467285000001</v>
      </c>
      <c r="H2270">
        <v>1366.7951660000001</v>
      </c>
      <c r="I2270">
        <v>1286.4561768000001</v>
      </c>
      <c r="J2270">
        <v>1266.1951904</v>
      </c>
      <c r="K2270">
        <v>2400</v>
      </c>
      <c r="L2270">
        <v>0</v>
      </c>
      <c r="M2270">
        <v>0</v>
      </c>
      <c r="N2270">
        <v>2400</v>
      </c>
    </row>
    <row r="2271" spans="1:14" x14ac:dyDescent="0.25">
      <c r="A2271">
        <v>1553</v>
      </c>
      <c r="B2271" s="1">
        <f>DATE(2014,8,1) + TIME(0,0,0)</f>
        <v>41852</v>
      </c>
      <c r="C2271">
        <v>80</v>
      </c>
      <c r="D2271">
        <v>79.961044311999999</v>
      </c>
      <c r="E2271">
        <v>50</v>
      </c>
      <c r="F2271">
        <v>46.123283385999997</v>
      </c>
      <c r="G2271">
        <v>1379.6245117000001</v>
      </c>
      <c r="H2271">
        <v>1366.7761230000001</v>
      </c>
      <c r="I2271">
        <v>1286.4075928</v>
      </c>
      <c r="J2271">
        <v>1266.1253661999999</v>
      </c>
      <c r="K2271">
        <v>2400</v>
      </c>
      <c r="L2271">
        <v>0</v>
      </c>
      <c r="M2271">
        <v>0</v>
      </c>
      <c r="N2271">
        <v>2400</v>
      </c>
    </row>
    <row r="2272" spans="1:14" x14ac:dyDescent="0.25">
      <c r="A2272">
        <v>1554.472861</v>
      </c>
      <c r="B2272" s="1">
        <f>DATE(2014,8,2) + TIME(11,20,55)</f>
        <v>41853.472858796296</v>
      </c>
      <c r="C2272">
        <v>80</v>
      </c>
      <c r="D2272">
        <v>79.961097717000001</v>
      </c>
      <c r="E2272">
        <v>50</v>
      </c>
      <c r="F2272">
        <v>46.089946746999999</v>
      </c>
      <c r="G2272">
        <v>1379.5888672000001</v>
      </c>
      <c r="H2272">
        <v>1366.7414550999999</v>
      </c>
      <c r="I2272">
        <v>1286.3814697</v>
      </c>
      <c r="J2272">
        <v>1266.0759277</v>
      </c>
      <c r="K2272">
        <v>2400</v>
      </c>
      <c r="L2272">
        <v>0</v>
      </c>
      <c r="M2272">
        <v>0</v>
      </c>
      <c r="N2272">
        <v>2400</v>
      </c>
    </row>
    <row r="2273" spans="1:14" x14ac:dyDescent="0.25">
      <c r="A2273">
        <v>1555.9779269999999</v>
      </c>
      <c r="B2273" s="1">
        <f>DATE(2014,8,3) + TIME(23,28,12)</f>
        <v>41854.977916666663</v>
      </c>
      <c r="C2273">
        <v>80</v>
      </c>
      <c r="D2273">
        <v>79.961128235000004</v>
      </c>
      <c r="E2273">
        <v>50</v>
      </c>
      <c r="F2273">
        <v>46.053680419999999</v>
      </c>
      <c r="G2273">
        <v>1379.5433350000001</v>
      </c>
      <c r="H2273">
        <v>1366.6993408000001</v>
      </c>
      <c r="I2273">
        <v>1286.3198242000001</v>
      </c>
      <c r="J2273">
        <v>1265.9785156</v>
      </c>
      <c r="K2273">
        <v>2400</v>
      </c>
      <c r="L2273">
        <v>0</v>
      </c>
      <c r="M2273">
        <v>0</v>
      </c>
      <c r="N2273">
        <v>2400</v>
      </c>
    </row>
    <row r="2274" spans="1:14" x14ac:dyDescent="0.25">
      <c r="A2274">
        <v>1557.4916700000001</v>
      </c>
      <c r="B2274" s="1">
        <f>DATE(2014,8,5) + TIME(11,48,0)</f>
        <v>41856.491666666669</v>
      </c>
      <c r="C2274">
        <v>80</v>
      </c>
      <c r="D2274">
        <v>79.961151122999993</v>
      </c>
      <c r="E2274">
        <v>50</v>
      </c>
      <c r="F2274">
        <v>46.016670226999999</v>
      </c>
      <c r="G2274">
        <v>1379.4960937999999</v>
      </c>
      <c r="H2274">
        <v>1366.6555175999999</v>
      </c>
      <c r="I2274">
        <v>1286.2556152</v>
      </c>
      <c r="J2274">
        <v>1265.8767089999999</v>
      </c>
      <c r="K2274">
        <v>2400</v>
      </c>
      <c r="L2274">
        <v>0</v>
      </c>
      <c r="M2274">
        <v>0</v>
      </c>
      <c r="N2274">
        <v>2400</v>
      </c>
    </row>
    <row r="2275" spans="1:14" x14ac:dyDescent="0.25">
      <c r="A2275">
        <v>1559.0065239999999</v>
      </c>
      <c r="B2275" s="1">
        <f>DATE(2014,8,7) + TIME(0,9,23)</f>
        <v>41858.006516203706</v>
      </c>
      <c r="C2275">
        <v>80</v>
      </c>
      <c r="D2275">
        <v>79.961174010999997</v>
      </c>
      <c r="E2275">
        <v>50</v>
      </c>
      <c r="F2275">
        <v>45.980026244999998</v>
      </c>
      <c r="G2275">
        <v>1379.4488524999999</v>
      </c>
      <c r="H2275">
        <v>1366.6115723</v>
      </c>
      <c r="I2275">
        <v>1286.1907959</v>
      </c>
      <c r="J2275">
        <v>1265.7731934000001</v>
      </c>
      <c r="K2275">
        <v>2400</v>
      </c>
      <c r="L2275">
        <v>0</v>
      </c>
      <c r="M2275">
        <v>0</v>
      </c>
      <c r="N2275">
        <v>2400</v>
      </c>
    </row>
    <row r="2276" spans="1:14" x14ac:dyDescent="0.25">
      <c r="A2276">
        <v>1560.5269989999999</v>
      </c>
      <c r="B2276" s="1">
        <f>DATE(2014,8,8) + TIME(12,38,52)</f>
        <v>41859.526990740742</v>
      </c>
      <c r="C2276">
        <v>80</v>
      </c>
      <c r="D2276">
        <v>79.961196899000001</v>
      </c>
      <c r="E2276">
        <v>50</v>
      </c>
      <c r="F2276">
        <v>45.944194793999998</v>
      </c>
      <c r="G2276">
        <v>1379.4017334</v>
      </c>
      <c r="H2276">
        <v>1366.5678711</v>
      </c>
      <c r="I2276">
        <v>1286.1258545000001</v>
      </c>
      <c r="J2276">
        <v>1265.6688231999999</v>
      </c>
      <c r="K2276">
        <v>2400</v>
      </c>
      <c r="L2276">
        <v>0</v>
      </c>
      <c r="M2276">
        <v>0</v>
      </c>
      <c r="N2276">
        <v>2400</v>
      </c>
    </row>
    <row r="2277" spans="1:14" x14ac:dyDescent="0.25">
      <c r="A2277">
        <v>1562.0582939999999</v>
      </c>
      <c r="B2277" s="1">
        <f>DATE(2014,8,10) + TIME(1,23,56)</f>
        <v>41861.058287037034</v>
      </c>
      <c r="C2277">
        <v>80</v>
      </c>
      <c r="D2277">
        <v>79.961227417000003</v>
      </c>
      <c r="E2277">
        <v>50</v>
      </c>
      <c r="F2277">
        <v>45.909320831000002</v>
      </c>
      <c r="G2277">
        <v>1379.3549805</v>
      </c>
      <c r="H2277">
        <v>1366.5242920000001</v>
      </c>
      <c r="I2277">
        <v>1286.0606689000001</v>
      </c>
      <c r="J2277">
        <v>1265.5637207</v>
      </c>
      <c r="K2277">
        <v>2400</v>
      </c>
      <c r="L2277">
        <v>0</v>
      </c>
      <c r="M2277">
        <v>0</v>
      </c>
      <c r="N2277">
        <v>2400</v>
      </c>
    </row>
    <row r="2278" spans="1:14" x14ac:dyDescent="0.25">
      <c r="A2278">
        <v>1563.6056920000001</v>
      </c>
      <c r="B2278" s="1">
        <f>DATE(2014,8,11) + TIME(14,32,11)</f>
        <v>41862.605682870373</v>
      </c>
      <c r="C2278">
        <v>80</v>
      </c>
      <c r="D2278">
        <v>79.961250304999993</v>
      </c>
      <c r="E2278">
        <v>50</v>
      </c>
      <c r="F2278">
        <v>45.875442505000002</v>
      </c>
      <c r="G2278">
        <v>1379.3083495999999</v>
      </c>
      <c r="H2278">
        <v>1366.4807129000001</v>
      </c>
      <c r="I2278">
        <v>1285.9949951000001</v>
      </c>
      <c r="J2278">
        <v>1265.4577637</v>
      </c>
      <c r="K2278">
        <v>2400</v>
      </c>
      <c r="L2278">
        <v>0</v>
      </c>
      <c r="M2278">
        <v>0</v>
      </c>
      <c r="N2278">
        <v>2400</v>
      </c>
    </row>
    <row r="2279" spans="1:14" x14ac:dyDescent="0.25">
      <c r="A2279">
        <v>1565.174471</v>
      </c>
      <c r="B2279" s="1">
        <f>DATE(2014,8,13) + TIME(4,11,14)</f>
        <v>41864.174467592595</v>
      </c>
      <c r="C2279">
        <v>80</v>
      </c>
      <c r="D2279">
        <v>79.961280822999996</v>
      </c>
      <c r="E2279">
        <v>50</v>
      </c>
      <c r="F2279">
        <v>45.842590332</v>
      </c>
      <c r="G2279">
        <v>1379.2615966999999</v>
      </c>
      <c r="H2279">
        <v>1366.4370117000001</v>
      </c>
      <c r="I2279">
        <v>1285.9289550999999</v>
      </c>
      <c r="J2279">
        <v>1265.3504639</v>
      </c>
      <c r="K2279">
        <v>2400</v>
      </c>
      <c r="L2279">
        <v>0</v>
      </c>
      <c r="M2279">
        <v>0</v>
      </c>
      <c r="N2279">
        <v>2400</v>
      </c>
    </row>
    <row r="2280" spans="1:14" x14ac:dyDescent="0.25">
      <c r="A2280">
        <v>1565.972417</v>
      </c>
      <c r="B2280" s="1">
        <f>DATE(2014,8,13) + TIME(23,20,16)</f>
        <v>41864.972407407404</v>
      </c>
      <c r="C2280">
        <v>80</v>
      </c>
      <c r="D2280">
        <v>79.961273192999997</v>
      </c>
      <c r="E2280">
        <v>50</v>
      </c>
      <c r="F2280">
        <v>45.818721771</v>
      </c>
      <c r="G2280">
        <v>1379.2252197</v>
      </c>
      <c r="H2280">
        <v>1366.4034423999999</v>
      </c>
      <c r="I2280">
        <v>1285.8679199000001</v>
      </c>
      <c r="J2280">
        <v>1265.2541504000001</v>
      </c>
      <c r="K2280">
        <v>2400</v>
      </c>
      <c r="L2280">
        <v>0</v>
      </c>
      <c r="M2280">
        <v>0</v>
      </c>
      <c r="N2280">
        <v>2400</v>
      </c>
    </row>
    <row r="2281" spans="1:14" x14ac:dyDescent="0.25">
      <c r="A2281">
        <v>1566.770364</v>
      </c>
      <c r="B2281" s="1">
        <f>DATE(2014,8,14) + TIME(18,29,19)</f>
        <v>41865.770358796297</v>
      </c>
      <c r="C2281">
        <v>80</v>
      </c>
      <c r="D2281">
        <v>79.961288452000005</v>
      </c>
      <c r="E2281">
        <v>50</v>
      </c>
      <c r="F2281">
        <v>45.799335480000003</v>
      </c>
      <c r="G2281">
        <v>1379.1973877</v>
      </c>
      <c r="H2281">
        <v>1366.3771973</v>
      </c>
      <c r="I2281">
        <v>1285.8310547000001</v>
      </c>
      <c r="J2281">
        <v>1265.1917725000001</v>
      </c>
      <c r="K2281">
        <v>2400</v>
      </c>
      <c r="L2281">
        <v>0</v>
      </c>
      <c r="M2281">
        <v>0</v>
      </c>
      <c r="N2281">
        <v>2400</v>
      </c>
    </row>
    <row r="2282" spans="1:14" x14ac:dyDescent="0.25">
      <c r="A2282">
        <v>1567.568311</v>
      </c>
      <c r="B2282" s="1">
        <f>DATE(2014,8,15) + TIME(13,38,22)</f>
        <v>41866.568310185183</v>
      </c>
      <c r="C2282">
        <v>80</v>
      </c>
      <c r="D2282">
        <v>79.961303710999999</v>
      </c>
      <c r="E2282">
        <v>50</v>
      </c>
      <c r="F2282">
        <v>45.782421112000002</v>
      </c>
      <c r="G2282">
        <v>1379.1719971</v>
      </c>
      <c r="H2282">
        <v>1366.3532714999999</v>
      </c>
      <c r="I2282">
        <v>1285.7961425999999</v>
      </c>
      <c r="J2282">
        <v>1265.1334228999999</v>
      </c>
      <c r="K2282">
        <v>2400</v>
      </c>
      <c r="L2282">
        <v>0</v>
      </c>
      <c r="M2282">
        <v>0</v>
      </c>
      <c r="N2282">
        <v>2400</v>
      </c>
    </row>
    <row r="2283" spans="1:14" x14ac:dyDescent="0.25">
      <c r="A2283">
        <v>1568.366258</v>
      </c>
      <c r="B2283" s="1">
        <f>DATE(2014,8,16) + TIME(8,47,24)</f>
        <v>41867.366249999999</v>
      </c>
      <c r="C2283">
        <v>80</v>
      </c>
      <c r="D2283">
        <v>79.961326599000003</v>
      </c>
      <c r="E2283">
        <v>50</v>
      </c>
      <c r="F2283">
        <v>45.766979218000003</v>
      </c>
      <c r="G2283">
        <v>1379.1475829999999</v>
      </c>
      <c r="H2283">
        <v>1366.3302002</v>
      </c>
      <c r="I2283">
        <v>1285.7619629000001</v>
      </c>
      <c r="J2283">
        <v>1265.0765381000001</v>
      </c>
      <c r="K2283">
        <v>2400</v>
      </c>
      <c r="L2283">
        <v>0</v>
      </c>
      <c r="M2283">
        <v>0</v>
      </c>
      <c r="N2283">
        <v>2400</v>
      </c>
    </row>
    <row r="2284" spans="1:14" x14ac:dyDescent="0.25">
      <c r="A2284">
        <v>1569.1642039999999</v>
      </c>
      <c r="B2284" s="1">
        <f>DATE(2014,8,17) + TIME(3,56,27)</f>
        <v>41868.164201388892</v>
      </c>
      <c r="C2284">
        <v>80</v>
      </c>
      <c r="D2284">
        <v>79.961341857999997</v>
      </c>
      <c r="E2284">
        <v>50</v>
      </c>
      <c r="F2284">
        <v>45.752521514999998</v>
      </c>
      <c r="G2284">
        <v>1379.1236572</v>
      </c>
      <c r="H2284">
        <v>1366.3077393000001</v>
      </c>
      <c r="I2284">
        <v>1285.7280272999999</v>
      </c>
      <c r="J2284">
        <v>1265.0206298999999</v>
      </c>
      <c r="K2284">
        <v>2400</v>
      </c>
      <c r="L2284">
        <v>0</v>
      </c>
      <c r="M2284">
        <v>0</v>
      </c>
      <c r="N2284">
        <v>2400</v>
      </c>
    </row>
    <row r="2285" spans="1:14" x14ac:dyDescent="0.25">
      <c r="A2285">
        <v>1569.9621509999999</v>
      </c>
      <c r="B2285" s="1">
        <f>DATE(2014,8,17) + TIME(23,5,29)</f>
        <v>41868.962141203701</v>
      </c>
      <c r="C2285">
        <v>80</v>
      </c>
      <c r="D2285">
        <v>79.961357117000006</v>
      </c>
      <c r="E2285">
        <v>50</v>
      </c>
      <c r="F2285">
        <v>45.738811493</v>
      </c>
      <c r="G2285">
        <v>1379.1000977000001</v>
      </c>
      <c r="H2285">
        <v>1366.2855225000001</v>
      </c>
      <c r="I2285">
        <v>1285.6944579999999</v>
      </c>
      <c r="J2285">
        <v>1264.9652100000001</v>
      </c>
      <c r="K2285">
        <v>2400</v>
      </c>
      <c r="L2285">
        <v>0</v>
      </c>
      <c r="M2285">
        <v>0</v>
      </c>
      <c r="N2285">
        <v>2400</v>
      </c>
    </row>
    <row r="2286" spans="1:14" x14ac:dyDescent="0.25">
      <c r="A2286">
        <v>1570.760098</v>
      </c>
      <c r="B2286" s="1">
        <f>DATE(2014,8,18) + TIME(18,14,32)</f>
        <v>41869.760092592594</v>
      </c>
      <c r="C2286">
        <v>80</v>
      </c>
      <c r="D2286">
        <v>79.961372374999996</v>
      </c>
      <c r="E2286">
        <v>50</v>
      </c>
      <c r="F2286">
        <v>45.725749968999999</v>
      </c>
      <c r="G2286">
        <v>1379.0766602000001</v>
      </c>
      <c r="H2286">
        <v>1366.2634277</v>
      </c>
      <c r="I2286">
        <v>1285.6611327999999</v>
      </c>
      <c r="J2286">
        <v>1264.9101562000001</v>
      </c>
      <c r="K2286">
        <v>2400</v>
      </c>
      <c r="L2286">
        <v>0</v>
      </c>
      <c r="M2286">
        <v>0</v>
      </c>
      <c r="N2286">
        <v>2400</v>
      </c>
    </row>
    <row r="2287" spans="1:14" x14ac:dyDescent="0.25">
      <c r="A2287">
        <v>1571.558045</v>
      </c>
      <c r="B2287" s="1">
        <f>DATE(2014,8,19) + TIME(13,23,35)</f>
        <v>41870.55804398148</v>
      </c>
      <c r="C2287">
        <v>80</v>
      </c>
      <c r="D2287">
        <v>79.961387634000005</v>
      </c>
      <c r="E2287">
        <v>50</v>
      </c>
      <c r="F2287">
        <v>45.713287354000002</v>
      </c>
      <c r="G2287">
        <v>1379.0535889</v>
      </c>
      <c r="H2287">
        <v>1366.2416992000001</v>
      </c>
      <c r="I2287">
        <v>1285.6280518000001</v>
      </c>
      <c r="J2287">
        <v>1264.8553466999999</v>
      </c>
      <c r="K2287">
        <v>2400</v>
      </c>
      <c r="L2287">
        <v>0</v>
      </c>
      <c r="M2287">
        <v>0</v>
      </c>
      <c r="N2287">
        <v>2400</v>
      </c>
    </row>
    <row r="2288" spans="1:14" x14ac:dyDescent="0.25">
      <c r="A2288">
        <v>1572.3559909999999</v>
      </c>
      <c r="B2288" s="1">
        <f>DATE(2014,8,20) + TIME(8,32,37)</f>
        <v>41871.355983796297</v>
      </c>
      <c r="C2288">
        <v>80</v>
      </c>
      <c r="D2288">
        <v>79.961402892999999</v>
      </c>
      <c r="E2288">
        <v>50</v>
      </c>
      <c r="F2288">
        <v>45.701416016000003</v>
      </c>
      <c r="G2288">
        <v>1379.0305175999999</v>
      </c>
      <c r="H2288">
        <v>1366.2199707</v>
      </c>
      <c r="I2288">
        <v>1285.5950928</v>
      </c>
      <c r="J2288">
        <v>1264.8007812000001</v>
      </c>
      <c r="K2288">
        <v>2400</v>
      </c>
      <c r="L2288">
        <v>0</v>
      </c>
      <c r="M2288">
        <v>0</v>
      </c>
      <c r="N2288">
        <v>2400</v>
      </c>
    </row>
    <row r="2289" spans="1:14" x14ac:dyDescent="0.25">
      <c r="A2289">
        <v>1573.1539379999999</v>
      </c>
      <c r="B2289" s="1">
        <f>DATE(2014,8,21) + TIME(3,41,40)</f>
        <v>41872.153935185182</v>
      </c>
      <c r="C2289">
        <v>80</v>
      </c>
      <c r="D2289">
        <v>79.961410521999994</v>
      </c>
      <c r="E2289">
        <v>50</v>
      </c>
      <c r="F2289">
        <v>45.690135955999999</v>
      </c>
      <c r="G2289">
        <v>1379.0076904</v>
      </c>
      <c r="H2289">
        <v>1366.1984863</v>
      </c>
      <c r="I2289">
        <v>1285.5623779</v>
      </c>
      <c r="J2289">
        <v>1264.7464600000001</v>
      </c>
      <c r="K2289">
        <v>2400</v>
      </c>
      <c r="L2289">
        <v>0</v>
      </c>
      <c r="M2289">
        <v>0</v>
      </c>
      <c r="N2289">
        <v>2400</v>
      </c>
    </row>
    <row r="2290" spans="1:14" x14ac:dyDescent="0.25">
      <c r="A2290">
        <v>1574.749832</v>
      </c>
      <c r="B2290" s="1">
        <f>DATE(2014,8,22) + TIME(17,59,45)</f>
        <v>41873.749826388892</v>
      </c>
      <c r="C2290">
        <v>80</v>
      </c>
      <c r="D2290">
        <v>79.961456299000005</v>
      </c>
      <c r="E2290">
        <v>50</v>
      </c>
      <c r="F2290">
        <v>45.675922393999997</v>
      </c>
      <c r="G2290">
        <v>1378.9774170000001</v>
      </c>
      <c r="H2290">
        <v>1366.1694336</v>
      </c>
      <c r="I2290">
        <v>1285.5253906</v>
      </c>
      <c r="J2290">
        <v>1264.6835937999999</v>
      </c>
      <c r="K2290">
        <v>2400</v>
      </c>
      <c r="L2290">
        <v>0</v>
      </c>
      <c r="M2290">
        <v>0</v>
      </c>
      <c r="N2290">
        <v>2400</v>
      </c>
    </row>
    <row r="2291" spans="1:14" x14ac:dyDescent="0.25">
      <c r="A2291">
        <v>1576.346254</v>
      </c>
      <c r="B2291" s="1">
        <f>DATE(2014,8,24) + TIME(8,18,36)</f>
        <v>41875.346250000002</v>
      </c>
      <c r="C2291">
        <v>80</v>
      </c>
      <c r="D2291">
        <v>79.961486816000004</v>
      </c>
      <c r="E2291">
        <v>50</v>
      </c>
      <c r="F2291">
        <v>45.658641815000003</v>
      </c>
      <c r="G2291">
        <v>1378.9364014</v>
      </c>
      <c r="H2291">
        <v>1366.1308594</v>
      </c>
      <c r="I2291">
        <v>1285.4639893000001</v>
      </c>
      <c r="J2291">
        <v>1264.5832519999999</v>
      </c>
      <c r="K2291">
        <v>2400</v>
      </c>
      <c r="L2291">
        <v>0</v>
      </c>
      <c r="M2291">
        <v>0</v>
      </c>
      <c r="N2291">
        <v>2400</v>
      </c>
    </row>
    <row r="2292" spans="1:14" x14ac:dyDescent="0.25">
      <c r="A2292">
        <v>1577.9623309999999</v>
      </c>
      <c r="B2292" s="1">
        <f>DATE(2014,8,25) + TIME(23,5,45)</f>
        <v>41876.962326388886</v>
      </c>
      <c r="C2292">
        <v>80</v>
      </c>
      <c r="D2292">
        <v>79.961509704999997</v>
      </c>
      <c r="E2292">
        <v>50</v>
      </c>
      <c r="F2292">
        <v>45.642047882</v>
      </c>
      <c r="G2292">
        <v>1378.8931885</v>
      </c>
      <c r="H2292">
        <v>1366.0902100000001</v>
      </c>
      <c r="I2292">
        <v>1285.4013672000001</v>
      </c>
      <c r="J2292">
        <v>1264.4790039</v>
      </c>
      <c r="K2292">
        <v>2400</v>
      </c>
      <c r="L2292">
        <v>0</v>
      </c>
      <c r="M2292">
        <v>0</v>
      </c>
      <c r="N2292">
        <v>2400</v>
      </c>
    </row>
    <row r="2293" spans="1:14" x14ac:dyDescent="0.25">
      <c r="A2293">
        <v>1579.6039720000001</v>
      </c>
      <c r="B2293" s="1">
        <f>DATE(2014,8,27) + TIME(14,29,43)</f>
        <v>41878.60396990741</v>
      </c>
      <c r="C2293">
        <v>80</v>
      </c>
      <c r="D2293">
        <v>79.961540221999996</v>
      </c>
      <c r="E2293">
        <v>50</v>
      </c>
      <c r="F2293">
        <v>45.627479553000001</v>
      </c>
      <c r="G2293">
        <v>1378.8492432</v>
      </c>
      <c r="H2293">
        <v>1366.0485839999999</v>
      </c>
      <c r="I2293">
        <v>1285.3382568</v>
      </c>
      <c r="J2293">
        <v>1264.3731689000001</v>
      </c>
      <c r="K2293">
        <v>2400</v>
      </c>
      <c r="L2293">
        <v>0</v>
      </c>
      <c r="M2293">
        <v>0</v>
      </c>
      <c r="N2293">
        <v>2400</v>
      </c>
    </row>
    <row r="2294" spans="1:14" x14ac:dyDescent="0.25">
      <c r="A2294">
        <v>1581.277687</v>
      </c>
      <c r="B2294" s="1">
        <f>DATE(2014,8,29) + TIME(6,39,52)</f>
        <v>41880.277685185189</v>
      </c>
      <c r="C2294">
        <v>80</v>
      </c>
      <c r="D2294">
        <v>79.96156311</v>
      </c>
      <c r="E2294">
        <v>50</v>
      </c>
      <c r="F2294">
        <v>45.615589141999997</v>
      </c>
      <c r="G2294">
        <v>1378.8046875</v>
      </c>
      <c r="H2294">
        <v>1366.0064697</v>
      </c>
      <c r="I2294">
        <v>1285.2749022999999</v>
      </c>
      <c r="J2294">
        <v>1264.2662353999999</v>
      </c>
      <c r="K2294">
        <v>2400</v>
      </c>
      <c r="L2294">
        <v>0</v>
      </c>
      <c r="M2294">
        <v>0</v>
      </c>
      <c r="N2294">
        <v>2400</v>
      </c>
    </row>
    <row r="2295" spans="1:14" x14ac:dyDescent="0.25">
      <c r="A2295">
        <v>1582.990622</v>
      </c>
      <c r="B2295" s="1">
        <f>DATE(2014,8,30) + TIME(23,46,29)</f>
        <v>41881.990613425929</v>
      </c>
      <c r="C2295">
        <v>80</v>
      </c>
      <c r="D2295">
        <v>79.961593628000003</v>
      </c>
      <c r="E2295">
        <v>50</v>
      </c>
      <c r="F2295">
        <v>45.606834411999998</v>
      </c>
      <c r="G2295">
        <v>1378.7593993999999</v>
      </c>
      <c r="H2295">
        <v>1365.963501</v>
      </c>
      <c r="I2295">
        <v>1285.2114257999999</v>
      </c>
      <c r="J2295">
        <v>1264.1585693</v>
      </c>
      <c r="K2295">
        <v>2400</v>
      </c>
      <c r="L2295">
        <v>0</v>
      </c>
      <c r="M2295">
        <v>0</v>
      </c>
      <c r="N2295">
        <v>2400</v>
      </c>
    </row>
    <row r="2296" spans="1:14" x14ac:dyDescent="0.25">
      <c r="A2296">
        <v>1584</v>
      </c>
      <c r="B2296" s="1">
        <f>DATE(2014,9,1) + TIME(0,0,0)</f>
        <v>41883</v>
      </c>
      <c r="C2296">
        <v>80</v>
      </c>
      <c r="D2296">
        <v>79.961601256999998</v>
      </c>
      <c r="E2296">
        <v>50</v>
      </c>
      <c r="F2296">
        <v>45.602653502999999</v>
      </c>
      <c r="G2296">
        <v>1378.7219238</v>
      </c>
      <c r="H2296">
        <v>1365.9283447</v>
      </c>
      <c r="I2296">
        <v>1285.1524658000001</v>
      </c>
      <c r="J2296">
        <v>1264.0596923999999</v>
      </c>
      <c r="K2296">
        <v>2400</v>
      </c>
      <c r="L2296">
        <v>0</v>
      </c>
      <c r="M2296">
        <v>0</v>
      </c>
      <c r="N2296">
        <v>2400</v>
      </c>
    </row>
    <row r="2297" spans="1:14" x14ac:dyDescent="0.25">
      <c r="A2297">
        <v>1585.760569</v>
      </c>
      <c r="B2297" s="1">
        <f>DATE(2014,9,2) + TIME(18,15,13)</f>
        <v>41884.760567129626</v>
      </c>
      <c r="C2297">
        <v>80</v>
      </c>
      <c r="D2297">
        <v>79.961647033999995</v>
      </c>
      <c r="E2297">
        <v>50</v>
      </c>
      <c r="F2297">
        <v>45.600727081000002</v>
      </c>
      <c r="G2297">
        <v>1378.684082</v>
      </c>
      <c r="H2297">
        <v>1365.8919678</v>
      </c>
      <c r="I2297">
        <v>1285.1085204999999</v>
      </c>
      <c r="J2297">
        <v>1263.9824219</v>
      </c>
      <c r="K2297">
        <v>2400</v>
      </c>
      <c r="L2297">
        <v>0</v>
      </c>
      <c r="M2297">
        <v>0</v>
      </c>
      <c r="N2297">
        <v>2400</v>
      </c>
    </row>
    <row r="2298" spans="1:14" x14ac:dyDescent="0.25">
      <c r="A2298">
        <v>1587.6165120000001</v>
      </c>
      <c r="B2298" s="1">
        <f>DATE(2014,9,4) + TIME(14,47,46)</f>
        <v>41886.61650462963</v>
      </c>
      <c r="C2298">
        <v>80</v>
      </c>
      <c r="D2298">
        <v>79.961685181000007</v>
      </c>
      <c r="E2298">
        <v>50</v>
      </c>
      <c r="F2298">
        <v>45.602722168</v>
      </c>
      <c r="G2298">
        <v>1378.6386719</v>
      </c>
      <c r="H2298">
        <v>1365.8488769999999</v>
      </c>
      <c r="I2298">
        <v>1285.0462646000001</v>
      </c>
      <c r="J2298">
        <v>1263.8765868999999</v>
      </c>
      <c r="K2298">
        <v>2400</v>
      </c>
      <c r="L2298">
        <v>0</v>
      </c>
      <c r="M2298">
        <v>0</v>
      </c>
      <c r="N2298">
        <v>2400</v>
      </c>
    </row>
    <row r="2299" spans="1:14" x14ac:dyDescent="0.25">
      <c r="A2299">
        <v>1589.51503</v>
      </c>
      <c r="B2299" s="1">
        <f>DATE(2014,9,6) + TIME(12,21,38)</f>
        <v>41888.515023148146</v>
      </c>
      <c r="C2299">
        <v>80</v>
      </c>
      <c r="D2299">
        <v>79.961715698000006</v>
      </c>
      <c r="E2299">
        <v>50</v>
      </c>
      <c r="F2299">
        <v>45.609836577999999</v>
      </c>
      <c r="G2299">
        <v>1378.5908202999999</v>
      </c>
      <c r="H2299">
        <v>1365.8032227000001</v>
      </c>
      <c r="I2299">
        <v>1284.9818115</v>
      </c>
      <c r="J2299">
        <v>1263.7661132999999</v>
      </c>
      <c r="K2299">
        <v>2400</v>
      </c>
      <c r="L2299">
        <v>0</v>
      </c>
      <c r="M2299">
        <v>0</v>
      </c>
      <c r="N2299">
        <v>2400</v>
      </c>
    </row>
    <row r="2300" spans="1:14" x14ac:dyDescent="0.25">
      <c r="A2300">
        <v>1590.464547</v>
      </c>
      <c r="B2300" s="1">
        <f>DATE(2014,9,7) + TIME(11,8,56)</f>
        <v>41889.464537037034</v>
      </c>
      <c r="C2300">
        <v>80</v>
      </c>
      <c r="D2300">
        <v>79.961715698000006</v>
      </c>
      <c r="E2300">
        <v>50</v>
      </c>
      <c r="F2300">
        <v>45.620025634999998</v>
      </c>
      <c r="G2300">
        <v>1378.5532227000001</v>
      </c>
      <c r="H2300">
        <v>1365.7679443</v>
      </c>
      <c r="I2300">
        <v>1284.9241943</v>
      </c>
      <c r="J2300">
        <v>1263.6672363</v>
      </c>
      <c r="K2300">
        <v>2400</v>
      </c>
      <c r="L2300">
        <v>0</v>
      </c>
      <c r="M2300">
        <v>0</v>
      </c>
      <c r="N2300">
        <v>2400</v>
      </c>
    </row>
    <row r="2301" spans="1:14" x14ac:dyDescent="0.25">
      <c r="A2301">
        <v>1591.4140640000001</v>
      </c>
      <c r="B2301" s="1">
        <f>DATE(2014,9,8) + TIME(9,56,15)</f>
        <v>41890.4140625</v>
      </c>
      <c r="C2301">
        <v>80</v>
      </c>
      <c r="D2301">
        <v>79.961730957</v>
      </c>
      <c r="E2301">
        <v>50</v>
      </c>
      <c r="F2301">
        <v>45.630718231000003</v>
      </c>
      <c r="G2301">
        <v>1378.5241699000001</v>
      </c>
      <c r="H2301">
        <v>1365.7399902</v>
      </c>
      <c r="I2301">
        <v>1284.8892822</v>
      </c>
      <c r="J2301">
        <v>1263.6057129000001</v>
      </c>
      <c r="K2301">
        <v>2400</v>
      </c>
      <c r="L2301">
        <v>0</v>
      </c>
      <c r="M2301">
        <v>0</v>
      </c>
      <c r="N2301">
        <v>2400</v>
      </c>
    </row>
    <row r="2302" spans="1:14" x14ac:dyDescent="0.25">
      <c r="A2302">
        <v>1592.363582</v>
      </c>
      <c r="B2302" s="1">
        <f>DATE(2014,9,9) + TIME(8,43,33)</f>
        <v>41891.363576388889</v>
      </c>
      <c r="C2302">
        <v>80</v>
      </c>
      <c r="D2302">
        <v>79.961753845000004</v>
      </c>
      <c r="E2302">
        <v>50</v>
      </c>
      <c r="F2302">
        <v>45.642627716</v>
      </c>
      <c r="G2302">
        <v>1378.4978027</v>
      </c>
      <c r="H2302">
        <v>1365.7147216999999</v>
      </c>
      <c r="I2302">
        <v>1284.8569336</v>
      </c>
      <c r="J2302">
        <v>1263.5489502</v>
      </c>
      <c r="K2302">
        <v>2400</v>
      </c>
      <c r="L2302">
        <v>0</v>
      </c>
      <c r="M2302">
        <v>0</v>
      </c>
      <c r="N2302">
        <v>2400</v>
      </c>
    </row>
    <row r="2303" spans="1:14" x14ac:dyDescent="0.25">
      <c r="A2303">
        <v>1593.313099</v>
      </c>
      <c r="B2303" s="1">
        <f>DATE(2014,9,10) + TIME(7,30,51)</f>
        <v>41892.313090277778</v>
      </c>
      <c r="C2303">
        <v>80</v>
      </c>
      <c r="D2303">
        <v>79.961776732999994</v>
      </c>
      <c r="E2303">
        <v>50</v>
      </c>
      <c r="F2303">
        <v>45.656101227000001</v>
      </c>
      <c r="G2303">
        <v>1378.4724120999999</v>
      </c>
      <c r="H2303">
        <v>1365.6904297000001</v>
      </c>
      <c r="I2303">
        <v>1284.8259277</v>
      </c>
      <c r="J2303">
        <v>1263.4945068</v>
      </c>
      <c r="K2303">
        <v>2400</v>
      </c>
      <c r="L2303">
        <v>0</v>
      </c>
      <c r="M2303">
        <v>0</v>
      </c>
      <c r="N2303">
        <v>2400</v>
      </c>
    </row>
    <row r="2304" spans="1:14" x14ac:dyDescent="0.25">
      <c r="A2304">
        <v>1594.262616</v>
      </c>
      <c r="B2304" s="1">
        <f>DATE(2014,9,11) + TIME(6,18,10)</f>
        <v>41893.262615740743</v>
      </c>
      <c r="C2304">
        <v>80</v>
      </c>
      <c r="D2304">
        <v>79.961791992000002</v>
      </c>
      <c r="E2304">
        <v>50</v>
      </c>
      <c r="F2304">
        <v>45.671329497999999</v>
      </c>
      <c r="G2304">
        <v>1378.4475098</v>
      </c>
      <c r="H2304">
        <v>1365.666626</v>
      </c>
      <c r="I2304">
        <v>1284.7956543</v>
      </c>
      <c r="J2304">
        <v>1263.4417725000001</v>
      </c>
      <c r="K2304">
        <v>2400</v>
      </c>
      <c r="L2304">
        <v>0</v>
      </c>
      <c r="M2304">
        <v>0</v>
      </c>
      <c r="N2304">
        <v>2400</v>
      </c>
    </row>
    <row r="2305" spans="1:14" x14ac:dyDescent="0.25">
      <c r="A2305">
        <v>1595.2121340000001</v>
      </c>
      <c r="B2305" s="1">
        <f>DATE(2014,9,12) + TIME(5,5,28)</f>
        <v>41894.212129629632</v>
      </c>
      <c r="C2305">
        <v>80</v>
      </c>
      <c r="D2305">
        <v>79.961814880000006</v>
      </c>
      <c r="E2305">
        <v>50</v>
      </c>
      <c r="F2305">
        <v>45.688419342000003</v>
      </c>
      <c r="G2305">
        <v>1378.4229736</v>
      </c>
      <c r="H2305">
        <v>1365.6431885</v>
      </c>
      <c r="I2305">
        <v>1284.7661132999999</v>
      </c>
      <c r="J2305">
        <v>1263.3903809000001</v>
      </c>
      <c r="K2305">
        <v>2400</v>
      </c>
      <c r="L2305">
        <v>0</v>
      </c>
      <c r="M2305">
        <v>0</v>
      </c>
      <c r="N2305">
        <v>2400</v>
      </c>
    </row>
    <row r="2306" spans="1:14" x14ac:dyDescent="0.25">
      <c r="A2306">
        <v>1597.1111679999999</v>
      </c>
      <c r="B2306" s="1">
        <f>DATE(2014,9,14) + TIME(2,40,4)</f>
        <v>41896.111157407409</v>
      </c>
      <c r="C2306">
        <v>80</v>
      </c>
      <c r="D2306">
        <v>79.961860657000003</v>
      </c>
      <c r="E2306">
        <v>50</v>
      </c>
      <c r="F2306">
        <v>45.712902069000002</v>
      </c>
      <c r="G2306">
        <v>1378.3905029</v>
      </c>
      <c r="H2306">
        <v>1365.6116943</v>
      </c>
      <c r="I2306">
        <v>1284.7319336</v>
      </c>
      <c r="J2306">
        <v>1263.3319091999999</v>
      </c>
      <c r="K2306">
        <v>2400</v>
      </c>
      <c r="L2306">
        <v>0</v>
      </c>
      <c r="M2306">
        <v>0</v>
      </c>
      <c r="N2306">
        <v>2400</v>
      </c>
    </row>
    <row r="2307" spans="1:14" x14ac:dyDescent="0.25">
      <c r="A2307">
        <v>1599.015249</v>
      </c>
      <c r="B2307" s="1">
        <f>DATE(2014,9,16) + TIME(0,21,57)</f>
        <v>41898.015243055554</v>
      </c>
      <c r="C2307">
        <v>80</v>
      </c>
      <c r="D2307">
        <v>79.961891174000002</v>
      </c>
      <c r="E2307">
        <v>50</v>
      </c>
      <c r="F2307">
        <v>45.752346039000003</v>
      </c>
      <c r="G2307">
        <v>1378.3468018000001</v>
      </c>
      <c r="H2307">
        <v>1365.5701904</v>
      </c>
      <c r="I2307">
        <v>1284.6793213000001</v>
      </c>
      <c r="J2307">
        <v>1263.2401123</v>
      </c>
      <c r="K2307">
        <v>2400</v>
      </c>
      <c r="L2307">
        <v>0</v>
      </c>
      <c r="M2307">
        <v>0</v>
      </c>
      <c r="N2307">
        <v>2400</v>
      </c>
    </row>
    <row r="2308" spans="1:14" x14ac:dyDescent="0.25">
      <c r="A2308">
        <v>1600.9418920000001</v>
      </c>
      <c r="B2308" s="1">
        <f>DATE(2014,9,17) + TIME(22,36,19)</f>
        <v>41899.941886574074</v>
      </c>
      <c r="C2308">
        <v>80</v>
      </c>
      <c r="D2308">
        <v>79.961921692000004</v>
      </c>
      <c r="E2308">
        <v>50</v>
      </c>
      <c r="F2308">
        <v>45.802429199000002</v>
      </c>
      <c r="G2308">
        <v>1378.3009033000001</v>
      </c>
      <c r="H2308">
        <v>1365.5262451000001</v>
      </c>
      <c r="I2308">
        <v>1284.6265868999999</v>
      </c>
      <c r="J2308">
        <v>1263.1475829999999</v>
      </c>
      <c r="K2308">
        <v>2400</v>
      </c>
      <c r="L2308">
        <v>0</v>
      </c>
      <c r="M2308">
        <v>0</v>
      </c>
      <c r="N2308">
        <v>2400</v>
      </c>
    </row>
    <row r="2309" spans="1:14" x14ac:dyDescent="0.25">
      <c r="A2309">
        <v>1602.89849</v>
      </c>
      <c r="B2309" s="1">
        <f>DATE(2014,9,19) + TIME(21,33,49)</f>
        <v>41901.8984837963</v>
      </c>
      <c r="C2309">
        <v>80</v>
      </c>
      <c r="D2309">
        <v>79.961959839000002</v>
      </c>
      <c r="E2309">
        <v>50</v>
      </c>
      <c r="F2309">
        <v>45.862636565999999</v>
      </c>
      <c r="G2309">
        <v>1378.2541504000001</v>
      </c>
      <c r="H2309">
        <v>1365.4813231999999</v>
      </c>
      <c r="I2309">
        <v>1284.5751952999999</v>
      </c>
      <c r="J2309">
        <v>1263.0570068</v>
      </c>
      <c r="K2309">
        <v>2400</v>
      </c>
      <c r="L2309">
        <v>0</v>
      </c>
      <c r="M2309">
        <v>0</v>
      </c>
      <c r="N2309">
        <v>2400</v>
      </c>
    </row>
    <row r="2310" spans="1:14" x14ac:dyDescent="0.25">
      <c r="A2310">
        <v>1604.8925449999999</v>
      </c>
      <c r="B2310" s="1">
        <f>DATE(2014,9,21) + TIME(21,25,15)</f>
        <v>41903.892534722225</v>
      </c>
      <c r="C2310">
        <v>80</v>
      </c>
      <c r="D2310">
        <v>79.961997986</v>
      </c>
      <c r="E2310">
        <v>50</v>
      </c>
      <c r="F2310">
        <v>45.933567046999997</v>
      </c>
      <c r="G2310">
        <v>1378.2066649999999</v>
      </c>
      <c r="H2310">
        <v>1365.4359131000001</v>
      </c>
      <c r="I2310">
        <v>1284.5252685999999</v>
      </c>
      <c r="J2310">
        <v>1262.9691161999999</v>
      </c>
      <c r="K2310">
        <v>2400</v>
      </c>
      <c r="L2310">
        <v>0</v>
      </c>
      <c r="M2310">
        <v>0</v>
      </c>
      <c r="N2310">
        <v>2400</v>
      </c>
    </row>
    <row r="2311" spans="1:14" x14ac:dyDescent="0.25">
      <c r="A2311">
        <v>1606.9074800000001</v>
      </c>
      <c r="B2311" s="1">
        <f>DATE(2014,9,23) + TIME(21,46,46)</f>
        <v>41905.907476851855</v>
      </c>
      <c r="C2311">
        <v>80</v>
      </c>
      <c r="D2311">
        <v>79.962028502999999</v>
      </c>
      <c r="E2311">
        <v>50</v>
      </c>
      <c r="F2311">
        <v>46.015972136999999</v>
      </c>
      <c r="G2311">
        <v>1378.1586914</v>
      </c>
      <c r="H2311">
        <v>1365.3898925999999</v>
      </c>
      <c r="I2311">
        <v>1284.4771728999999</v>
      </c>
      <c r="J2311">
        <v>1262.8842772999999</v>
      </c>
      <c r="K2311">
        <v>2400</v>
      </c>
      <c r="L2311">
        <v>0</v>
      </c>
      <c r="M2311">
        <v>0</v>
      </c>
      <c r="N2311">
        <v>2400</v>
      </c>
    </row>
    <row r="2312" spans="1:14" x14ac:dyDescent="0.25">
      <c r="A2312">
        <v>1608.9525590000001</v>
      </c>
      <c r="B2312" s="1">
        <f>DATE(2014,9,25) + TIME(22,51,41)</f>
        <v>41907.952557870369</v>
      </c>
      <c r="C2312">
        <v>80</v>
      </c>
      <c r="D2312">
        <v>79.962066649999997</v>
      </c>
      <c r="E2312">
        <v>50</v>
      </c>
      <c r="F2312">
        <v>46.110435486</v>
      </c>
      <c r="G2312">
        <v>1378.1104736</v>
      </c>
      <c r="H2312">
        <v>1365.3435059000001</v>
      </c>
      <c r="I2312">
        <v>1284.4311522999999</v>
      </c>
      <c r="J2312">
        <v>1262.8033447</v>
      </c>
      <c r="K2312">
        <v>2400</v>
      </c>
      <c r="L2312">
        <v>0</v>
      </c>
      <c r="M2312">
        <v>0</v>
      </c>
      <c r="N2312">
        <v>2400</v>
      </c>
    </row>
    <row r="2313" spans="1:14" x14ac:dyDescent="0.25">
      <c r="A2313">
        <v>1611.037628</v>
      </c>
      <c r="B2313" s="1">
        <f>DATE(2014,9,28) + TIME(0,54,11)</f>
        <v>41910.037627314814</v>
      </c>
      <c r="C2313">
        <v>80</v>
      </c>
      <c r="D2313">
        <v>79.962104796999995</v>
      </c>
      <c r="E2313">
        <v>50</v>
      </c>
      <c r="F2313">
        <v>46.217880248999997</v>
      </c>
      <c r="G2313">
        <v>1378.0620117000001</v>
      </c>
      <c r="H2313">
        <v>1365.296875</v>
      </c>
      <c r="I2313">
        <v>1284.3873291</v>
      </c>
      <c r="J2313">
        <v>1262.7264404</v>
      </c>
      <c r="K2313">
        <v>2400</v>
      </c>
      <c r="L2313">
        <v>0</v>
      </c>
      <c r="M2313">
        <v>0</v>
      </c>
      <c r="N2313">
        <v>2400</v>
      </c>
    </row>
    <row r="2314" spans="1:14" x14ac:dyDescent="0.25">
      <c r="A2314">
        <v>1612.105515</v>
      </c>
      <c r="B2314" s="1">
        <f>DATE(2014,9,29) + TIME(2,31,56)</f>
        <v>41911.105509259258</v>
      </c>
      <c r="C2314">
        <v>80</v>
      </c>
      <c r="D2314">
        <v>79.962104796999995</v>
      </c>
      <c r="E2314">
        <v>50</v>
      </c>
      <c r="F2314">
        <v>46.314662933000001</v>
      </c>
      <c r="G2314">
        <v>1378.0244141000001</v>
      </c>
      <c r="H2314">
        <v>1365.2611084</v>
      </c>
      <c r="I2314">
        <v>1284.3540039</v>
      </c>
      <c r="J2314">
        <v>1262.6621094</v>
      </c>
      <c r="K2314">
        <v>2400</v>
      </c>
      <c r="L2314">
        <v>0</v>
      </c>
      <c r="M2314">
        <v>0</v>
      </c>
      <c r="N2314">
        <v>2400</v>
      </c>
    </row>
    <row r="2315" spans="1:14" x14ac:dyDescent="0.25">
      <c r="A2315">
        <v>1614</v>
      </c>
      <c r="B2315" s="1">
        <f>DATE(2014,10,1) + TIME(0,0,0)</f>
        <v>41913</v>
      </c>
      <c r="C2315">
        <v>80</v>
      </c>
      <c r="D2315">
        <v>79.962158203000001</v>
      </c>
      <c r="E2315">
        <v>50</v>
      </c>
      <c r="F2315">
        <v>46.413917542</v>
      </c>
      <c r="G2315">
        <v>1377.9865723</v>
      </c>
      <c r="H2315">
        <v>1365.2242432</v>
      </c>
      <c r="I2315">
        <v>1284.3245850000001</v>
      </c>
      <c r="J2315">
        <v>1262.6180420000001</v>
      </c>
      <c r="K2315">
        <v>2400</v>
      </c>
      <c r="L2315">
        <v>0</v>
      </c>
      <c r="M2315">
        <v>0</v>
      </c>
      <c r="N2315">
        <v>2400</v>
      </c>
    </row>
    <row r="2316" spans="1:14" x14ac:dyDescent="0.25">
      <c r="A2316">
        <v>1615.0678869999999</v>
      </c>
      <c r="B2316" s="1">
        <f>DATE(2014,10,2) + TIME(1,37,45)</f>
        <v>41914.067881944444</v>
      </c>
      <c r="C2316">
        <v>80</v>
      </c>
      <c r="D2316">
        <v>79.962165833</v>
      </c>
      <c r="E2316">
        <v>50</v>
      </c>
      <c r="F2316">
        <v>46.514423370000003</v>
      </c>
      <c r="G2316">
        <v>1377.9528809000001</v>
      </c>
      <c r="H2316">
        <v>1365.1921387</v>
      </c>
      <c r="I2316">
        <v>1284.2984618999999</v>
      </c>
      <c r="J2316">
        <v>1262.5665283000001</v>
      </c>
      <c r="K2316">
        <v>2400</v>
      </c>
      <c r="L2316">
        <v>0</v>
      </c>
      <c r="M2316">
        <v>0</v>
      </c>
      <c r="N2316">
        <v>2400</v>
      </c>
    </row>
    <row r="2317" spans="1:14" x14ac:dyDescent="0.25">
      <c r="A2317">
        <v>1616.1357740000001</v>
      </c>
      <c r="B2317" s="1">
        <f>DATE(2014,10,3) + TIME(3,15,30)</f>
        <v>41915.135763888888</v>
      </c>
      <c r="C2317">
        <v>80</v>
      </c>
      <c r="D2317">
        <v>79.962188721000004</v>
      </c>
      <c r="E2317">
        <v>50</v>
      </c>
      <c r="F2317">
        <v>46.602687836000001</v>
      </c>
      <c r="G2317">
        <v>1377.9249268000001</v>
      </c>
      <c r="H2317">
        <v>1365.1649170000001</v>
      </c>
      <c r="I2317">
        <v>1284.2780762</v>
      </c>
      <c r="J2317">
        <v>1262.5341797000001</v>
      </c>
      <c r="K2317">
        <v>2400</v>
      </c>
      <c r="L2317">
        <v>0</v>
      </c>
      <c r="M2317">
        <v>0</v>
      </c>
      <c r="N2317">
        <v>2400</v>
      </c>
    </row>
    <row r="2318" spans="1:14" x14ac:dyDescent="0.25">
      <c r="A2318">
        <v>1617.203661</v>
      </c>
      <c r="B2318" s="1">
        <f>DATE(2014,10,4) + TIME(4,53,16)</f>
        <v>41916.203657407408</v>
      </c>
      <c r="C2318">
        <v>80</v>
      </c>
      <c r="D2318">
        <v>79.962211608999993</v>
      </c>
      <c r="E2318">
        <v>50</v>
      </c>
      <c r="F2318">
        <v>46.687763214</v>
      </c>
      <c r="G2318">
        <v>1377.8988036999999</v>
      </c>
      <c r="H2318">
        <v>1365.1397704999999</v>
      </c>
      <c r="I2318">
        <v>1284.2598877</v>
      </c>
      <c r="J2318">
        <v>1262.5042725000001</v>
      </c>
      <c r="K2318">
        <v>2400</v>
      </c>
      <c r="L2318">
        <v>0</v>
      </c>
      <c r="M2318">
        <v>0</v>
      </c>
      <c r="N2318">
        <v>2400</v>
      </c>
    </row>
    <row r="2319" spans="1:14" x14ac:dyDescent="0.25">
      <c r="A2319">
        <v>1618.2715470000001</v>
      </c>
      <c r="B2319" s="1">
        <f>DATE(2014,10,5) + TIME(6,31,1)</f>
        <v>41917.271539351852</v>
      </c>
      <c r="C2319">
        <v>80</v>
      </c>
      <c r="D2319">
        <v>79.962226868000002</v>
      </c>
      <c r="E2319">
        <v>50</v>
      </c>
      <c r="F2319">
        <v>46.773342133</v>
      </c>
      <c r="G2319">
        <v>1377.8736572</v>
      </c>
      <c r="H2319">
        <v>1365.1153564000001</v>
      </c>
      <c r="I2319">
        <v>1284.2429199000001</v>
      </c>
      <c r="J2319">
        <v>1262.4763184000001</v>
      </c>
      <c r="K2319">
        <v>2400</v>
      </c>
      <c r="L2319">
        <v>0</v>
      </c>
      <c r="M2319">
        <v>0</v>
      </c>
      <c r="N2319">
        <v>2400</v>
      </c>
    </row>
    <row r="2320" spans="1:14" x14ac:dyDescent="0.25">
      <c r="A2320">
        <v>1619.339434</v>
      </c>
      <c r="B2320" s="1">
        <f>DATE(2014,10,6) + TIME(8,8,47)</f>
        <v>41918.339432870373</v>
      </c>
      <c r="C2320">
        <v>80</v>
      </c>
      <c r="D2320">
        <v>79.962249756000006</v>
      </c>
      <c r="E2320">
        <v>50</v>
      </c>
      <c r="F2320">
        <v>46.860904693999998</v>
      </c>
      <c r="G2320">
        <v>1377.8488769999999</v>
      </c>
      <c r="H2320">
        <v>1365.0914307</v>
      </c>
      <c r="I2320">
        <v>1284.2269286999999</v>
      </c>
      <c r="J2320">
        <v>1262.4499512</v>
      </c>
      <c r="K2320">
        <v>2400</v>
      </c>
      <c r="L2320">
        <v>0</v>
      </c>
      <c r="M2320">
        <v>0</v>
      </c>
      <c r="N2320">
        <v>2400</v>
      </c>
    </row>
    <row r="2321" spans="1:14" x14ac:dyDescent="0.25">
      <c r="A2321">
        <v>1620.4073209999999</v>
      </c>
      <c r="B2321" s="1">
        <f>DATE(2014,10,7) + TIME(9,46,32)</f>
        <v>41919.407314814816</v>
      </c>
      <c r="C2321">
        <v>80</v>
      </c>
      <c r="D2321">
        <v>79.962272643999995</v>
      </c>
      <c r="E2321">
        <v>50</v>
      </c>
      <c r="F2321">
        <v>46.951042174999998</v>
      </c>
      <c r="G2321">
        <v>1377.8244629000001</v>
      </c>
      <c r="H2321">
        <v>1365.0678711</v>
      </c>
      <c r="I2321">
        <v>1284.2116699000001</v>
      </c>
      <c r="J2321">
        <v>1262.425293</v>
      </c>
      <c r="K2321">
        <v>2400</v>
      </c>
      <c r="L2321">
        <v>0</v>
      </c>
      <c r="M2321">
        <v>0</v>
      </c>
      <c r="N2321">
        <v>2400</v>
      </c>
    </row>
    <row r="2322" spans="1:14" x14ac:dyDescent="0.25">
      <c r="A2322">
        <v>1621.4752080000001</v>
      </c>
      <c r="B2322" s="1">
        <f>DATE(2014,10,8) + TIME(11,24,17)</f>
        <v>41920.47519675926</v>
      </c>
      <c r="C2322">
        <v>80</v>
      </c>
      <c r="D2322">
        <v>79.962287903000004</v>
      </c>
      <c r="E2322">
        <v>50</v>
      </c>
      <c r="F2322">
        <v>47.043926239000001</v>
      </c>
      <c r="G2322">
        <v>1377.800293</v>
      </c>
      <c r="H2322">
        <v>1365.0444336</v>
      </c>
      <c r="I2322">
        <v>1284.1972656</v>
      </c>
      <c r="J2322">
        <v>1262.4019774999999</v>
      </c>
      <c r="K2322">
        <v>2400</v>
      </c>
      <c r="L2322">
        <v>0</v>
      </c>
      <c r="M2322">
        <v>0</v>
      </c>
      <c r="N2322">
        <v>2400</v>
      </c>
    </row>
    <row r="2323" spans="1:14" x14ac:dyDescent="0.25">
      <c r="A2323">
        <v>1622.543095</v>
      </c>
      <c r="B2323" s="1">
        <f>DATE(2014,10,9) + TIME(13,2,3)</f>
        <v>41921.543090277781</v>
      </c>
      <c r="C2323">
        <v>80</v>
      </c>
      <c r="D2323">
        <v>79.962310790999993</v>
      </c>
      <c r="E2323">
        <v>50</v>
      </c>
      <c r="F2323">
        <v>47.139568328999999</v>
      </c>
      <c r="G2323">
        <v>1377.7762451000001</v>
      </c>
      <c r="H2323">
        <v>1365.0213623</v>
      </c>
      <c r="I2323">
        <v>1284.1835937999999</v>
      </c>
      <c r="J2323">
        <v>1262.3801269999999</v>
      </c>
      <c r="K2323">
        <v>2400</v>
      </c>
      <c r="L2323">
        <v>0</v>
      </c>
      <c r="M2323">
        <v>0</v>
      </c>
      <c r="N2323">
        <v>2400</v>
      </c>
    </row>
    <row r="2324" spans="1:14" x14ac:dyDescent="0.25">
      <c r="A2324">
        <v>1624.678868</v>
      </c>
      <c r="B2324" s="1">
        <f>DATE(2014,10,11) + TIME(16,17,34)</f>
        <v>41923.678865740738</v>
      </c>
      <c r="C2324">
        <v>80</v>
      </c>
      <c r="D2324">
        <v>79.962364196999999</v>
      </c>
      <c r="E2324">
        <v>50</v>
      </c>
      <c r="F2324">
        <v>47.26304245</v>
      </c>
      <c r="G2324">
        <v>1377.7442627</v>
      </c>
      <c r="H2324">
        <v>1364.9901123</v>
      </c>
      <c r="I2324">
        <v>1284.1638184000001</v>
      </c>
      <c r="J2324">
        <v>1262.3549805</v>
      </c>
      <c r="K2324">
        <v>2400</v>
      </c>
      <c r="L2324">
        <v>0</v>
      </c>
      <c r="M2324">
        <v>0</v>
      </c>
      <c r="N2324">
        <v>2400</v>
      </c>
    </row>
    <row r="2325" spans="1:14" x14ac:dyDescent="0.25">
      <c r="A2325">
        <v>1626.815038</v>
      </c>
      <c r="B2325" s="1">
        <f>DATE(2014,10,13) + TIME(19,33,39)</f>
        <v>41925.815034722225</v>
      </c>
      <c r="C2325">
        <v>80</v>
      </c>
      <c r="D2325">
        <v>79.962394713999998</v>
      </c>
      <c r="E2325">
        <v>50</v>
      </c>
      <c r="F2325">
        <v>47.447605133000003</v>
      </c>
      <c r="G2325">
        <v>1377.7016602000001</v>
      </c>
      <c r="H2325">
        <v>1364.9489745999999</v>
      </c>
      <c r="I2325">
        <v>1284.1423339999999</v>
      </c>
      <c r="J2325">
        <v>1262.3176269999999</v>
      </c>
      <c r="K2325">
        <v>2400</v>
      </c>
      <c r="L2325">
        <v>0</v>
      </c>
      <c r="M2325">
        <v>0</v>
      </c>
      <c r="N2325">
        <v>2400</v>
      </c>
    </row>
    <row r="2326" spans="1:14" x14ac:dyDescent="0.25">
      <c r="A2326">
        <v>1628.980552</v>
      </c>
      <c r="B2326" s="1">
        <f>DATE(2014,10,15) + TIME(23,31,59)</f>
        <v>41927.980543981481</v>
      </c>
      <c r="C2326">
        <v>80</v>
      </c>
      <c r="D2326">
        <v>79.962432860999996</v>
      </c>
      <c r="E2326">
        <v>50</v>
      </c>
      <c r="F2326">
        <v>47.656097412000001</v>
      </c>
      <c r="G2326">
        <v>1377.6567382999999</v>
      </c>
      <c r="H2326">
        <v>1364.9056396000001</v>
      </c>
      <c r="I2326">
        <v>1284.1209716999999</v>
      </c>
      <c r="J2326">
        <v>1262.2850341999999</v>
      </c>
      <c r="K2326">
        <v>2400</v>
      </c>
      <c r="L2326">
        <v>0</v>
      </c>
      <c r="M2326">
        <v>0</v>
      </c>
      <c r="N2326">
        <v>2400</v>
      </c>
    </row>
    <row r="2327" spans="1:14" x14ac:dyDescent="0.25">
      <c r="A2327">
        <v>1631.1842380000001</v>
      </c>
      <c r="B2327" s="1">
        <f>DATE(2014,10,18) + TIME(4,25,18)</f>
        <v>41930.184236111112</v>
      </c>
      <c r="C2327">
        <v>80</v>
      </c>
      <c r="D2327">
        <v>79.962471007999994</v>
      </c>
      <c r="E2327">
        <v>50</v>
      </c>
      <c r="F2327">
        <v>47.879859924000002</v>
      </c>
      <c r="G2327">
        <v>1377.6108397999999</v>
      </c>
      <c r="H2327">
        <v>1364.8612060999999</v>
      </c>
      <c r="I2327">
        <v>1284.1008300999999</v>
      </c>
      <c r="J2327">
        <v>1262.2563477000001</v>
      </c>
      <c r="K2327">
        <v>2400</v>
      </c>
      <c r="L2327">
        <v>0</v>
      </c>
      <c r="M2327">
        <v>0</v>
      </c>
      <c r="N2327">
        <v>2400</v>
      </c>
    </row>
    <row r="2328" spans="1:14" x14ac:dyDescent="0.25">
      <c r="A2328">
        <v>1633.435943</v>
      </c>
      <c r="B2328" s="1">
        <f>DATE(2014,10,20) + TIME(10,27,45)</f>
        <v>41932.435937499999</v>
      </c>
      <c r="C2328">
        <v>80</v>
      </c>
      <c r="D2328">
        <v>79.962509155000006</v>
      </c>
      <c r="E2328">
        <v>50</v>
      </c>
      <c r="F2328">
        <v>48.116825104</v>
      </c>
      <c r="G2328">
        <v>1377.5643310999999</v>
      </c>
      <c r="H2328">
        <v>1364.8161620999999</v>
      </c>
      <c r="I2328">
        <v>1284.0821533000001</v>
      </c>
      <c r="J2328">
        <v>1262.2315673999999</v>
      </c>
      <c r="K2328">
        <v>2400</v>
      </c>
      <c r="L2328">
        <v>0</v>
      </c>
      <c r="M2328">
        <v>0</v>
      </c>
      <c r="N2328">
        <v>2400</v>
      </c>
    </row>
    <row r="2329" spans="1:14" x14ac:dyDescent="0.25">
      <c r="A2329">
        <v>1635.7464809999999</v>
      </c>
      <c r="B2329" s="1">
        <f>DATE(2014,10,22) + TIME(17,54,55)</f>
        <v>41934.746469907404</v>
      </c>
      <c r="C2329">
        <v>80</v>
      </c>
      <c r="D2329">
        <v>79.962554932000003</v>
      </c>
      <c r="E2329">
        <v>50</v>
      </c>
      <c r="F2329">
        <v>48.366817474000001</v>
      </c>
      <c r="G2329">
        <v>1377.5172118999999</v>
      </c>
      <c r="H2329">
        <v>1364.7703856999999</v>
      </c>
      <c r="I2329">
        <v>1284.0648193</v>
      </c>
      <c r="J2329">
        <v>1262.2104492000001</v>
      </c>
      <c r="K2329">
        <v>2400</v>
      </c>
      <c r="L2329">
        <v>0</v>
      </c>
      <c r="M2329">
        <v>0</v>
      </c>
      <c r="N2329">
        <v>2400</v>
      </c>
    </row>
    <row r="2330" spans="1:14" x14ac:dyDescent="0.25">
      <c r="A2330">
        <v>1638.1278990000001</v>
      </c>
      <c r="B2330" s="1">
        <f>DATE(2014,10,25) + TIME(3,4,10)</f>
        <v>41937.127893518518</v>
      </c>
      <c r="C2330">
        <v>80</v>
      </c>
      <c r="D2330">
        <v>79.962593079000001</v>
      </c>
      <c r="E2330">
        <v>50</v>
      </c>
      <c r="F2330">
        <v>48.629890441999997</v>
      </c>
      <c r="G2330">
        <v>1377.4693603999999</v>
      </c>
      <c r="H2330">
        <v>1364.723999</v>
      </c>
      <c r="I2330">
        <v>1284.0487060999999</v>
      </c>
      <c r="J2330">
        <v>1262.192749</v>
      </c>
      <c r="K2330">
        <v>2400</v>
      </c>
      <c r="L2330">
        <v>0</v>
      </c>
      <c r="M2330">
        <v>0</v>
      </c>
      <c r="N2330">
        <v>2400</v>
      </c>
    </row>
    <row r="2331" spans="1:14" x14ac:dyDescent="0.25">
      <c r="A2331">
        <v>1640.5940000000001</v>
      </c>
      <c r="B2331" s="1">
        <f>DATE(2014,10,27) + TIME(14,15,21)</f>
        <v>41939.593993055554</v>
      </c>
      <c r="C2331">
        <v>80</v>
      </c>
      <c r="D2331">
        <v>79.962638854999994</v>
      </c>
      <c r="E2331">
        <v>50</v>
      </c>
      <c r="F2331">
        <v>48.906681061</v>
      </c>
      <c r="G2331">
        <v>1377.4206543</v>
      </c>
      <c r="H2331">
        <v>1364.6767577999999</v>
      </c>
      <c r="I2331">
        <v>1284.0339355000001</v>
      </c>
      <c r="J2331">
        <v>1262.1782227000001</v>
      </c>
      <c r="K2331">
        <v>2400</v>
      </c>
      <c r="L2331">
        <v>0</v>
      </c>
      <c r="M2331">
        <v>0</v>
      </c>
      <c r="N2331">
        <v>2400</v>
      </c>
    </row>
    <row r="2332" spans="1:14" x14ac:dyDescent="0.25">
      <c r="A2332">
        <v>1641.8520619999999</v>
      </c>
      <c r="B2332" s="1">
        <f>DATE(2014,10,28) + TIME(20,26,58)</f>
        <v>41940.852060185185</v>
      </c>
      <c r="C2332">
        <v>80</v>
      </c>
      <c r="D2332">
        <v>79.962646484000004</v>
      </c>
      <c r="E2332">
        <v>50</v>
      </c>
      <c r="F2332">
        <v>49.144481659</v>
      </c>
      <c r="G2332">
        <v>1377.3826904</v>
      </c>
      <c r="H2332">
        <v>1364.6402588000001</v>
      </c>
      <c r="I2332">
        <v>1284.0305175999999</v>
      </c>
      <c r="J2332">
        <v>1262.1704102000001</v>
      </c>
      <c r="K2332">
        <v>2400</v>
      </c>
      <c r="L2332">
        <v>0</v>
      </c>
      <c r="M2332">
        <v>0</v>
      </c>
      <c r="N2332">
        <v>2400</v>
      </c>
    </row>
    <row r="2333" spans="1:14" x14ac:dyDescent="0.25">
      <c r="A2333">
        <v>1643.1101229999999</v>
      </c>
      <c r="B2333" s="1">
        <f>DATE(2014,10,30) + TIME(2,38,34)</f>
        <v>41942.110115740739</v>
      </c>
      <c r="C2333">
        <v>80</v>
      </c>
      <c r="D2333">
        <v>79.962669372999997</v>
      </c>
      <c r="E2333">
        <v>50</v>
      </c>
      <c r="F2333">
        <v>49.326152802000003</v>
      </c>
      <c r="G2333">
        <v>1377.3527832</v>
      </c>
      <c r="H2333">
        <v>1364.6110839999999</v>
      </c>
      <c r="I2333">
        <v>1284.0206298999999</v>
      </c>
      <c r="J2333">
        <v>1262.1690673999999</v>
      </c>
      <c r="K2333">
        <v>2400</v>
      </c>
      <c r="L2333">
        <v>0</v>
      </c>
      <c r="M2333">
        <v>0</v>
      </c>
      <c r="N2333">
        <v>2400</v>
      </c>
    </row>
    <row r="2334" spans="1:14" x14ac:dyDescent="0.25">
      <c r="A2334">
        <v>1645</v>
      </c>
      <c r="B2334" s="1">
        <f>DATE(2014,11,1) + TIME(0,0,0)</f>
        <v>41944</v>
      </c>
      <c r="C2334">
        <v>80</v>
      </c>
      <c r="D2334">
        <v>79.962715149000005</v>
      </c>
      <c r="E2334">
        <v>50</v>
      </c>
      <c r="F2334">
        <v>49.509529114000003</v>
      </c>
      <c r="G2334">
        <v>1377.3203125</v>
      </c>
      <c r="H2334">
        <v>1364.5793457</v>
      </c>
      <c r="I2334">
        <v>1284.0085449000001</v>
      </c>
      <c r="J2334">
        <v>1262.1644286999999</v>
      </c>
      <c r="K2334">
        <v>2400</v>
      </c>
      <c r="L2334">
        <v>0</v>
      </c>
      <c r="M2334">
        <v>0</v>
      </c>
      <c r="N2334">
        <v>2400</v>
      </c>
    </row>
    <row r="2335" spans="1:14" x14ac:dyDescent="0.25">
      <c r="A2335">
        <v>1645.0000010000001</v>
      </c>
      <c r="B2335" s="1">
        <f>DATE(2014,11,1) + TIME(0,0,0)</f>
        <v>41944</v>
      </c>
      <c r="C2335">
        <v>80</v>
      </c>
      <c r="D2335">
        <v>79.962684631000002</v>
      </c>
      <c r="E2335">
        <v>50</v>
      </c>
      <c r="F2335">
        <v>49.509548187</v>
      </c>
      <c r="G2335">
        <v>1364.5693358999999</v>
      </c>
      <c r="H2335">
        <v>1351.9969481999999</v>
      </c>
      <c r="I2335">
        <v>1305.9467772999999</v>
      </c>
      <c r="J2335">
        <v>1284.0196533000001</v>
      </c>
      <c r="K2335">
        <v>0</v>
      </c>
      <c r="L2335">
        <v>2400</v>
      </c>
      <c r="M2335">
        <v>2400</v>
      </c>
      <c r="N2335">
        <v>0</v>
      </c>
    </row>
    <row r="2336" spans="1:14" x14ac:dyDescent="0.25">
      <c r="A2336">
        <v>1645.000004</v>
      </c>
      <c r="B2336" s="1">
        <f>DATE(2014,11,1) + TIME(0,0,0)</f>
        <v>41944</v>
      </c>
      <c r="C2336">
        <v>80</v>
      </c>
      <c r="D2336">
        <v>79.962585449000002</v>
      </c>
      <c r="E2336">
        <v>50</v>
      </c>
      <c r="F2336">
        <v>49.509605407999999</v>
      </c>
      <c r="G2336">
        <v>1364.5394286999999</v>
      </c>
      <c r="H2336">
        <v>1351.9669189000001</v>
      </c>
      <c r="I2336">
        <v>1305.9766846</v>
      </c>
      <c r="J2336">
        <v>1284.0531006000001</v>
      </c>
      <c r="K2336">
        <v>0</v>
      </c>
      <c r="L2336">
        <v>2400</v>
      </c>
      <c r="M2336">
        <v>2400</v>
      </c>
      <c r="N2336">
        <v>0</v>
      </c>
    </row>
    <row r="2337" spans="1:14" x14ac:dyDescent="0.25">
      <c r="A2337">
        <v>1645.0000130000001</v>
      </c>
      <c r="B2337" s="1">
        <f>DATE(2014,11,1) + TIME(0,0,1)</f>
        <v>41944.000011574077</v>
      </c>
      <c r="C2337">
        <v>80</v>
      </c>
      <c r="D2337">
        <v>79.962303161999998</v>
      </c>
      <c r="E2337">
        <v>50</v>
      </c>
      <c r="F2337">
        <v>49.509773254000002</v>
      </c>
      <c r="G2337">
        <v>1364.4500731999999</v>
      </c>
      <c r="H2337">
        <v>1351.8775635</v>
      </c>
      <c r="I2337">
        <v>1306.0660399999999</v>
      </c>
      <c r="J2337">
        <v>1284.152832</v>
      </c>
      <c r="K2337">
        <v>0</v>
      </c>
      <c r="L2337">
        <v>2400</v>
      </c>
      <c r="M2337">
        <v>2400</v>
      </c>
      <c r="N2337">
        <v>0</v>
      </c>
    </row>
    <row r="2338" spans="1:14" x14ac:dyDescent="0.25">
      <c r="A2338">
        <v>1645.0000399999999</v>
      </c>
      <c r="B2338" s="1">
        <f>DATE(2014,11,1) + TIME(0,0,3)</f>
        <v>41944.000034722223</v>
      </c>
      <c r="C2338">
        <v>80</v>
      </c>
      <c r="D2338">
        <v>79.961456299000005</v>
      </c>
      <c r="E2338">
        <v>50</v>
      </c>
      <c r="F2338">
        <v>49.510269164999997</v>
      </c>
      <c r="G2338">
        <v>1364.1872559000001</v>
      </c>
      <c r="H2338">
        <v>1351.6145019999999</v>
      </c>
      <c r="I2338">
        <v>1306.3308105000001</v>
      </c>
      <c r="J2338">
        <v>1284.4483643000001</v>
      </c>
      <c r="K2338">
        <v>0</v>
      </c>
      <c r="L2338">
        <v>2400</v>
      </c>
      <c r="M2338">
        <v>2400</v>
      </c>
      <c r="N2338">
        <v>0</v>
      </c>
    </row>
    <row r="2339" spans="1:14" x14ac:dyDescent="0.25">
      <c r="A2339">
        <v>1645.000121</v>
      </c>
      <c r="B2339" s="1">
        <f>DATE(2014,11,1) + TIME(0,0,10)</f>
        <v>41944.000115740739</v>
      </c>
      <c r="C2339">
        <v>80</v>
      </c>
      <c r="D2339">
        <v>79.959068298000005</v>
      </c>
      <c r="E2339">
        <v>50</v>
      </c>
      <c r="F2339">
        <v>49.511711120999998</v>
      </c>
      <c r="G2339">
        <v>1363.4417725000001</v>
      </c>
      <c r="H2339">
        <v>1350.8682861</v>
      </c>
      <c r="I2339">
        <v>1307.0992432</v>
      </c>
      <c r="J2339">
        <v>1285.3027344</v>
      </c>
      <c r="K2339">
        <v>0</v>
      </c>
      <c r="L2339">
        <v>2400</v>
      </c>
      <c r="M2339">
        <v>2400</v>
      </c>
      <c r="N2339">
        <v>0</v>
      </c>
    </row>
    <row r="2340" spans="1:14" x14ac:dyDescent="0.25">
      <c r="A2340">
        <v>1645.000364</v>
      </c>
      <c r="B2340" s="1">
        <f>DATE(2014,11,1) + TIME(0,0,31)</f>
        <v>41944.000358796293</v>
      </c>
      <c r="C2340">
        <v>80</v>
      </c>
      <c r="D2340">
        <v>79.952903747999997</v>
      </c>
      <c r="E2340">
        <v>50</v>
      </c>
      <c r="F2340">
        <v>49.515644072999997</v>
      </c>
      <c r="G2340">
        <v>1361.5194091999999</v>
      </c>
      <c r="H2340">
        <v>1348.9443358999999</v>
      </c>
      <c r="I2340">
        <v>1309.1981201000001</v>
      </c>
      <c r="J2340">
        <v>1287.6125488</v>
      </c>
      <c r="K2340">
        <v>0</v>
      </c>
      <c r="L2340">
        <v>2400</v>
      </c>
      <c r="M2340">
        <v>2400</v>
      </c>
      <c r="N2340">
        <v>0</v>
      </c>
    </row>
    <row r="2341" spans="1:14" x14ac:dyDescent="0.25">
      <c r="A2341">
        <v>1645.0010930000001</v>
      </c>
      <c r="B2341" s="1">
        <f>DATE(2014,11,1) + TIME(0,1,34)</f>
        <v>41944.001087962963</v>
      </c>
      <c r="C2341">
        <v>80</v>
      </c>
      <c r="D2341">
        <v>79.939949036000002</v>
      </c>
      <c r="E2341">
        <v>50</v>
      </c>
      <c r="F2341">
        <v>49.524978638</v>
      </c>
      <c r="G2341">
        <v>1357.4857178</v>
      </c>
      <c r="H2341">
        <v>1344.9078368999999</v>
      </c>
      <c r="I2341">
        <v>1314.1593018000001</v>
      </c>
      <c r="J2341">
        <v>1292.9383545000001</v>
      </c>
      <c r="K2341">
        <v>0</v>
      </c>
      <c r="L2341">
        <v>2400</v>
      </c>
      <c r="M2341">
        <v>2400</v>
      </c>
      <c r="N2341">
        <v>0</v>
      </c>
    </row>
    <row r="2342" spans="1:14" x14ac:dyDescent="0.25">
      <c r="A2342">
        <v>1645.0032799999999</v>
      </c>
      <c r="B2342" s="1">
        <f>DATE(2014,11,1) + TIME(0,4,43)</f>
        <v>41944.003275462965</v>
      </c>
      <c r="C2342">
        <v>80</v>
      </c>
      <c r="D2342">
        <v>79.919944763000004</v>
      </c>
      <c r="E2342">
        <v>50</v>
      </c>
      <c r="F2342">
        <v>49.540912628000001</v>
      </c>
      <c r="G2342">
        <v>1351.3023682</v>
      </c>
      <c r="H2342">
        <v>1338.722168</v>
      </c>
      <c r="I2342">
        <v>1323.1231689000001</v>
      </c>
      <c r="J2342">
        <v>1302.1612548999999</v>
      </c>
      <c r="K2342">
        <v>0</v>
      </c>
      <c r="L2342">
        <v>2400</v>
      </c>
      <c r="M2342">
        <v>2400</v>
      </c>
      <c r="N2342">
        <v>0</v>
      </c>
    </row>
    <row r="2343" spans="1:14" x14ac:dyDescent="0.25">
      <c r="A2343">
        <v>1645.0098410000001</v>
      </c>
      <c r="B2343" s="1">
        <f>DATE(2014,11,1) + TIME(0,14,10)</f>
        <v>41944.009837962964</v>
      </c>
      <c r="C2343">
        <v>80</v>
      </c>
      <c r="D2343">
        <v>79.896453856999997</v>
      </c>
      <c r="E2343">
        <v>50</v>
      </c>
      <c r="F2343">
        <v>49.563209534000002</v>
      </c>
      <c r="G2343">
        <v>1344.1864014</v>
      </c>
      <c r="H2343">
        <v>1331.6038818</v>
      </c>
      <c r="I2343">
        <v>1334.8900146000001</v>
      </c>
      <c r="J2343">
        <v>1313.8822021000001</v>
      </c>
      <c r="K2343">
        <v>0</v>
      </c>
      <c r="L2343">
        <v>2400</v>
      </c>
      <c r="M2343">
        <v>2400</v>
      </c>
      <c r="N2343">
        <v>0</v>
      </c>
    </row>
    <row r="2344" spans="1:14" x14ac:dyDescent="0.25">
      <c r="A2344">
        <v>1645.029524</v>
      </c>
      <c r="B2344" s="1">
        <f>DATE(2014,11,1) + TIME(0,42,30)</f>
        <v>41944.029513888891</v>
      </c>
      <c r="C2344">
        <v>80</v>
      </c>
      <c r="D2344">
        <v>79.871223450000002</v>
      </c>
      <c r="E2344">
        <v>50</v>
      </c>
      <c r="F2344">
        <v>49.593200684000003</v>
      </c>
      <c r="G2344">
        <v>1336.9479980000001</v>
      </c>
      <c r="H2344">
        <v>1324.3601074000001</v>
      </c>
      <c r="I2344">
        <v>1347.4011230000001</v>
      </c>
      <c r="J2344">
        <v>1326.2205810999999</v>
      </c>
      <c r="K2344">
        <v>0</v>
      </c>
      <c r="L2344">
        <v>2400</v>
      </c>
      <c r="M2344">
        <v>2400</v>
      </c>
      <c r="N2344">
        <v>0</v>
      </c>
    </row>
    <row r="2345" spans="1:14" x14ac:dyDescent="0.25">
      <c r="A2345">
        <v>1645.0826070000001</v>
      </c>
      <c r="B2345" s="1">
        <f>DATE(2014,11,1) + TIME(1,58,57)</f>
        <v>41944.082604166666</v>
      </c>
      <c r="C2345">
        <v>80</v>
      </c>
      <c r="D2345">
        <v>79.843734741000006</v>
      </c>
      <c r="E2345">
        <v>50</v>
      </c>
      <c r="F2345">
        <v>49.636997223000002</v>
      </c>
      <c r="G2345">
        <v>1330.0061035000001</v>
      </c>
      <c r="H2345">
        <v>1317.401001</v>
      </c>
      <c r="I2345">
        <v>1359.2590332</v>
      </c>
      <c r="J2345">
        <v>1337.9447021000001</v>
      </c>
      <c r="K2345">
        <v>0</v>
      </c>
      <c r="L2345">
        <v>2400</v>
      </c>
      <c r="M2345">
        <v>2400</v>
      </c>
      <c r="N2345">
        <v>0</v>
      </c>
    </row>
    <row r="2346" spans="1:14" x14ac:dyDescent="0.25">
      <c r="A2346">
        <v>1645.139889</v>
      </c>
      <c r="B2346" s="1">
        <f>DATE(2014,11,1) + TIME(3,21,26)</f>
        <v>41944.139884259261</v>
      </c>
      <c r="C2346">
        <v>80</v>
      </c>
      <c r="D2346">
        <v>79.824554442999997</v>
      </c>
      <c r="E2346">
        <v>50</v>
      </c>
      <c r="F2346">
        <v>49.671974182</v>
      </c>
      <c r="G2346">
        <v>1325.9709473</v>
      </c>
      <c r="H2346">
        <v>1313.3513184000001</v>
      </c>
      <c r="I2346">
        <v>1365.9332274999999</v>
      </c>
      <c r="J2346">
        <v>1344.5917969</v>
      </c>
      <c r="K2346">
        <v>0</v>
      </c>
      <c r="L2346">
        <v>2400</v>
      </c>
      <c r="M2346">
        <v>2400</v>
      </c>
      <c r="N2346">
        <v>0</v>
      </c>
    </row>
    <row r="2347" spans="1:14" x14ac:dyDescent="0.25">
      <c r="A2347">
        <v>1645.2005569999999</v>
      </c>
      <c r="B2347" s="1">
        <f>DATE(2014,11,1) + TIME(4,48,48)</f>
        <v>41944.200555555559</v>
      </c>
      <c r="C2347">
        <v>80</v>
      </c>
      <c r="D2347">
        <v>79.80859375</v>
      </c>
      <c r="E2347">
        <v>50</v>
      </c>
      <c r="F2347">
        <v>49.702453613000003</v>
      </c>
      <c r="G2347">
        <v>1323.1364745999999</v>
      </c>
      <c r="H2347">
        <v>1310.5065918</v>
      </c>
      <c r="I2347">
        <v>1370.4460449000001</v>
      </c>
      <c r="J2347">
        <v>1349.1295166</v>
      </c>
      <c r="K2347">
        <v>0</v>
      </c>
      <c r="L2347">
        <v>2400</v>
      </c>
      <c r="M2347">
        <v>2400</v>
      </c>
      <c r="N2347">
        <v>0</v>
      </c>
    </row>
    <row r="2348" spans="1:14" x14ac:dyDescent="0.25">
      <c r="A2348">
        <v>1645.2644769999999</v>
      </c>
      <c r="B2348" s="1">
        <f>DATE(2014,11,1) + TIME(6,20,50)</f>
        <v>41944.264467592591</v>
      </c>
      <c r="C2348">
        <v>80</v>
      </c>
      <c r="D2348">
        <v>79.794174193999993</v>
      </c>
      <c r="E2348">
        <v>50</v>
      </c>
      <c r="F2348">
        <v>49.729927062999998</v>
      </c>
      <c r="G2348">
        <v>1320.9364014</v>
      </c>
      <c r="H2348">
        <v>1308.2994385</v>
      </c>
      <c r="I2348">
        <v>1373.8236084</v>
      </c>
      <c r="J2348">
        <v>1352.5577393000001</v>
      </c>
      <c r="K2348">
        <v>0</v>
      </c>
      <c r="L2348">
        <v>2400</v>
      </c>
      <c r="M2348">
        <v>2400</v>
      </c>
      <c r="N2348">
        <v>0</v>
      </c>
    </row>
    <row r="2349" spans="1:14" x14ac:dyDescent="0.25">
      <c r="A2349">
        <v>1645.3318079999999</v>
      </c>
      <c r="B2349" s="1">
        <f>DATE(2014,11,1) + TIME(7,57,48)</f>
        <v>41944.331805555557</v>
      </c>
      <c r="C2349">
        <v>80</v>
      </c>
      <c r="D2349">
        <v>79.780563353999995</v>
      </c>
      <c r="E2349">
        <v>50</v>
      </c>
      <c r="F2349">
        <v>49.755092621000003</v>
      </c>
      <c r="G2349">
        <v>1319.1303711</v>
      </c>
      <c r="H2349">
        <v>1306.4882812000001</v>
      </c>
      <c r="I2349">
        <v>1376.5090332</v>
      </c>
      <c r="J2349">
        <v>1355.3066406</v>
      </c>
      <c r="K2349">
        <v>0</v>
      </c>
      <c r="L2349">
        <v>2400</v>
      </c>
      <c r="M2349">
        <v>2400</v>
      </c>
      <c r="N2349">
        <v>0</v>
      </c>
    </row>
    <row r="2350" spans="1:14" x14ac:dyDescent="0.25">
      <c r="A2350">
        <v>1645.4028599999999</v>
      </c>
      <c r="B2350" s="1">
        <f>DATE(2014,11,1) + TIME(9,40,7)</f>
        <v>41944.402858796297</v>
      </c>
      <c r="C2350">
        <v>80</v>
      </c>
      <c r="D2350">
        <v>79.767372131000002</v>
      </c>
      <c r="E2350">
        <v>50</v>
      </c>
      <c r="F2350">
        <v>49.778358459000003</v>
      </c>
      <c r="G2350">
        <v>1317.5955810999999</v>
      </c>
      <c r="H2350">
        <v>1304.949707</v>
      </c>
      <c r="I2350">
        <v>1378.7286377</v>
      </c>
      <c r="J2350">
        <v>1357.5965576000001</v>
      </c>
      <c r="K2350">
        <v>0</v>
      </c>
      <c r="L2350">
        <v>2400</v>
      </c>
      <c r="M2350">
        <v>2400</v>
      </c>
      <c r="N2350">
        <v>0</v>
      </c>
    </row>
    <row r="2351" spans="1:14" x14ac:dyDescent="0.25">
      <c r="A2351">
        <v>1645.478057</v>
      </c>
      <c r="B2351" s="1">
        <f>DATE(2014,11,1) + TIME(11,28,24)</f>
        <v>41944.478055555555</v>
      </c>
      <c r="C2351">
        <v>80</v>
      </c>
      <c r="D2351">
        <v>79.754348754999995</v>
      </c>
      <c r="E2351">
        <v>50</v>
      </c>
      <c r="F2351">
        <v>49.799957274999997</v>
      </c>
      <c r="G2351">
        <v>1316.2602539</v>
      </c>
      <c r="H2351">
        <v>1303.6115723</v>
      </c>
      <c r="I2351">
        <v>1380.6134033000001</v>
      </c>
      <c r="J2351">
        <v>1359.5549315999999</v>
      </c>
      <c r="K2351">
        <v>0</v>
      </c>
      <c r="L2351">
        <v>2400</v>
      </c>
      <c r="M2351">
        <v>2400</v>
      </c>
      <c r="N2351">
        <v>0</v>
      </c>
    </row>
    <row r="2352" spans="1:14" x14ac:dyDescent="0.25">
      <c r="A2352">
        <v>1645.557935</v>
      </c>
      <c r="B2352" s="1">
        <f>DATE(2014,11,1) + TIME(13,23,25)</f>
        <v>41944.557928240742</v>
      </c>
      <c r="C2352">
        <v>80</v>
      </c>
      <c r="D2352">
        <v>79.741302489999995</v>
      </c>
      <c r="E2352">
        <v>50</v>
      </c>
      <c r="F2352">
        <v>49.820056915000002</v>
      </c>
      <c r="G2352">
        <v>1315.0778809000001</v>
      </c>
      <c r="H2352">
        <v>1302.4270019999999</v>
      </c>
      <c r="I2352">
        <v>1382.2463379000001</v>
      </c>
      <c r="J2352">
        <v>1361.2629394999999</v>
      </c>
      <c r="K2352">
        <v>0</v>
      </c>
      <c r="L2352">
        <v>2400</v>
      </c>
      <c r="M2352">
        <v>2400</v>
      </c>
      <c r="N2352">
        <v>0</v>
      </c>
    </row>
    <row r="2353" spans="1:14" x14ac:dyDescent="0.25">
      <c r="A2353">
        <v>1645.643165</v>
      </c>
      <c r="B2353" s="1">
        <f>DATE(2014,11,1) + TIME(15,26,9)</f>
        <v>41944.643159722225</v>
      </c>
      <c r="C2353">
        <v>80</v>
      </c>
      <c r="D2353">
        <v>79.728073120000005</v>
      </c>
      <c r="E2353">
        <v>50</v>
      </c>
      <c r="F2353">
        <v>49.838775634999998</v>
      </c>
      <c r="G2353">
        <v>1314.0159911999999</v>
      </c>
      <c r="H2353">
        <v>1301.3632812000001</v>
      </c>
      <c r="I2353">
        <v>1383.6835937999999</v>
      </c>
      <c r="J2353">
        <v>1362.7757568</v>
      </c>
      <c r="K2353">
        <v>0</v>
      </c>
      <c r="L2353">
        <v>2400</v>
      </c>
      <c r="M2353">
        <v>2400</v>
      </c>
      <c r="N2353">
        <v>0</v>
      </c>
    </row>
    <row r="2354" spans="1:14" x14ac:dyDescent="0.25">
      <c r="A2354">
        <v>1645.7345780000001</v>
      </c>
      <c r="B2354" s="1">
        <f>DATE(2014,11,1) + TIME(17,37,47)</f>
        <v>41944.734571759262</v>
      </c>
      <c r="C2354">
        <v>80</v>
      </c>
      <c r="D2354">
        <v>79.714508057000003</v>
      </c>
      <c r="E2354">
        <v>50</v>
      </c>
      <c r="F2354">
        <v>49.856204986999998</v>
      </c>
      <c r="G2354">
        <v>1313.0505370999999</v>
      </c>
      <c r="H2354">
        <v>1300.3964844</v>
      </c>
      <c r="I2354">
        <v>1384.9652100000001</v>
      </c>
      <c r="J2354">
        <v>1364.1329346</v>
      </c>
      <c r="K2354">
        <v>0</v>
      </c>
      <c r="L2354">
        <v>2400</v>
      </c>
      <c r="M2354">
        <v>2400</v>
      </c>
      <c r="N2354">
        <v>0</v>
      </c>
    </row>
    <row r="2355" spans="1:14" x14ac:dyDescent="0.25">
      <c r="A2355">
        <v>1645.83322</v>
      </c>
      <c r="B2355" s="1">
        <f>DATE(2014,11,1) + TIME(19,59,50)</f>
        <v>41944.83321759259</v>
      </c>
      <c r="C2355">
        <v>80</v>
      </c>
      <c r="D2355">
        <v>79.700469971000004</v>
      </c>
      <c r="E2355">
        <v>50</v>
      </c>
      <c r="F2355">
        <v>49.872413635000001</v>
      </c>
      <c r="G2355">
        <v>1312.1633300999999</v>
      </c>
      <c r="H2355">
        <v>1299.5080565999999</v>
      </c>
      <c r="I2355">
        <v>1386.1213379000001</v>
      </c>
      <c r="J2355">
        <v>1365.3641356999999</v>
      </c>
      <c r="K2355">
        <v>0</v>
      </c>
      <c r="L2355">
        <v>2400</v>
      </c>
      <c r="M2355">
        <v>2400</v>
      </c>
      <c r="N2355">
        <v>0</v>
      </c>
    </row>
    <row r="2356" spans="1:14" x14ac:dyDescent="0.25">
      <c r="A2356">
        <v>1645.940409</v>
      </c>
      <c r="B2356" s="1">
        <f>DATE(2014,11,1) + TIME(22,34,11)</f>
        <v>41944.940405092595</v>
      </c>
      <c r="C2356">
        <v>80</v>
      </c>
      <c r="D2356">
        <v>79.685775757000002</v>
      </c>
      <c r="E2356">
        <v>50</v>
      </c>
      <c r="F2356">
        <v>49.887454986999998</v>
      </c>
      <c r="G2356">
        <v>1311.3397216999999</v>
      </c>
      <c r="H2356">
        <v>1298.6834716999999</v>
      </c>
      <c r="I2356">
        <v>1387.1746826000001</v>
      </c>
      <c r="J2356">
        <v>1366.4919434000001</v>
      </c>
      <c r="K2356">
        <v>0</v>
      </c>
      <c r="L2356">
        <v>2400</v>
      </c>
      <c r="M2356">
        <v>2400</v>
      </c>
      <c r="N2356">
        <v>0</v>
      </c>
    </row>
    <row r="2357" spans="1:14" x14ac:dyDescent="0.25">
      <c r="A2357">
        <v>1646.057857</v>
      </c>
      <c r="B2357" s="1">
        <f>DATE(2014,11,2) + TIME(1,23,18)</f>
        <v>41945.057847222219</v>
      </c>
      <c r="C2357">
        <v>80</v>
      </c>
      <c r="D2357">
        <v>79.670249939000001</v>
      </c>
      <c r="E2357">
        <v>50</v>
      </c>
      <c r="F2357">
        <v>49.901371001999998</v>
      </c>
      <c r="G2357">
        <v>1310.5678711</v>
      </c>
      <c r="H2357">
        <v>1297.9106445</v>
      </c>
      <c r="I2357">
        <v>1388.1435547000001</v>
      </c>
      <c r="J2357">
        <v>1367.5344238</v>
      </c>
      <c r="K2357">
        <v>0</v>
      </c>
      <c r="L2357">
        <v>2400</v>
      </c>
      <c r="M2357">
        <v>2400</v>
      </c>
      <c r="N2357">
        <v>0</v>
      </c>
    </row>
    <row r="2358" spans="1:14" x14ac:dyDescent="0.25">
      <c r="A2358">
        <v>1646.18785</v>
      </c>
      <c r="B2358" s="1">
        <f>DATE(2014,11,2) + TIME(4,30,30)</f>
        <v>41945.187847222223</v>
      </c>
      <c r="C2358">
        <v>80</v>
      </c>
      <c r="D2358">
        <v>79.653663635000001</v>
      </c>
      <c r="E2358">
        <v>50</v>
      </c>
      <c r="F2358">
        <v>49.914188385000003</v>
      </c>
      <c r="G2358">
        <v>1309.8374022999999</v>
      </c>
      <c r="H2358">
        <v>1297.1794434000001</v>
      </c>
      <c r="I2358">
        <v>1389.0427245999999</v>
      </c>
      <c r="J2358">
        <v>1368.5063477000001</v>
      </c>
      <c r="K2358">
        <v>0</v>
      </c>
      <c r="L2358">
        <v>2400</v>
      </c>
      <c r="M2358">
        <v>2400</v>
      </c>
      <c r="N2358">
        <v>0</v>
      </c>
    </row>
    <row r="2359" spans="1:14" x14ac:dyDescent="0.25">
      <c r="A2359">
        <v>1646.3334749999999</v>
      </c>
      <c r="B2359" s="1">
        <f>DATE(2014,11,2) + TIME(8,0,12)</f>
        <v>41945.333472222221</v>
      </c>
      <c r="C2359">
        <v>80</v>
      </c>
      <c r="D2359">
        <v>79.635719299000002</v>
      </c>
      <c r="E2359">
        <v>50</v>
      </c>
      <c r="F2359">
        <v>49.925918578999998</v>
      </c>
      <c r="G2359">
        <v>1309.1400146000001</v>
      </c>
      <c r="H2359">
        <v>1296.4812012</v>
      </c>
      <c r="I2359">
        <v>1389.8842772999999</v>
      </c>
      <c r="J2359">
        <v>1369.4197998</v>
      </c>
      <c r="K2359">
        <v>0</v>
      </c>
      <c r="L2359">
        <v>2400</v>
      </c>
      <c r="M2359">
        <v>2400</v>
      </c>
      <c r="N2359">
        <v>0</v>
      </c>
    </row>
    <row r="2360" spans="1:14" x14ac:dyDescent="0.25">
      <c r="A2360">
        <v>1646.4990419999999</v>
      </c>
      <c r="B2360" s="1">
        <f>DATE(2014,11,2) + TIME(11,58,37)</f>
        <v>41945.499039351853</v>
      </c>
      <c r="C2360">
        <v>80</v>
      </c>
      <c r="D2360">
        <v>79.616027832</v>
      </c>
      <c r="E2360">
        <v>50</v>
      </c>
      <c r="F2360">
        <v>49.936573029000002</v>
      </c>
      <c r="G2360">
        <v>1308.4678954999999</v>
      </c>
      <c r="H2360">
        <v>1295.8083495999999</v>
      </c>
      <c r="I2360">
        <v>1390.6782227000001</v>
      </c>
      <c r="J2360">
        <v>1370.2847899999999</v>
      </c>
      <c r="K2360">
        <v>0</v>
      </c>
      <c r="L2360">
        <v>2400</v>
      </c>
      <c r="M2360">
        <v>2400</v>
      </c>
      <c r="N2360">
        <v>0</v>
      </c>
    </row>
    <row r="2361" spans="1:14" x14ac:dyDescent="0.25">
      <c r="A2361">
        <v>1646.6908120000001</v>
      </c>
      <c r="B2361" s="1">
        <f>DATE(2014,11,2) + TIME(16,34,46)</f>
        <v>41945.690810185188</v>
      </c>
      <c r="C2361">
        <v>80</v>
      </c>
      <c r="D2361">
        <v>79.594078064000001</v>
      </c>
      <c r="E2361">
        <v>50</v>
      </c>
      <c r="F2361">
        <v>49.946132660000004</v>
      </c>
      <c r="G2361">
        <v>1307.8143310999999</v>
      </c>
      <c r="H2361">
        <v>1295.1540527</v>
      </c>
      <c r="I2361">
        <v>1391.4331055</v>
      </c>
      <c r="J2361">
        <v>1371.1099853999999</v>
      </c>
      <c r="K2361">
        <v>0</v>
      </c>
      <c r="L2361">
        <v>2400</v>
      </c>
      <c r="M2361">
        <v>2400</v>
      </c>
      <c r="N2361">
        <v>0</v>
      </c>
    </row>
    <row r="2362" spans="1:14" x14ac:dyDescent="0.25">
      <c r="A2362">
        <v>1646.8018400000001</v>
      </c>
      <c r="B2362" s="1">
        <f>DATE(2014,11,2) + TIME(19,14,39)</f>
        <v>41945.801840277774</v>
      </c>
      <c r="C2362">
        <v>80</v>
      </c>
      <c r="D2362">
        <v>79.580200195000003</v>
      </c>
      <c r="E2362">
        <v>50</v>
      </c>
      <c r="F2362">
        <v>49.950862884999999</v>
      </c>
      <c r="G2362">
        <v>1307.4702147999999</v>
      </c>
      <c r="H2362">
        <v>1294.8096923999999</v>
      </c>
      <c r="I2362">
        <v>1391.8112793</v>
      </c>
      <c r="J2362">
        <v>1371.5299072</v>
      </c>
      <c r="K2362">
        <v>0</v>
      </c>
      <c r="L2362">
        <v>2400</v>
      </c>
      <c r="M2362">
        <v>2400</v>
      </c>
      <c r="N2362">
        <v>0</v>
      </c>
    </row>
    <row r="2363" spans="1:14" x14ac:dyDescent="0.25">
      <c r="A2363">
        <v>1647.0238959999999</v>
      </c>
      <c r="B2363" s="1">
        <f>DATE(2014,11,3) + TIME(0,34,24)</f>
        <v>41946.023888888885</v>
      </c>
      <c r="C2363">
        <v>80</v>
      </c>
      <c r="D2363">
        <v>79.556022643999995</v>
      </c>
      <c r="E2363">
        <v>50</v>
      </c>
      <c r="F2363">
        <v>49.95797348</v>
      </c>
      <c r="G2363">
        <v>1306.8996582</v>
      </c>
      <c r="H2363">
        <v>1294.2380370999999</v>
      </c>
      <c r="I2363">
        <v>1392.4558105000001</v>
      </c>
      <c r="J2363">
        <v>1372.2332764</v>
      </c>
      <c r="K2363">
        <v>0</v>
      </c>
      <c r="L2363">
        <v>2400</v>
      </c>
      <c r="M2363">
        <v>2400</v>
      </c>
      <c r="N2363">
        <v>0</v>
      </c>
    </row>
    <row r="2364" spans="1:14" x14ac:dyDescent="0.25">
      <c r="A2364">
        <v>1647.2465440000001</v>
      </c>
      <c r="B2364" s="1">
        <f>DATE(2014,11,3) + TIME(5,55,1)</f>
        <v>41946.246539351851</v>
      </c>
      <c r="C2364">
        <v>80</v>
      </c>
      <c r="D2364">
        <v>79.531707764000004</v>
      </c>
      <c r="E2364">
        <v>50</v>
      </c>
      <c r="F2364">
        <v>49.963298797999997</v>
      </c>
      <c r="G2364">
        <v>1306.4160156</v>
      </c>
      <c r="H2364">
        <v>1293.7536620999999</v>
      </c>
      <c r="I2364">
        <v>1392.9761963000001</v>
      </c>
      <c r="J2364">
        <v>1372.8085937999999</v>
      </c>
      <c r="K2364">
        <v>0</v>
      </c>
      <c r="L2364">
        <v>2400</v>
      </c>
      <c r="M2364">
        <v>2400</v>
      </c>
      <c r="N2364">
        <v>0</v>
      </c>
    </row>
    <row r="2365" spans="1:14" x14ac:dyDescent="0.25">
      <c r="A2365">
        <v>1647.4753659999999</v>
      </c>
      <c r="B2365" s="1">
        <f>DATE(2014,11,3) + TIME(11,24,31)</f>
        <v>41946.475358796299</v>
      </c>
      <c r="C2365">
        <v>80</v>
      </c>
      <c r="D2365">
        <v>79.506866454999994</v>
      </c>
      <c r="E2365">
        <v>50</v>
      </c>
      <c r="F2365">
        <v>49.967361449999999</v>
      </c>
      <c r="G2365">
        <v>1305.9958495999999</v>
      </c>
      <c r="H2365">
        <v>1293.3326416</v>
      </c>
      <c r="I2365">
        <v>1393.4154053</v>
      </c>
      <c r="J2365">
        <v>1373.2961425999999</v>
      </c>
      <c r="K2365">
        <v>0</v>
      </c>
      <c r="L2365">
        <v>2400</v>
      </c>
      <c r="M2365">
        <v>2400</v>
      </c>
      <c r="N2365">
        <v>0</v>
      </c>
    </row>
    <row r="2366" spans="1:14" x14ac:dyDescent="0.25">
      <c r="A2366">
        <v>1647.712499</v>
      </c>
      <c r="B2366" s="1">
        <f>DATE(2014,11,3) + TIME(17,5,59)</f>
        <v>41946.712488425925</v>
      </c>
      <c r="C2366">
        <v>80</v>
      </c>
      <c r="D2366">
        <v>79.481369018999999</v>
      </c>
      <c r="E2366">
        <v>50</v>
      </c>
      <c r="F2366">
        <v>49.970451355000002</v>
      </c>
      <c r="G2366">
        <v>1305.6275635</v>
      </c>
      <c r="H2366">
        <v>1292.963501</v>
      </c>
      <c r="I2366">
        <v>1393.7889404</v>
      </c>
      <c r="J2366">
        <v>1373.7127685999999</v>
      </c>
      <c r="K2366">
        <v>0</v>
      </c>
      <c r="L2366">
        <v>2400</v>
      </c>
      <c r="M2366">
        <v>2400</v>
      </c>
      <c r="N2366">
        <v>0</v>
      </c>
    </row>
    <row r="2367" spans="1:14" x14ac:dyDescent="0.25">
      <c r="A2367">
        <v>1647.9605120000001</v>
      </c>
      <c r="B2367" s="1">
        <f>DATE(2014,11,3) + TIME(23,3,8)</f>
        <v>41946.960509259261</v>
      </c>
      <c r="C2367">
        <v>80</v>
      </c>
      <c r="D2367">
        <v>79.455017089999998</v>
      </c>
      <c r="E2367">
        <v>50</v>
      </c>
      <c r="F2367">
        <v>49.972789763999998</v>
      </c>
      <c r="G2367">
        <v>1305.3024902</v>
      </c>
      <c r="H2367">
        <v>1292.6375731999999</v>
      </c>
      <c r="I2367">
        <v>1394.1077881000001</v>
      </c>
      <c r="J2367">
        <v>1374.0701904</v>
      </c>
      <c r="K2367">
        <v>0</v>
      </c>
      <c r="L2367">
        <v>2400</v>
      </c>
      <c r="M2367">
        <v>2400</v>
      </c>
      <c r="N2367">
        <v>0</v>
      </c>
    </row>
    <row r="2368" spans="1:14" x14ac:dyDescent="0.25">
      <c r="A2368">
        <v>1648.2222549999999</v>
      </c>
      <c r="B2368" s="1">
        <f>DATE(2014,11,4) + TIME(5,20,2)</f>
        <v>41947.222245370373</v>
      </c>
      <c r="C2368">
        <v>80</v>
      </c>
      <c r="D2368">
        <v>79.427597046000002</v>
      </c>
      <c r="E2368">
        <v>50</v>
      </c>
      <c r="F2368">
        <v>49.974544524999999</v>
      </c>
      <c r="G2368">
        <v>1305.0141602000001</v>
      </c>
      <c r="H2368">
        <v>1292.3483887</v>
      </c>
      <c r="I2368">
        <v>1394.3797606999999</v>
      </c>
      <c r="J2368">
        <v>1374.3774414</v>
      </c>
      <c r="K2368">
        <v>0</v>
      </c>
      <c r="L2368">
        <v>2400</v>
      </c>
      <c r="M2368">
        <v>2400</v>
      </c>
      <c r="N2368">
        <v>0</v>
      </c>
    </row>
    <row r="2369" spans="1:14" x14ac:dyDescent="0.25">
      <c r="A2369">
        <v>1648.5010500000001</v>
      </c>
      <c r="B2369" s="1">
        <f>DATE(2014,11,4) + TIME(12,1,30)</f>
        <v>41947.50104166667</v>
      </c>
      <c r="C2369">
        <v>80</v>
      </c>
      <c r="D2369">
        <v>79.398864746000001</v>
      </c>
      <c r="E2369">
        <v>50</v>
      </c>
      <c r="F2369">
        <v>49.975837708</v>
      </c>
      <c r="G2369">
        <v>1304.7576904</v>
      </c>
      <c r="H2369">
        <v>1292.0908202999999</v>
      </c>
      <c r="I2369">
        <v>1394.6107178</v>
      </c>
      <c r="J2369">
        <v>1374.6408690999999</v>
      </c>
      <c r="K2369">
        <v>0</v>
      </c>
      <c r="L2369">
        <v>2400</v>
      </c>
      <c r="M2369">
        <v>2400</v>
      </c>
      <c r="N2369">
        <v>0</v>
      </c>
    </row>
    <row r="2370" spans="1:14" x14ac:dyDescent="0.25">
      <c r="A2370">
        <v>1648.800933</v>
      </c>
      <c r="B2370" s="1">
        <f>DATE(2014,11,4) + TIME(19,13,20)</f>
        <v>41947.800925925927</v>
      </c>
      <c r="C2370">
        <v>80</v>
      </c>
      <c r="D2370">
        <v>79.368507385000001</v>
      </c>
      <c r="E2370">
        <v>50</v>
      </c>
      <c r="F2370">
        <v>49.976776123</v>
      </c>
      <c r="G2370">
        <v>1304.5290527</v>
      </c>
      <c r="H2370">
        <v>1291.8610839999999</v>
      </c>
      <c r="I2370">
        <v>1394.8050536999999</v>
      </c>
      <c r="J2370">
        <v>1374.8652344</v>
      </c>
      <c r="K2370">
        <v>0</v>
      </c>
      <c r="L2370">
        <v>2400</v>
      </c>
      <c r="M2370">
        <v>2400</v>
      </c>
      <c r="N2370">
        <v>0</v>
      </c>
    </row>
    <row r="2371" spans="1:14" x14ac:dyDescent="0.25">
      <c r="A2371">
        <v>1649.1227719999999</v>
      </c>
      <c r="B2371" s="1">
        <f>DATE(2014,11,5) + TIME(2,56,47)</f>
        <v>41948.122766203705</v>
      </c>
      <c r="C2371">
        <v>80</v>
      </c>
      <c r="D2371">
        <v>79.336441039999997</v>
      </c>
      <c r="E2371">
        <v>50</v>
      </c>
      <c r="F2371">
        <v>49.977432251000003</v>
      </c>
      <c r="G2371">
        <v>1304.3272704999999</v>
      </c>
      <c r="H2371">
        <v>1291.6580810999999</v>
      </c>
      <c r="I2371">
        <v>1394.9637451000001</v>
      </c>
      <c r="J2371">
        <v>1375.0523682</v>
      </c>
      <c r="K2371">
        <v>0</v>
      </c>
      <c r="L2371">
        <v>2400</v>
      </c>
      <c r="M2371">
        <v>2400</v>
      </c>
      <c r="N2371">
        <v>0</v>
      </c>
    </row>
    <row r="2372" spans="1:14" x14ac:dyDescent="0.25">
      <c r="A2372">
        <v>1649.469421</v>
      </c>
      <c r="B2372" s="1">
        <f>DATE(2014,11,5) + TIME(11,15,57)</f>
        <v>41948.469409722224</v>
      </c>
      <c r="C2372">
        <v>80</v>
      </c>
      <c r="D2372">
        <v>79.302452087000006</v>
      </c>
      <c r="E2372">
        <v>50</v>
      </c>
      <c r="F2372">
        <v>49.977874755999999</v>
      </c>
      <c r="G2372">
        <v>1304.1499022999999</v>
      </c>
      <c r="H2372">
        <v>1291.4794922000001</v>
      </c>
      <c r="I2372">
        <v>1395.0897216999999</v>
      </c>
      <c r="J2372">
        <v>1375.2053223</v>
      </c>
      <c r="K2372">
        <v>0</v>
      </c>
      <c r="L2372">
        <v>2400</v>
      </c>
      <c r="M2372">
        <v>2400</v>
      </c>
      <c r="N2372">
        <v>0</v>
      </c>
    </row>
    <row r="2373" spans="1:14" x14ac:dyDescent="0.25">
      <c r="A2373">
        <v>1649.8465409999999</v>
      </c>
      <c r="B2373" s="1">
        <f>DATE(2014,11,5) + TIME(20,19,1)</f>
        <v>41948.846539351849</v>
      </c>
      <c r="C2373">
        <v>80</v>
      </c>
      <c r="D2373">
        <v>79.266143799000005</v>
      </c>
      <c r="E2373">
        <v>50</v>
      </c>
      <c r="F2373">
        <v>49.978160858000003</v>
      </c>
      <c r="G2373">
        <v>1303.9942627</v>
      </c>
      <c r="H2373">
        <v>1291.3222656</v>
      </c>
      <c r="I2373">
        <v>1395.1865233999999</v>
      </c>
      <c r="J2373">
        <v>1375.3276367000001</v>
      </c>
      <c r="K2373">
        <v>0</v>
      </c>
      <c r="L2373">
        <v>2400</v>
      </c>
      <c r="M2373">
        <v>2400</v>
      </c>
      <c r="N2373">
        <v>0</v>
      </c>
    </row>
    <row r="2374" spans="1:14" x14ac:dyDescent="0.25">
      <c r="A2374">
        <v>1650.2612409999999</v>
      </c>
      <c r="B2374" s="1">
        <f>DATE(2014,11,6) + TIME(6,16,11)</f>
        <v>41949.261238425926</v>
      </c>
      <c r="C2374">
        <v>80</v>
      </c>
      <c r="D2374">
        <v>79.227012634000005</v>
      </c>
      <c r="E2374">
        <v>50</v>
      </c>
      <c r="F2374">
        <v>49.978336333999998</v>
      </c>
      <c r="G2374">
        <v>1303.8574219</v>
      </c>
      <c r="H2374">
        <v>1291.1839600000001</v>
      </c>
      <c r="I2374">
        <v>1395.2563477000001</v>
      </c>
      <c r="J2374">
        <v>1375.4224853999999</v>
      </c>
      <c r="K2374">
        <v>0</v>
      </c>
      <c r="L2374">
        <v>2400</v>
      </c>
      <c r="M2374">
        <v>2400</v>
      </c>
      <c r="N2374">
        <v>0</v>
      </c>
    </row>
    <row r="2375" spans="1:14" x14ac:dyDescent="0.25">
      <c r="A2375">
        <v>1650.7230259999999</v>
      </c>
      <c r="B2375" s="1">
        <f>DATE(2014,11,6) + TIME(17,21,9)</f>
        <v>41949.723020833335</v>
      </c>
      <c r="C2375">
        <v>80</v>
      </c>
      <c r="D2375">
        <v>79.184425353999998</v>
      </c>
      <c r="E2375">
        <v>50</v>
      </c>
      <c r="F2375">
        <v>49.978439330999997</v>
      </c>
      <c r="G2375">
        <v>1303.7373047000001</v>
      </c>
      <c r="H2375">
        <v>1291.0620117000001</v>
      </c>
      <c r="I2375">
        <v>1395.3015137</v>
      </c>
      <c r="J2375">
        <v>1375.4920654</v>
      </c>
      <c r="K2375">
        <v>0</v>
      </c>
      <c r="L2375">
        <v>2400</v>
      </c>
      <c r="M2375">
        <v>2400</v>
      </c>
      <c r="N2375">
        <v>0</v>
      </c>
    </row>
    <row r="2376" spans="1:14" x14ac:dyDescent="0.25">
      <c r="A2376">
        <v>1651.193857</v>
      </c>
      <c r="B2376" s="1">
        <f>DATE(2014,11,7) + TIME(4,39,9)</f>
        <v>41950.193854166668</v>
      </c>
      <c r="C2376">
        <v>80</v>
      </c>
      <c r="D2376">
        <v>79.140365600999999</v>
      </c>
      <c r="E2376">
        <v>50</v>
      </c>
      <c r="F2376">
        <v>49.978485106999997</v>
      </c>
      <c r="G2376">
        <v>1303.6386719</v>
      </c>
      <c r="H2376">
        <v>1290.9615478999999</v>
      </c>
      <c r="I2376">
        <v>1395.3184814000001</v>
      </c>
      <c r="J2376">
        <v>1375.5335693</v>
      </c>
      <c r="K2376">
        <v>0</v>
      </c>
      <c r="L2376">
        <v>2400</v>
      </c>
      <c r="M2376">
        <v>2400</v>
      </c>
      <c r="N2376">
        <v>0</v>
      </c>
    </row>
    <row r="2377" spans="1:14" x14ac:dyDescent="0.25">
      <c r="A2377">
        <v>1651.677473</v>
      </c>
      <c r="B2377" s="1">
        <f>DATE(2014,11,7) + TIME(16,15,33)</f>
        <v>41950.677465277775</v>
      </c>
      <c r="C2377">
        <v>80</v>
      </c>
      <c r="D2377">
        <v>79.095016478999995</v>
      </c>
      <c r="E2377">
        <v>50</v>
      </c>
      <c r="F2377">
        <v>49.978504180999998</v>
      </c>
      <c r="G2377">
        <v>1303.5568848</v>
      </c>
      <c r="H2377">
        <v>1290.8776855000001</v>
      </c>
      <c r="I2377">
        <v>1395.3183594</v>
      </c>
      <c r="J2377">
        <v>1375.5559082</v>
      </c>
      <c r="K2377">
        <v>0</v>
      </c>
      <c r="L2377">
        <v>2400</v>
      </c>
      <c r="M2377">
        <v>2400</v>
      </c>
      <c r="N2377">
        <v>0</v>
      </c>
    </row>
    <row r="2378" spans="1:14" x14ac:dyDescent="0.25">
      <c r="A2378">
        <v>1652.1724569999999</v>
      </c>
      <c r="B2378" s="1">
        <f>DATE(2014,11,8) + TIME(4,8,20)</f>
        <v>41951.172453703701</v>
      </c>
      <c r="C2378">
        <v>80</v>
      </c>
      <c r="D2378">
        <v>79.048683166999993</v>
      </c>
      <c r="E2378">
        <v>50</v>
      </c>
      <c r="F2378">
        <v>49.978511810000001</v>
      </c>
      <c r="G2378">
        <v>1303.4881591999999</v>
      </c>
      <c r="H2378">
        <v>1290.8068848</v>
      </c>
      <c r="I2378">
        <v>1395.3052978999999</v>
      </c>
      <c r="J2378">
        <v>1375.5639647999999</v>
      </c>
      <c r="K2378">
        <v>0</v>
      </c>
      <c r="L2378">
        <v>2400</v>
      </c>
      <c r="M2378">
        <v>2400</v>
      </c>
      <c r="N2378">
        <v>0</v>
      </c>
    </row>
    <row r="2379" spans="1:14" x14ac:dyDescent="0.25">
      <c r="A2379">
        <v>1652.6818969999999</v>
      </c>
      <c r="B2379" s="1">
        <f>DATE(2014,11,8) + TIME(16,21,55)</f>
        <v>41951.681886574072</v>
      </c>
      <c r="C2379">
        <v>80</v>
      </c>
      <c r="D2379">
        <v>79.001342773000005</v>
      </c>
      <c r="E2379">
        <v>50</v>
      </c>
      <c r="F2379">
        <v>49.978511810000001</v>
      </c>
      <c r="G2379">
        <v>1303.4294434000001</v>
      </c>
      <c r="H2379">
        <v>1290.7457274999999</v>
      </c>
      <c r="I2379">
        <v>1395.2830810999999</v>
      </c>
      <c r="J2379">
        <v>1375.5616454999999</v>
      </c>
      <c r="K2379">
        <v>0</v>
      </c>
      <c r="L2379">
        <v>2400</v>
      </c>
      <c r="M2379">
        <v>2400</v>
      </c>
      <c r="N2379">
        <v>0</v>
      </c>
    </row>
    <row r="2380" spans="1:14" x14ac:dyDescent="0.25">
      <c r="A2380">
        <v>1653.210977</v>
      </c>
      <c r="B2380" s="1">
        <f>DATE(2014,11,9) + TIME(5,3,48)</f>
        <v>41952.210972222223</v>
      </c>
      <c r="C2380">
        <v>80</v>
      </c>
      <c r="D2380">
        <v>78.952781677000004</v>
      </c>
      <c r="E2380">
        <v>50</v>
      </c>
      <c r="F2380">
        <v>49.978511810000001</v>
      </c>
      <c r="G2380">
        <v>1303.3780518000001</v>
      </c>
      <c r="H2380">
        <v>1290.6918945</v>
      </c>
      <c r="I2380">
        <v>1395.2543945</v>
      </c>
      <c r="J2380">
        <v>1375.5516356999999</v>
      </c>
      <c r="K2380">
        <v>0</v>
      </c>
      <c r="L2380">
        <v>2400</v>
      </c>
      <c r="M2380">
        <v>2400</v>
      </c>
      <c r="N2380">
        <v>0</v>
      </c>
    </row>
    <row r="2381" spans="1:14" x14ac:dyDescent="0.25">
      <c r="A2381">
        <v>1653.7652989999999</v>
      </c>
      <c r="B2381" s="1">
        <f>DATE(2014,11,9) + TIME(18,22,1)</f>
        <v>41952.765289351853</v>
      </c>
      <c r="C2381">
        <v>80</v>
      </c>
      <c r="D2381">
        <v>78.902679442999997</v>
      </c>
      <c r="E2381">
        <v>50</v>
      </c>
      <c r="F2381">
        <v>49.978511810000001</v>
      </c>
      <c r="G2381">
        <v>1303.3320312000001</v>
      </c>
      <c r="H2381">
        <v>1290.6429443</v>
      </c>
      <c r="I2381">
        <v>1395.2205810999999</v>
      </c>
      <c r="J2381">
        <v>1375.5360106999999</v>
      </c>
      <c r="K2381">
        <v>0</v>
      </c>
      <c r="L2381">
        <v>2400</v>
      </c>
      <c r="M2381">
        <v>2400</v>
      </c>
      <c r="N2381">
        <v>0</v>
      </c>
    </row>
    <row r="2382" spans="1:14" x14ac:dyDescent="0.25">
      <c r="A2382">
        <v>1654.351302</v>
      </c>
      <c r="B2382" s="1">
        <f>DATE(2014,11,10) + TIME(8,25,52)</f>
        <v>41953.3512962963</v>
      </c>
      <c r="C2382">
        <v>80</v>
      </c>
      <c r="D2382">
        <v>78.850639342999997</v>
      </c>
      <c r="E2382">
        <v>50</v>
      </c>
      <c r="F2382">
        <v>49.978515625</v>
      </c>
      <c r="G2382">
        <v>1303.2895507999999</v>
      </c>
      <c r="H2382">
        <v>1290.5975341999999</v>
      </c>
      <c r="I2382">
        <v>1395.1829834</v>
      </c>
      <c r="J2382">
        <v>1375.5159911999999</v>
      </c>
      <c r="K2382">
        <v>0</v>
      </c>
      <c r="L2382">
        <v>2400</v>
      </c>
      <c r="M2382">
        <v>2400</v>
      </c>
      <c r="N2382">
        <v>0</v>
      </c>
    </row>
    <row r="2383" spans="1:14" x14ac:dyDescent="0.25">
      <c r="A2383">
        <v>1654.9766870000001</v>
      </c>
      <c r="B2383" s="1">
        <f>DATE(2014,11,10) + TIME(23,26,25)</f>
        <v>41953.976678240739</v>
      </c>
      <c r="C2383">
        <v>80</v>
      </c>
      <c r="D2383">
        <v>78.796157836999996</v>
      </c>
      <c r="E2383">
        <v>50</v>
      </c>
      <c r="F2383">
        <v>49.978519439999999</v>
      </c>
      <c r="G2383">
        <v>1303.2493896000001</v>
      </c>
      <c r="H2383">
        <v>1290.5540771000001</v>
      </c>
      <c r="I2383">
        <v>1395.1423339999999</v>
      </c>
      <c r="J2383">
        <v>1375.4926757999999</v>
      </c>
      <c r="K2383">
        <v>0</v>
      </c>
      <c r="L2383">
        <v>2400</v>
      </c>
      <c r="M2383">
        <v>2400</v>
      </c>
      <c r="N2383">
        <v>0</v>
      </c>
    </row>
    <row r="2384" spans="1:14" x14ac:dyDescent="0.25">
      <c r="A2384">
        <v>1655.6513709999999</v>
      </c>
      <c r="B2384" s="1">
        <f>DATE(2014,11,11) + TIME(15,37,58)</f>
        <v>41954.651365740741</v>
      </c>
      <c r="C2384">
        <v>80</v>
      </c>
      <c r="D2384">
        <v>78.738616942999997</v>
      </c>
      <c r="E2384">
        <v>50</v>
      </c>
      <c r="F2384">
        <v>49.978519439999999</v>
      </c>
      <c r="G2384">
        <v>1303.2103271000001</v>
      </c>
      <c r="H2384">
        <v>1290.5113524999999</v>
      </c>
      <c r="I2384">
        <v>1395.0992432</v>
      </c>
      <c r="J2384">
        <v>1375.4665527</v>
      </c>
      <c r="K2384">
        <v>0</v>
      </c>
      <c r="L2384">
        <v>2400</v>
      </c>
      <c r="M2384">
        <v>2400</v>
      </c>
      <c r="N2384">
        <v>0</v>
      </c>
    </row>
    <row r="2385" spans="1:14" x14ac:dyDescent="0.25">
      <c r="A2385">
        <v>1656.3750930000001</v>
      </c>
      <c r="B2385" s="1">
        <f>DATE(2014,11,12) + TIME(9,0,8)</f>
        <v>41955.375092592592</v>
      </c>
      <c r="C2385">
        <v>80</v>
      </c>
      <c r="D2385">
        <v>78.677795410000002</v>
      </c>
      <c r="E2385">
        <v>50</v>
      </c>
      <c r="F2385">
        <v>49.978523254000002</v>
      </c>
      <c r="G2385">
        <v>1303.1717529</v>
      </c>
      <c r="H2385">
        <v>1290.4685059000001</v>
      </c>
      <c r="I2385">
        <v>1395.0538329999999</v>
      </c>
      <c r="J2385">
        <v>1375.4382324000001</v>
      </c>
      <c r="K2385">
        <v>0</v>
      </c>
      <c r="L2385">
        <v>2400</v>
      </c>
      <c r="M2385">
        <v>2400</v>
      </c>
      <c r="N2385">
        <v>0</v>
      </c>
    </row>
    <row r="2386" spans="1:14" x14ac:dyDescent="0.25">
      <c r="A2386">
        <v>1657.1241500000001</v>
      </c>
      <c r="B2386" s="1">
        <f>DATE(2014,11,13) + TIME(2,58,46)</f>
        <v>41956.124143518522</v>
      </c>
      <c r="C2386">
        <v>80</v>
      </c>
      <c r="D2386">
        <v>78.614608765</v>
      </c>
      <c r="E2386">
        <v>50</v>
      </c>
      <c r="F2386">
        <v>49.978527069000002</v>
      </c>
      <c r="G2386">
        <v>1303.1331786999999</v>
      </c>
      <c r="H2386">
        <v>1290.425293</v>
      </c>
      <c r="I2386">
        <v>1395.0073242000001</v>
      </c>
      <c r="J2386">
        <v>1375.4085693</v>
      </c>
      <c r="K2386">
        <v>0</v>
      </c>
      <c r="L2386">
        <v>2400</v>
      </c>
      <c r="M2386">
        <v>2400</v>
      </c>
      <c r="N2386">
        <v>0</v>
      </c>
    </row>
    <row r="2387" spans="1:14" x14ac:dyDescent="0.25">
      <c r="A2387">
        <v>1657.8963940000001</v>
      </c>
      <c r="B2387" s="1">
        <f>DATE(2014,11,13) + TIME(21,30,48)</f>
        <v>41956.89638888889</v>
      </c>
      <c r="C2387">
        <v>80</v>
      </c>
      <c r="D2387">
        <v>78.549606323000006</v>
      </c>
      <c r="E2387">
        <v>50</v>
      </c>
      <c r="F2387">
        <v>49.978527069000002</v>
      </c>
      <c r="G2387">
        <v>1303.0948486</v>
      </c>
      <c r="H2387">
        <v>1290.3818358999999</v>
      </c>
      <c r="I2387">
        <v>1394.9615478999999</v>
      </c>
      <c r="J2387">
        <v>1375.3789062000001</v>
      </c>
      <c r="K2387">
        <v>0</v>
      </c>
      <c r="L2387">
        <v>2400</v>
      </c>
      <c r="M2387">
        <v>2400</v>
      </c>
      <c r="N2387">
        <v>0</v>
      </c>
    </row>
    <row r="2388" spans="1:14" x14ac:dyDescent="0.25">
      <c r="A2388">
        <v>1658.7004010000001</v>
      </c>
      <c r="B2388" s="1">
        <f>DATE(2014,11,14) + TIME(16,48,34)</f>
        <v>41957.70039351852</v>
      </c>
      <c r="C2388">
        <v>80</v>
      </c>
      <c r="D2388">
        <v>78.482772827000005</v>
      </c>
      <c r="E2388">
        <v>50</v>
      </c>
      <c r="F2388">
        <v>49.978530884000001</v>
      </c>
      <c r="G2388">
        <v>1303.0562743999999</v>
      </c>
      <c r="H2388">
        <v>1290.3375243999999</v>
      </c>
      <c r="I2388">
        <v>1394.9168701000001</v>
      </c>
      <c r="J2388">
        <v>1375.3497314000001</v>
      </c>
      <c r="K2388">
        <v>0</v>
      </c>
      <c r="L2388">
        <v>2400</v>
      </c>
      <c r="M2388">
        <v>2400</v>
      </c>
      <c r="N2388">
        <v>0</v>
      </c>
    </row>
    <row r="2389" spans="1:14" x14ac:dyDescent="0.25">
      <c r="A2389">
        <v>1659.5179430000001</v>
      </c>
      <c r="B2389" s="1">
        <f>DATE(2014,11,15) + TIME(12,25,50)</f>
        <v>41958.517939814818</v>
      </c>
      <c r="C2389">
        <v>80</v>
      </c>
      <c r="D2389">
        <v>78.414848328000005</v>
      </c>
      <c r="E2389">
        <v>50</v>
      </c>
      <c r="F2389">
        <v>49.978530884000001</v>
      </c>
      <c r="G2389">
        <v>1303.0170897999999</v>
      </c>
      <c r="H2389">
        <v>1290.2921143000001</v>
      </c>
      <c r="I2389">
        <v>1394.8730469</v>
      </c>
      <c r="J2389">
        <v>1375.3209228999999</v>
      </c>
      <c r="K2389">
        <v>0</v>
      </c>
      <c r="L2389">
        <v>2400</v>
      </c>
      <c r="M2389">
        <v>2400</v>
      </c>
      <c r="N2389">
        <v>0</v>
      </c>
    </row>
    <row r="2390" spans="1:14" x14ac:dyDescent="0.25">
      <c r="A2390">
        <v>1660.357381</v>
      </c>
      <c r="B2390" s="1">
        <f>DATE(2014,11,16) + TIME(8,34,37)</f>
        <v>41959.357372685183</v>
      </c>
      <c r="C2390">
        <v>80</v>
      </c>
      <c r="D2390">
        <v>78.345924377000003</v>
      </c>
      <c r="E2390">
        <v>50</v>
      </c>
      <c r="F2390">
        <v>49.978530884000001</v>
      </c>
      <c r="G2390">
        <v>1302.9772949000001</v>
      </c>
      <c r="H2390">
        <v>1290.2456055</v>
      </c>
      <c r="I2390">
        <v>1394.8311768000001</v>
      </c>
      <c r="J2390">
        <v>1375.2930908000001</v>
      </c>
      <c r="K2390">
        <v>0</v>
      </c>
      <c r="L2390">
        <v>2400</v>
      </c>
      <c r="M2390">
        <v>2400</v>
      </c>
      <c r="N2390">
        <v>0</v>
      </c>
    </row>
    <row r="2391" spans="1:14" x14ac:dyDescent="0.25">
      <c r="A2391">
        <v>1661.227198</v>
      </c>
      <c r="B2391" s="1">
        <f>DATE(2014,11,17) + TIME(5,27,9)</f>
        <v>41960.227187500001</v>
      </c>
      <c r="C2391">
        <v>80</v>
      </c>
      <c r="D2391">
        <v>78.275718689000001</v>
      </c>
      <c r="E2391">
        <v>50</v>
      </c>
      <c r="F2391">
        <v>49.978530884000001</v>
      </c>
      <c r="G2391">
        <v>1302.9365233999999</v>
      </c>
      <c r="H2391">
        <v>1290.1973877</v>
      </c>
      <c r="I2391">
        <v>1394.7905272999999</v>
      </c>
      <c r="J2391">
        <v>1375.2658690999999</v>
      </c>
      <c r="K2391">
        <v>0</v>
      </c>
      <c r="L2391">
        <v>2400</v>
      </c>
      <c r="M2391">
        <v>2400</v>
      </c>
      <c r="N2391">
        <v>0</v>
      </c>
    </row>
    <row r="2392" spans="1:14" x14ac:dyDescent="0.25">
      <c r="A2392">
        <v>1662.136753</v>
      </c>
      <c r="B2392" s="1">
        <f>DATE(2014,11,18) + TIME(3,16,55)</f>
        <v>41961.136747685188</v>
      </c>
      <c r="C2392">
        <v>80</v>
      </c>
      <c r="D2392">
        <v>78.203758239999999</v>
      </c>
      <c r="E2392">
        <v>50</v>
      </c>
      <c r="F2392">
        <v>49.978530884000001</v>
      </c>
      <c r="G2392">
        <v>1302.8941649999999</v>
      </c>
      <c r="H2392">
        <v>1290.1467285000001</v>
      </c>
      <c r="I2392">
        <v>1394.7507324000001</v>
      </c>
      <c r="J2392">
        <v>1375.2391356999999</v>
      </c>
      <c r="K2392">
        <v>0</v>
      </c>
      <c r="L2392">
        <v>2400</v>
      </c>
      <c r="M2392">
        <v>2400</v>
      </c>
      <c r="N2392">
        <v>0</v>
      </c>
    </row>
    <row r="2393" spans="1:14" x14ac:dyDescent="0.25">
      <c r="A2393">
        <v>1663.0968700000001</v>
      </c>
      <c r="B2393" s="1">
        <f>DATE(2014,11,19) + TIME(2,19,29)</f>
        <v>41962.096863425926</v>
      </c>
      <c r="C2393">
        <v>80</v>
      </c>
      <c r="D2393">
        <v>78.129440308</v>
      </c>
      <c r="E2393">
        <v>50</v>
      </c>
      <c r="F2393">
        <v>49.978534697999997</v>
      </c>
      <c r="G2393">
        <v>1302.8494873</v>
      </c>
      <c r="H2393">
        <v>1290.0930175999999</v>
      </c>
      <c r="I2393">
        <v>1394.7114257999999</v>
      </c>
      <c r="J2393">
        <v>1375.2125243999999</v>
      </c>
      <c r="K2393">
        <v>0</v>
      </c>
      <c r="L2393">
        <v>2400</v>
      </c>
      <c r="M2393">
        <v>2400</v>
      </c>
      <c r="N2393">
        <v>0</v>
      </c>
    </row>
    <row r="2394" spans="1:14" x14ac:dyDescent="0.25">
      <c r="A2394">
        <v>1664.1142829999999</v>
      </c>
      <c r="B2394" s="1">
        <f>DATE(2014,11,20) + TIME(2,44,34)</f>
        <v>41963.114282407405</v>
      </c>
      <c r="C2394">
        <v>80</v>
      </c>
      <c r="D2394">
        <v>78.052223205999994</v>
      </c>
      <c r="E2394">
        <v>50</v>
      </c>
      <c r="F2394">
        <v>49.978534697999997</v>
      </c>
      <c r="G2394">
        <v>1302.8020019999999</v>
      </c>
      <c r="H2394">
        <v>1290.0352783000001</v>
      </c>
      <c r="I2394">
        <v>1394.6723632999999</v>
      </c>
      <c r="J2394">
        <v>1375.1857910000001</v>
      </c>
      <c r="K2394">
        <v>0</v>
      </c>
      <c r="L2394">
        <v>2400</v>
      </c>
      <c r="M2394">
        <v>2400</v>
      </c>
      <c r="N2394">
        <v>0</v>
      </c>
    </row>
    <row r="2395" spans="1:14" x14ac:dyDescent="0.25">
      <c r="A2395">
        <v>1665.154693</v>
      </c>
      <c r="B2395" s="1">
        <f>DATE(2014,11,21) + TIME(3,42,45)</f>
        <v>41964.154687499999</v>
      </c>
      <c r="C2395">
        <v>80</v>
      </c>
      <c r="D2395">
        <v>77.972969054999993</v>
      </c>
      <c r="E2395">
        <v>50</v>
      </c>
      <c r="F2395">
        <v>49.978534697999997</v>
      </c>
      <c r="G2395">
        <v>1302.7515868999999</v>
      </c>
      <c r="H2395">
        <v>1289.9735106999999</v>
      </c>
      <c r="I2395">
        <v>1394.6331786999999</v>
      </c>
      <c r="J2395">
        <v>1375.1589355000001</v>
      </c>
      <c r="K2395">
        <v>0</v>
      </c>
      <c r="L2395">
        <v>2400</v>
      </c>
      <c r="M2395">
        <v>2400</v>
      </c>
      <c r="N2395">
        <v>0</v>
      </c>
    </row>
    <row r="2396" spans="1:14" x14ac:dyDescent="0.25">
      <c r="A2396">
        <v>1666.2221050000001</v>
      </c>
      <c r="B2396" s="1">
        <f>DATE(2014,11,22) + TIME(5,19,49)</f>
        <v>41965.222094907411</v>
      </c>
      <c r="C2396">
        <v>80</v>
      </c>
      <c r="D2396">
        <v>77.892341614000003</v>
      </c>
      <c r="E2396">
        <v>50</v>
      </c>
      <c r="F2396">
        <v>49.978538512999997</v>
      </c>
      <c r="G2396">
        <v>1302.6989745999999</v>
      </c>
      <c r="H2396">
        <v>1289.9083252</v>
      </c>
      <c r="I2396">
        <v>1394.5952147999999</v>
      </c>
      <c r="J2396">
        <v>1375.1328125</v>
      </c>
      <c r="K2396">
        <v>0</v>
      </c>
      <c r="L2396">
        <v>2400</v>
      </c>
      <c r="M2396">
        <v>2400</v>
      </c>
      <c r="N2396">
        <v>0</v>
      </c>
    </row>
    <row r="2397" spans="1:14" x14ac:dyDescent="0.25">
      <c r="A2397">
        <v>1667.3192670000001</v>
      </c>
      <c r="B2397" s="1">
        <f>DATE(2014,11,23) + TIME(7,39,44)</f>
        <v>41966.31925925926</v>
      </c>
      <c r="C2397">
        <v>80</v>
      </c>
      <c r="D2397">
        <v>77.810516356999997</v>
      </c>
      <c r="E2397">
        <v>50</v>
      </c>
      <c r="F2397">
        <v>49.978538512999997</v>
      </c>
      <c r="G2397">
        <v>1302.644043</v>
      </c>
      <c r="H2397">
        <v>1289.8398437999999</v>
      </c>
      <c r="I2397">
        <v>1394.5583495999999</v>
      </c>
      <c r="J2397">
        <v>1375.1070557</v>
      </c>
      <c r="K2397">
        <v>0</v>
      </c>
      <c r="L2397">
        <v>2400</v>
      </c>
      <c r="M2397">
        <v>2400</v>
      </c>
      <c r="N2397">
        <v>0</v>
      </c>
    </row>
    <row r="2398" spans="1:14" x14ac:dyDescent="0.25">
      <c r="A2398">
        <v>1668.449026</v>
      </c>
      <c r="B2398" s="1">
        <f>DATE(2014,11,24) + TIME(10,46,35)</f>
        <v>41967.449016203704</v>
      </c>
      <c r="C2398">
        <v>80</v>
      </c>
      <c r="D2398">
        <v>77.727478027000004</v>
      </c>
      <c r="E2398">
        <v>50</v>
      </c>
      <c r="F2398">
        <v>49.978542328000003</v>
      </c>
      <c r="G2398">
        <v>1302.5865478999999</v>
      </c>
      <c r="H2398">
        <v>1289.7674560999999</v>
      </c>
      <c r="I2398">
        <v>1394.5223389</v>
      </c>
      <c r="J2398">
        <v>1375.0817870999999</v>
      </c>
      <c r="K2398">
        <v>0</v>
      </c>
      <c r="L2398">
        <v>2400</v>
      </c>
      <c r="M2398">
        <v>2400</v>
      </c>
      <c r="N2398">
        <v>0</v>
      </c>
    </row>
    <row r="2399" spans="1:14" x14ac:dyDescent="0.25">
      <c r="A2399">
        <v>1669.610347</v>
      </c>
      <c r="B2399" s="1">
        <f>DATE(2014,11,25) + TIME(14,38,53)</f>
        <v>41968.610335648147</v>
      </c>
      <c r="C2399">
        <v>80</v>
      </c>
      <c r="D2399">
        <v>77.643257141000007</v>
      </c>
      <c r="E2399">
        <v>50</v>
      </c>
      <c r="F2399">
        <v>49.978546143000003</v>
      </c>
      <c r="G2399">
        <v>1302.5262451000001</v>
      </c>
      <c r="H2399">
        <v>1289.6910399999999</v>
      </c>
      <c r="I2399">
        <v>1394.4870605000001</v>
      </c>
      <c r="J2399">
        <v>1375.0567627</v>
      </c>
      <c r="K2399">
        <v>0</v>
      </c>
      <c r="L2399">
        <v>2400</v>
      </c>
      <c r="M2399">
        <v>2400</v>
      </c>
      <c r="N2399">
        <v>0</v>
      </c>
    </row>
    <row r="2400" spans="1:14" x14ac:dyDescent="0.25">
      <c r="A2400">
        <v>1670.7929939999999</v>
      </c>
      <c r="B2400" s="1">
        <f>DATE(2014,11,26) + TIME(19,1,54)</f>
        <v>41969.792986111112</v>
      </c>
      <c r="C2400">
        <v>80</v>
      </c>
      <c r="D2400">
        <v>77.558197020999998</v>
      </c>
      <c r="E2400">
        <v>50</v>
      </c>
      <c r="F2400">
        <v>49.978549956999998</v>
      </c>
      <c r="G2400">
        <v>1302.4632568</v>
      </c>
      <c r="H2400">
        <v>1289.6104736</v>
      </c>
      <c r="I2400">
        <v>1394.4523925999999</v>
      </c>
      <c r="J2400">
        <v>1375.0321045000001</v>
      </c>
      <c r="K2400">
        <v>0</v>
      </c>
      <c r="L2400">
        <v>2400</v>
      </c>
      <c r="M2400">
        <v>2400</v>
      </c>
      <c r="N2400">
        <v>0</v>
      </c>
    </row>
    <row r="2401" spans="1:14" x14ac:dyDescent="0.25">
      <c r="A2401">
        <v>1671.9995799999999</v>
      </c>
      <c r="B2401" s="1">
        <f>DATE(2014,11,27) + TIME(23,59,23)</f>
        <v>41970.999571759261</v>
      </c>
      <c r="C2401">
        <v>80</v>
      </c>
      <c r="D2401">
        <v>77.472518921000002</v>
      </c>
      <c r="E2401">
        <v>50</v>
      </c>
      <c r="F2401">
        <v>49.978553771999998</v>
      </c>
      <c r="G2401">
        <v>1302.3978271000001</v>
      </c>
      <c r="H2401">
        <v>1289.5262451000001</v>
      </c>
      <c r="I2401">
        <v>1394.4188231999999</v>
      </c>
      <c r="J2401">
        <v>1375.0079346</v>
      </c>
      <c r="K2401">
        <v>0</v>
      </c>
      <c r="L2401">
        <v>2400</v>
      </c>
      <c r="M2401">
        <v>2400</v>
      </c>
      <c r="N2401">
        <v>0</v>
      </c>
    </row>
    <row r="2402" spans="1:14" x14ac:dyDescent="0.25">
      <c r="A2402">
        <v>1673.2337339999999</v>
      </c>
      <c r="B2402" s="1">
        <f>DATE(2014,11,29) + TIME(5,36,34)</f>
        <v>41972.233726851853</v>
      </c>
      <c r="C2402">
        <v>80</v>
      </c>
      <c r="D2402">
        <v>77.386184692</v>
      </c>
      <c r="E2402">
        <v>50</v>
      </c>
      <c r="F2402">
        <v>49.978561401</v>
      </c>
      <c r="G2402">
        <v>1302.3297118999999</v>
      </c>
      <c r="H2402">
        <v>1289.4378661999999</v>
      </c>
      <c r="I2402">
        <v>1394.3859863</v>
      </c>
      <c r="J2402">
        <v>1374.9841309000001</v>
      </c>
      <c r="K2402">
        <v>0</v>
      </c>
      <c r="L2402">
        <v>2400</v>
      </c>
      <c r="M2402">
        <v>2400</v>
      </c>
      <c r="N2402">
        <v>0</v>
      </c>
    </row>
    <row r="2403" spans="1:14" x14ac:dyDescent="0.25">
      <c r="A2403">
        <v>1674.498701</v>
      </c>
      <c r="B2403" s="1">
        <f>DATE(2014,11,30) + TIME(11,58,7)</f>
        <v>41973.498692129629</v>
      </c>
      <c r="C2403">
        <v>80</v>
      </c>
      <c r="D2403">
        <v>77.299072265999996</v>
      </c>
      <c r="E2403">
        <v>50</v>
      </c>
      <c r="F2403">
        <v>49.978569030999999</v>
      </c>
      <c r="G2403">
        <v>1302.2587891000001</v>
      </c>
      <c r="H2403">
        <v>1289.3450928</v>
      </c>
      <c r="I2403">
        <v>1394.3538818</v>
      </c>
      <c r="J2403">
        <v>1374.9606934000001</v>
      </c>
      <c r="K2403">
        <v>0</v>
      </c>
      <c r="L2403">
        <v>2400</v>
      </c>
      <c r="M2403">
        <v>2400</v>
      </c>
      <c r="N2403">
        <v>0</v>
      </c>
    </row>
    <row r="2404" spans="1:14" x14ac:dyDescent="0.25">
      <c r="A2404">
        <v>1675</v>
      </c>
      <c r="B2404" s="1">
        <f>DATE(2014,12,1) + TIME(0,0,0)</f>
        <v>41974</v>
      </c>
      <c r="C2404">
        <v>80</v>
      </c>
      <c r="D2404">
        <v>77.244056701999995</v>
      </c>
      <c r="E2404">
        <v>50</v>
      </c>
      <c r="F2404">
        <v>49.978557586999997</v>
      </c>
      <c r="G2404">
        <v>1302.1964111</v>
      </c>
      <c r="H2404">
        <v>1289.2651367000001</v>
      </c>
      <c r="I2404">
        <v>1394.3245850000001</v>
      </c>
      <c r="J2404">
        <v>1374.9394531</v>
      </c>
      <c r="K2404">
        <v>0</v>
      </c>
      <c r="L2404">
        <v>2400</v>
      </c>
      <c r="M2404">
        <v>2400</v>
      </c>
      <c r="N2404">
        <v>0</v>
      </c>
    </row>
    <row r="2405" spans="1:14" x14ac:dyDescent="0.25">
      <c r="A2405">
        <v>1676.2990070000001</v>
      </c>
      <c r="B2405" s="1">
        <f>DATE(2014,12,2) + TIME(7,10,34)</f>
        <v>41975.299004629633</v>
      </c>
      <c r="C2405">
        <v>80</v>
      </c>
      <c r="D2405">
        <v>77.168914795000006</v>
      </c>
      <c r="E2405">
        <v>50</v>
      </c>
      <c r="F2405">
        <v>49.978580475000001</v>
      </c>
      <c r="G2405">
        <v>1302.1513672000001</v>
      </c>
      <c r="H2405">
        <v>1289.2025146000001</v>
      </c>
      <c r="I2405">
        <v>1394.3094481999999</v>
      </c>
      <c r="J2405">
        <v>1374.9278564000001</v>
      </c>
      <c r="K2405">
        <v>0</v>
      </c>
      <c r="L2405">
        <v>2400</v>
      </c>
      <c r="M2405">
        <v>2400</v>
      </c>
      <c r="N2405">
        <v>0</v>
      </c>
    </row>
    <row r="2406" spans="1:14" x14ac:dyDescent="0.25">
      <c r="A2406">
        <v>1677.635491</v>
      </c>
      <c r="B2406" s="1">
        <f>DATE(2014,12,3) + TIME(15,15,6)</f>
        <v>41976.63548611111</v>
      </c>
      <c r="C2406">
        <v>80</v>
      </c>
      <c r="D2406">
        <v>77.084938049000002</v>
      </c>
      <c r="E2406">
        <v>50</v>
      </c>
      <c r="F2406">
        <v>49.978588104000004</v>
      </c>
      <c r="G2406">
        <v>1302.0756836</v>
      </c>
      <c r="H2406">
        <v>1289.1027832</v>
      </c>
      <c r="I2406">
        <v>1394.2795410000001</v>
      </c>
      <c r="J2406">
        <v>1374.9056396000001</v>
      </c>
      <c r="K2406">
        <v>0</v>
      </c>
      <c r="L2406">
        <v>2400</v>
      </c>
      <c r="M2406">
        <v>2400</v>
      </c>
      <c r="N2406">
        <v>0</v>
      </c>
    </row>
    <row r="2407" spans="1:14" x14ac:dyDescent="0.25">
      <c r="A2407">
        <v>1678.9967899999999</v>
      </c>
      <c r="B2407" s="1">
        <f>DATE(2014,12,4) + TIME(23,55,22)</f>
        <v>41977.996782407405</v>
      </c>
      <c r="C2407">
        <v>80</v>
      </c>
      <c r="D2407">
        <v>76.997032165999997</v>
      </c>
      <c r="E2407">
        <v>50</v>
      </c>
      <c r="F2407">
        <v>49.978595734000002</v>
      </c>
      <c r="G2407">
        <v>1301.9948730000001</v>
      </c>
      <c r="H2407">
        <v>1288.9952393000001</v>
      </c>
      <c r="I2407">
        <v>1394.2492675999999</v>
      </c>
      <c r="J2407">
        <v>1374.8829346</v>
      </c>
      <c r="K2407">
        <v>0</v>
      </c>
      <c r="L2407">
        <v>2400</v>
      </c>
      <c r="M2407">
        <v>2400</v>
      </c>
      <c r="N2407">
        <v>0</v>
      </c>
    </row>
    <row r="2408" spans="1:14" x14ac:dyDescent="0.25">
      <c r="A2408">
        <v>1680.3864550000001</v>
      </c>
      <c r="B2408" s="1">
        <f>DATE(2014,12,6) + TIME(9,16,29)</f>
        <v>41979.386446759258</v>
      </c>
      <c r="C2408">
        <v>80</v>
      </c>
      <c r="D2408">
        <v>76.907279967999997</v>
      </c>
      <c r="E2408">
        <v>50</v>
      </c>
      <c r="F2408">
        <v>49.978603362999998</v>
      </c>
      <c r="G2408">
        <v>1301.9105225000001</v>
      </c>
      <c r="H2408">
        <v>1288.8823242000001</v>
      </c>
      <c r="I2408">
        <v>1394.2194824000001</v>
      </c>
      <c r="J2408">
        <v>1374.8603516000001</v>
      </c>
      <c r="K2408">
        <v>0</v>
      </c>
      <c r="L2408">
        <v>2400</v>
      </c>
      <c r="M2408">
        <v>2400</v>
      </c>
      <c r="N2408">
        <v>0</v>
      </c>
    </row>
    <row r="2409" spans="1:14" x14ac:dyDescent="0.25">
      <c r="A2409">
        <v>1681.808401</v>
      </c>
      <c r="B2409" s="1">
        <f>DATE(2014,12,7) + TIME(19,24,5)</f>
        <v>41980.808391203704</v>
      </c>
      <c r="C2409">
        <v>80</v>
      </c>
      <c r="D2409">
        <v>76.816322326999995</v>
      </c>
      <c r="E2409">
        <v>50</v>
      </c>
      <c r="F2409">
        <v>49.978614807</v>
      </c>
      <c r="G2409">
        <v>1301.822876</v>
      </c>
      <c r="H2409">
        <v>1288.7641602000001</v>
      </c>
      <c r="I2409">
        <v>1394.1903076000001</v>
      </c>
      <c r="J2409">
        <v>1374.8381348</v>
      </c>
      <c r="K2409">
        <v>0</v>
      </c>
      <c r="L2409">
        <v>2400</v>
      </c>
      <c r="M2409">
        <v>2400</v>
      </c>
      <c r="N2409">
        <v>0</v>
      </c>
    </row>
    <row r="2410" spans="1:14" x14ac:dyDescent="0.25">
      <c r="A2410">
        <v>1683.266183</v>
      </c>
      <c r="B2410" s="1">
        <f>DATE(2014,12,9) + TIME(6,23,18)</f>
        <v>41982.266180555554</v>
      </c>
      <c r="C2410">
        <v>80</v>
      </c>
      <c r="D2410">
        <v>76.724273682000003</v>
      </c>
      <c r="E2410">
        <v>50</v>
      </c>
      <c r="F2410">
        <v>49.978626251000001</v>
      </c>
      <c r="G2410">
        <v>1301.7316894999999</v>
      </c>
      <c r="H2410">
        <v>1288.640625</v>
      </c>
      <c r="I2410">
        <v>1394.161499</v>
      </c>
      <c r="J2410">
        <v>1374.8160399999999</v>
      </c>
      <c r="K2410">
        <v>0</v>
      </c>
      <c r="L2410">
        <v>2400</v>
      </c>
      <c r="M2410">
        <v>2400</v>
      </c>
      <c r="N2410">
        <v>0</v>
      </c>
    </row>
    <row r="2411" spans="1:14" x14ac:dyDescent="0.25">
      <c r="A2411">
        <v>1684.7519930000001</v>
      </c>
      <c r="B2411" s="1">
        <f>DATE(2014,12,10) + TIME(18,2,52)</f>
        <v>41983.75199074074</v>
      </c>
      <c r="C2411">
        <v>80</v>
      </c>
      <c r="D2411">
        <v>76.631286621000001</v>
      </c>
      <c r="E2411">
        <v>50</v>
      </c>
      <c r="F2411">
        <v>49.978637695000003</v>
      </c>
      <c r="G2411">
        <v>1301.6367187999999</v>
      </c>
      <c r="H2411">
        <v>1288.5114745999999</v>
      </c>
      <c r="I2411">
        <v>1394.1330565999999</v>
      </c>
      <c r="J2411">
        <v>1374.7940673999999</v>
      </c>
      <c r="K2411">
        <v>0</v>
      </c>
      <c r="L2411">
        <v>2400</v>
      </c>
      <c r="M2411">
        <v>2400</v>
      </c>
      <c r="N2411">
        <v>0</v>
      </c>
    </row>
    <row r="2412" spans="1:14" x14ac:dyDescent="0.25">
      <c r="A2412">
        <v>1686.268051</v>
      </c>
      <c r="B2412" s="1">
        <f>DATE(2014,12,12) + TIME(6,25,59)</f>
        <v>41985.268043981479</v>
      </c>
      <c r="C2412">
        <v>80</v>
      </c>
      <c r="D2412">
        <v>76.537513732999997</v>
      </c>
      <c r="E2412">
        <v>50</v>
      </c>
      <c r="F2412">
        <v>49.978649138999998</v>
      </c>
      <c r="G2412">
        <v>1301.5384521000001</v>
      </c>
      <c r="H2412">
        <v>1288.3771973</v>
      </c>
      <c r="I2412">
        <v>1394.1049805</v>
      </c>
      <c r="J2412">
        <v>1374.7723389</v>
      </c>
      <c r="K2412">
        <v>0</v>
      </c>
      <c r="L2412">
        <v>2400</v>
      </c>
      <c r="M2412">
        <v>2400</v>
      </c>
      <c r="N2412">
        <v>0</v>
      </c>
    </row>
    <row r="2413" spans="1:14" x14ac:dyDescent="0.25">
      <c r="A2413">
        <v>1687.8182650000001</v>
      </c>
      <c r="B2413" s="1">
        <f>DATE(2014,12,13) + TIME(19,38,18)</f>
        <v>41986.81826388889</v>
      </c>
      <c r="C2413">
        <v>80</v>
      </c>
      <c r="D2413">
        <v>76.442909240999995</v>
      </c>
      <c r="E2413">
        <v>50</v>
      </c>
      <c r="F2413">
        <v>49.978660583</v>
      </c>
      <c r="G2413">
        <v>1301.4366454999999</v>
      </c>
      <c r="H2413">
        <v>1288.2375488</v>
      </c>
      <c r="I2413">
        <v>1394.0773925999999</v>
      </c>
      <c r="J2413">
        <v>1374.7506103999999</v>
      </c>
      <c r="K2413">
        <v>0</v>
      </c>
      <c r="L2413">
        <v>2400</v>
      </c>
      <c r="M2413">
        <v>2400</v>
      </c>
      <c r="N2413">
        <v>0</v>
      </c>
    </row>
    <row r="2414" spans="1:14" x14ac:dyDescent="0.25">
      <c r="A2414">
        <v>1689.4028390000001</v>
      </c>
      <c r="B2414" s="1">
        <f>DATE(2014,12,15) + TIME(9,40,5)</f>
        <v>41988.40283564815</v>
      </c>
      <c r="C2414">
        <v>80</v>
      </c>
      <c r="D2414">
        <v>76.347358704000001</v>
      </c>
      <c r="E2414">
        <v>50</v>
      </c>
      <c r="F2414">
        <v>49.978675842000001</v>
      </c>
      <c r="G2414">
        <v>1301.3311768000001</v>
      </c>
      <c r="H2414">
        <v>1288.0922852000001</v>
      </c>
      <c r="I2414">
        <v>1394.0501709</v>
      </c>
      <c r="J2414">
        <v>1374.729126</v>
      </c>
      <c r="K2414">
        <v>0</v>
      </c>
      <c r="L2414">
        <v>2400</v>
      </c>
      <c r="M2414">
        <v>2400</v>
      </c>
      <c r="N2414">
        <v>0</v>
      </c>
    </row>
    <row r="2415" spans="1:14" x14ac:dyDescent="0.25">
      <c r="A2415">
        <v>1691.0210500000001</v>
      </c>
      <c r="B2415" s="1">
        <f>DATE(2014,12,17) + TIME(0,30,18)</f>
        <v>41990.021041666667</v>
      </c>
      <c r="C2415">
        <v>80</v>
      </c>
      <c r="D2415">
        <v>76.250839232999994</v>
      </c>
      <c r="E2415">
        <v>50</v>
      </c>
      <c r="F2415">
        <v>49.978687286000003</v>
      </c>
      <c r="G2415">
        <v>1301.2220459</v>
      </c>
      <c r="H2415">
        <v>1287.9412841999999</v>
      </c>
      <c r="I2415">
        <v>1394.0230713000001</v>
      </c>
      <c r="J2415">
        <v>1374.7076416</v>
      </c>
      <c r="K2415">
        <v>0</v>
      </c>
      <c r="L2415">
        <v>2400</v>
      </c>
      <c r="M2415">
        <v>2400</v>
      </c>
      <c r="N2415">
        <v>0</v>
      </c>
    </row>
    <row r="2416" spans="1:14" x14ac:dyDescent="0.25">
      <c r="A2416">
        <v>1692.6770289999999</v>
      </c>
      <c r="B2416" s="1">
        <f>DATE(2014,12,18) + TIME(16,14,55)</f>
        <v>41991.677025462966</v>
      </c>
      <c r="C2416">
        <v>80</v>
      </c>
      <c r="D2416">
        <v>76.153289795000006</v>
      </c>
      <c r="E2416">
        <v>50</v>
      </c>
      <c r="F2416">
        <v>49.978702544999997</v>
      </c>
      <c r="G2416">
        <v>1301.1090088000001</v>
      </c>
      <c r="H2416">
        <v>1287.7845459</v>
      </c>
      <c r="I2416">
        <v>1393.9964600000001</v>
      </c>
      <c r="J2416">
        <v>1374.6862793</v>
      </c>
      <c r="K2416">
        <v>0</v>
      </c>
      <c r="L2416">
        <v>2400</v>
      </c>
      <c r="M2416">
        <v>2400</v>
      </c>
      <c r="N2416">
        <v>0</v>
      </c>
    </row>
    <row r="2417" spans="1:14" x14ac:dyDescent="0.25">
      <c r="A2417">
        <v>1694.374808</v>
      </c>
      <c r="B2417" s="1">
        <f>DATE(2014,12,20) + TIME(8,59,43)</f>
        <v>41993.374803240738</v>
      </c>
      <c r="C2417">
        <v>80</v>
      </c>
      <c r="D2417">
        <v>76.054527282999999</v>
      </c>
      <c r="E2417">
        <v>50</v>
      </c>
      <c r="F2417">
        <v>49.978717803999999</v>
      </c>
      <c r="G2417">
        <v>1300.9919434000001</v>
      </c>
      <c r="H2417">
        <v>1287.6217041</v>
      </c>
      <c r="I2417">
        <v>1393.9699707</v>
      </c>
      <c r="J2417">
        <v>1374.6649170000001</v>
      </c>
      <c r="K2417">
        <v>0</v>
      </c>
      <c r="L2417">
        <v>2400</v>
      </c>
      <c r="M2417">
        <v>2400</v>
      </c>
      <c r="N2417">
        <v>0</v>
      </c>
    </row>
    <row r="2418" spans="1:14" x14ac:dyDescent="0.25">
      <c r="A2418">
        <v>1696.118477</v>
      </c>
      <c r="B2418" s="1">
        <f>DATE(2014,12,22) + TIME(2,50,36)</f>
        <v>41995.118472222224</v>
      </c>
      <c r="C2418">
        <v>80</v>
      </c>
      <c r="D2418">
        <v>75.954322814999998</v>
      </c>
      <c r="E2418">
        <v>50</v>
      </c>
      <c r="F2418">
        <v>49.978733063</v>
      </c>
      <c r="G2418">
        <v>1300.8706055</v>
      </c>
      <c r="H2418">
        <v>1287.4522704999999</v>
      </c>
      <c r="I2418">
        <v>1393.9436035000001</v>
      </c>
      <c r="J2418">
        <v>1374.6436768000001</v>
      </c>
      <c r="K2418">
        <v>0</v>
      </c>
      <c r="L2418">
        <v>2400</v>
      </c>
      <c r="M2418">
        <v>2400</v>
      </c>
      <c r="N2418">
        <v>0</v>
      </c>
    </row>
    <row r="2419" spans="1:14" x14ac:dyDescent="0.25">
      <c r="A2419">
        <v>1697.9122649999999</v>
      </c>
      <c r="B2419" s="1">
        <f>DATE(2014,12,23) + TIME(21,53,39)</f>
        <v>41996.912256944444</v>
      </c>
      <c r="C2419">
        <v>80</v>
      </c>
      <c r="D2419">
        <v>75.852439880000006</v>
      </c>
      <c r="E2419">
        <v>50</v>
      </c>
      <c r="F2419">
        <v>49.978748322000001</v>
      </c>
      <c r="G2419">
        <v>1300.7446289</v>
      </c>
      <c r="H2419">
        <v>1287.276001</v>
      </c>
      <c r="I2419">
        <v>1393.9173584</v>
      </c>
      <c r="J2419">
        <v>1374.6223144999999</v>
      </c>
      <c r="K2419">
        <v>0</v>
      </c>
      <c r="L2419">
        <v>2400</v>
      </c>
      <c r="M2419">
        <v>2400</v>
      </c>
      <c r="N2419">
        <v>0</v>
      </c>
    </row>
    <row r="2420" spans="1:14" x14ac:dyDescent="0.25">
      <c r="A2420">
        <v>1699.7605900000001</v>
      </c>
      <c r="B2420" s="1">
        <f>DATE(2014,12,25) + TIME(18,15,15)</f>
        <v>41998.76059027778</v>
      </c>
      <c r="C2420">
        <v>80</v>
      </c>
      <c r="D2420">
        <v>75.748649596999996</v>
      </c>
      <c r="E2420">
        <v>50</v>
      </c>
      <c r="F2420">
        <v>49.978767394999998</v>
      </c>
      <c r="G2420">
        <v>1300.6136475000001</v>
      </c>
      <c r="H2420">
        <v>1287.0922852000001</v>
      </c>
      <c r="I2420">
        <v>1393.8912353999999</v>
      </c>
      <c r="J2420">
        <v>1374.6008300999999</v>
      </c>
      <c r="K2420">
        <v>0</v>
      </c>
      <c r="L2420">
        <v>2400</v>
      </c>
      <c r="M2420">
        <v>2400</v>
      </c>
      <c r="N2420">
        <v>0</v>
      </c>
    </row>
    <row r="2421" spans="1:14" x14ac:dyDescent="0.25">
      <c r="A2421">
        <v>1701.668005</v>
      </c>
      <c r="B2421" s="1">
        <f>DATE(2014,12,27) + TIME(16,1,55)</f>
        <v>42000.667997685188</v>
      </c>
      <c r="C2421">
        <v>80</v>
      </c>
      <c r="D2421">
        <v>75.642684936999999</v>
      </c>
      <c r="E2421">
        <v>50</v>
      </c>
      <c r="F2421">
        <v>49.978786468999999</v>
      </c>
      <c r="G2421">
        <v>1300.4774170000001</v>
      </c>
      <c r="H2421">
        <v>1286.9006348</v>
      </c>
      <c r="I2421">
        <v>1393.8649902</v>
      </c>
      <c r="J2421">
        <v>1374.5791016000001</v>
      </c>
      <c r="K2421">
        <v>0</v>
      </c>
      <c r="L2421">
        <v>2400</v>
      </c>
      <c r="M2421">
        <v>2400</v>
      </c>
      <c r="N2421">
        <v>0</v>
      </c>
    </row>
    <row r="2422" spans="1:14" x14ac:dyDescent="0.25">
      <c r="A2422">
        <v>1703.6394789999999</v>
      </c>
      <c r="B2422" s="1">
        <f>DATE(2014,12,29) + TIME(15,20,50)</f>
        <v>42002.639467592591</v>
      </c>
      <c r="C2422">
        <v>80</v>
      </c>
      <c r="D2422">
        <v>75.534286499000004</v>
      </c>
      <c r="E2422">
        <v>50</v>
      </c>
      <c r="F2422">
        <v>49.978805542000003</v>
      </c>
      <c r="G2422">
        <v>1300.3355713000001</v>
      </c>
      <c r="H2422">
        <v>1286.7005615</v>
      </c>
      <c r="I2422">
        <v>1393.8387451000001</v>
      </c>
      <c r="J2422">
        <v>1374.557251</v>
      </c>
      <c r="K2422">
        <v>0</v>
      </c>
      <c r="L2422">
        <v>2400</v>
      </c>
      <c r="M2422">
        <v>2400</v>
      </c>
      <c r="N2422">
        <v>0</v>
      </c>
    </row>
    <row r="2423" spans="1:14" x14ac:dyDescent="0.25">
      <c r="A2423">
        <v>1705.6803190000001</v>
      </c>
      <c r="B2423" s="1">
        <f>DATE(2014,12,31) + TIME(16,19,39)</f>
        <v>42004.680312500001</v>
      </c>
      <c r="C2423">
        <v>80</v>
      </c>
      <c r="D2423">
        <v>75.423171996999997</v>
      </c>
      <c r="E2423">
        <v>50</v>
      </c>
      <c r="F2423">
        <v>49.978824615000001</v>
      </c>
      <c r="G2423">
        <v>1300.1876221</v>
      </c>
      <c r="H2423">
        <v>1286.4914550999999</v>
      </c>
      <c r="I2423">
        <v>1393.8123779</v>
      </c>
      <c r="J2423">
        <v>1374.5352783000001</v>
      </c>
      <c r="K2423">
        <v>0</v>
      </c>
      <c r="L2423">
        <v>2400</v>
      </c>
      <c r="M2423">
        <v>2400</v>
      </c>
      <c r="N2423">
        <v>0</v>
      </c>
    </row>
    <row r="2424" spans="1:14" x14ac:dyDescent="0.25">
      <c r="A2424">
        <v>1706</v>
      </c>
      <c r="B2424" s="1">
        <f>DATE(2015,1,1) + TIME(0,0,0)</f>
        <v>42005</v>
      </c>
      <c r="C2424">
        <v>80</v>
      </c>
      <c r="D2424">
        <v>75.377182007000002</v>
      </c>
      <c r="E2424">
        <v>50</v>
      </c>
      <c r="F2424">
        <v>49.978813170999999</v>
      </c>
      <c r="G2424">
        <v>1300.0715332</v>
      </c>
      <c r="H2424">
        <v>1286.3341064000001</v>
      </c>
      <c r="I2424">
        <v>1393.7921143000001</v>
      </c>
      <c r="J2424">
        <v>1374.5187988</v>
      </c>
      <c r="K2424">
        <v>0</v>
      </c>
      <c r="L2424">
        <v>2400</v>
      </c>
      <c r="M2424">
        <v>2400</v>
      </c>
      <c r="N2424">
        <v>0</v>
      </c>
    </row>
    <row r="2425" spans="1:14" x14ac:dyDescent="0.25">
      <c r="A2425">
        <v>1708.098958</v>
      </c>
      <c r="B2425" s="1">
        <f>DATE(2015,1,3) + TIME(2,22,29)</f>
        <v>42007.098946759259</v>
      </c>
      <c r="C2425">
        <v>80</v>
      </c>
      <c r="D2425">
        <v>75.283912658999995</v>
      </c>
      <c r="E2425">
        <v>50</v>
      </c>
      <c r="F2425">
        <v>49.978847504000001</v>
      </c>
      <c r="G2425">
        <v>1300.0019531</v>
      </c>
      <c r="H2425">
        <v>1286.2260742000001</v>
      </c>
      <c r="I2425">
        <v>1393.7808838000001</v>
      </c>
      <c r="J2425">
        <v>1374.5087891000001</v>
      </c>
      <c r="K2425">
        <v>0</v>
      </c>
      <c r="L2425">
        <v>2400</v>
      </c>
      <c r="M2425">
        <v>2400</v>
      </c>
      <c r="N2425">
        <v>0</v>
      </c>
    </row>
    <row r="2426" spans="1:14" x14ac:dyDescent="0.25">
      <c r="A2426">
        <v>1710.259646</v>
      </c>
      <c r="B2426" s="1">
        <f>DATE(2015,1,5) + TIME(6,13,53)</f>
        <v>42009.259641203702</v>
      </c>
      <c r="C2426">
        <v>80</v>
      </c>
      <c r="D2426">
        <v>75.173171996999997</v>
      </c>
      <c r="E2426">
        <v>50</v>
      </c>
      <c r="F2426">
        <v>49.978870391999997</v>
      </c>
      <c r="G2426">
        <v>1299.8468018000001</v>
      </c>
      <c r="H2426">
        <v>1286.0075684000001</v>
      </c>
      <c r="I2426">
        <v>1393.7551269999999</v>
      </c>
      <c r="J2426">
        <v>1374.4869385</v>
      </c>
      <c r="K2426">
        <v>0</v>
      </c>
      <c r="L2426">
        <v>2400</v>
      </c>
      <c r="M2426">
        <v>2400</v>
      </c>
      <c r="N2426">
        <v>0</v>
      </c>
    </row>
    <row r="2427" spans="1:14" x14ac:dyDescent="0.25">
      <c r="A2427">
        <v>1712.478494</v>
      </c>
      <c r="B2427" s="1">
        <f>DATE(2015,1,7) + TIME(11,29,1)</f>
        <v>42011.478483796294</v>
      </c>
      <c r="C2427">
        <v>80</v>
      </c>
      <c r="D2427">
        <v>75.055732727000006</v>
      </c>
      <c r="E2427">
        <v>50</v>
      </c>
      <c r="F2427">
        <v>49.978889465000002</v>
      </c>
      <c r="G2427">
        <v>1299.6816406</v>
      </c>
      <c r="H2427">
        <v>1285.7734375</v>
      </c>
      <c r="I2427">
        <v>1393.7286377</v>
      </c>
      <c r="J2427">
        <v>1374.4644774999999</v>
      </c>
      <c r="K2427">
        <v>0</v>
      </c>
      <c r="L2427">
        <v>2400</v>
      </c>
      <c r="M2427">
        <v>2400</v>
      </c>
      <c r="N2427">
        <v>0</v>
      </c>
    </row>
    <row r="2428" spans="1:14" x14ac:dyDescent="0.25">
      <c r="A2428">
        <v>1714.757278</v>
      </c>
      <c r="B2428" s="1">
        <f>DATE(2015,1,9) + TIME(18,10,28)</f>
        <v>42013.757268518515</v>
      </c>
      <c r="C2428">
        <v>80</v>
      </c>
      <c r="D2428">
        <v>74.934600829999994</v>
      </c>
      <c r="E2428">
        <v>50</v>
      </c>
      <c r="F2428">
        <v>49.978912354000002</v>
      </c>
      <c r="G2428">
        <v>1299.5100098</v>
      </c>
      <c r="H2428">
        <v>1285.5291748</v>
      </c>
      <c r="I2428">
        <v>1393.7021483999999</v>
      </c>
      <c r="J2428">
        <v>1374.4416504000001</v>
      </c>
      <c r="K2428">
        <v>0</v>
      </c>
      <c r="L2428">
        <v>2400</v>
      </c>
      <c r="M2428">
        <v>2400</v>
      </c>
      <c r="N2428">
        <v>0</v>
      </c>
    </row>
    <row r="2429" spans="1:14" x14ac:dyDescent="0.25">
      <c r="A2429">
        <v>1717.0966289999999</v>
      </c>
      <c r="B2429" s="1">
        <f>DATE(2015,1,12) + TIME(2,19,8)</f>
        <v>42016.096620370372</v>
      </c>
      <c r="C2429">
        <v>80</v>
      </c>
      <c r="D2429">
        <v>74.810447693</v>
      </c>
      <c r="E2429">
        <v>50</v>
      </c>
      <c r="F2429">
        <v>49.978935241999999</v>
      </c>
      <c r="G2429">
        <v>1299.3323975000001</v>
      </c>
      <c r="H2429">
        <v>1285.2758789</v>
      </c>
      <c r="I2429">
        <v>1393.6755370999999</v>
      </c>
      <c r="J2429">
        <v>1374.4188231999999</v>
      </c>
      <c r="K2429">
        <v>0</v>
      </c>
      <c r="L2429">
        <v>2400</v>
      </c>
      <c r="M2429">
        <v>2400</v>
      </c>
      <c r="N2429">
        <v>0</v>
      </c>
    </row>
    <row r="2430" spans="1:14" x14ac:dyDescent="0.25">
      <c r="A2430">
        <v>1719.501117</v>
      </c>
      <c r="B2430" s="1">
        <f>DATE(2015,1,14) + TIME(12,1,36)</f>
        <v>42018.501111111109</v>
      </c>
      <c r="C2430">
        <v>80</v>
      </c>
      <c r="D2430">
        <v>74.683334350999999</v>
      </c>
      <c r="E2430">
        <v>50</v>
      </c>
      <c r="F2430">
        <v>49.978961945000002</v>
      </c>
      <c r="G2430">
        <v>1299.1486815999999</v>
      </c>
      <c r="H2430">
        <v>1285.0134277</v>
      </c>
      <c r="I2430">
        <v>1393.6489257999999</v>
      </c>
      <c r="J2430">
        <v>1374.3957519999999</v>
      </c>
      <c r="K2430">
        <v>0</v>
      </c>
      <c r="L2430">
        <v>2400</v>
      </c>
      <c r="M2430">
        <v>2400</v>
      </c>
      <c r="N2430">
        <v>0</v>
      </c>
    </row>
    <row r="2431" spans="1:14" x14ac:dyDescent="0.25">
      <c r="A2431">
        <v>1721.965784</v>
      </c>
      <c r="B2431" s="1">
        <f>DATE(2015,1,16) + TIME(23,10,43)</f>
        <v>42020.965775462966</v>
      </c>
      <c r="C2431">
        <v>80</v>
      </c>
      <c r="D2431">
        <v>74.553131104000002</v>
      </c>
      <c r="E2431">
        <v>50</v>
      </c>
      <c r="F2431">
        <v>49.978984832999998</v>
      </c>
      <c r="G2431">
        <v>1298.9587402</v>
      </c>
      <c r="H2431">
        <v>1284.7419434000001</v>
      </c>
      <c r="I2431">
        <v>1393.6221923999999</v>
      </c>
      <c r="J2431">
        <v>1374.3724365</v>
      </c>
      <c r="K2431">
        <v>0</v>
      </c>
      <c r="L2431">
        <v>2400</v>
      </c>
      <c r="M2431">
        <v>2400</v>
      </c>
      <c r="N2431">
        <v>0</v>
      </c>
    </row>
    <row r="2432" spans="1:14" x14ac:dyDescent="0.25">
      <c r="A2432">
        <v>1724.479701</v>
      </c>
      <c r="B2432" s="1">
        <f>DATE(2015,1,19) + TIME(11,30,46)</f>
        <v>42023.479699074072</v>
      </c>
      <c r="C2432">
        <v>80</v>
      </c>
      <c r="D2432">
        <v>74.419998168999996</v>
      </c>
      <c r="E2432">
        <v>50</v>
      </c>
      <c r="F2432">
        <v>49.979011536000002</v>
      </c>
      <c r="G2432">
        <v>1298.7630615</v>
      </c>
      <c r="H2432">
        <v>1284.4617920000001</v>
      </c>
      <c r="I2432">
        <v>1393.5954589999999</v>
      </c>
      <c r="J2432">
        <v>1374.348999</v>
      </c>
      <c r="K2432">
        <v>0</v>
      </c>
      <c r="L2432">
        <v>2400</v>
      </c>
      <c r="M2432">
        <v>2400</v>
      </c>
      <c r="N2432">
        <v>0</v>
      </c>
    </row>
    <row r="2433" spans="1:14" x14ac:dyDescent="0.25">
      <c r="A2433">
        <v>1727.049049</v>
      </c>
      <c r="B2433" s="1">
        <f>DATE(2015,1,22) + TIME(1,10,37)</f>
        <v>42026.049039351848</v>
      </c>
      <c r="C2433">
        <v>80</v>
      </c>
      <c r="D2433">
        <v>74.284080505000006</v>
      </c>
      <c r="E2433">
        <v>50</v>
      </c>
      <c r="F2433">
        <v>49.979038238999998</v>
      </c>
      <c r="G2433">
        <v>1298.5622559000001</v>
      </c>
      <c r="H2433">
        <v>1284.1738281</v>
      </c>
      <c r="I2433">
        <v>1393.5688477000001</v>
      </c>
      <c r="J2433">
        <v>1374.3254394999999</v>
      </c>
      <c r="K2433">
        <v>0</v>
      </c>
      <c r="L2433">
        <v>2400</v>
      </c>
      <c r="M2433">
        <v>2400</v>
      </c>
      <c r="N2433">
        <v>0</v>
      </c>
    </row>
    <row r="2434" spans="1:14" x14ac:dyDescent="0.25">
      <c r="A2434">
        <v>1729.679038</v>
      </c>
      <c r="B2434" s="1">
        <f>DATE(2015,1,24) + TIME(16,17,48)</f>
        <v>42028.679027777776</v>
      </c>
      <c r="C2434">
        <v>80</v>
      </c>
      <c r="D2434">
        <v>74.145034789999997</v>
      </c>
      <c r="E2434">
        <v>50</v>
      </c>
      <c r="F2434">
        <v>49.979064940999997</v>
      </c>
      <c r="G2434">
        <v>1298.3560791</v>
      </c>
      <c r="H2434">
        <v>1283.8778076000001</v>
      </c>
      <c r="I2434">
        <v>1393.5421143000001</v>
      </c>
      <c r="J2434">
        <v>1374.3017577999999</v>
      </c>
      <c r="K2434">
        <v>0</v>
      </c>
      <c r="L2434">
        <v>2400</v>
      </c>
      <c r="M2434">
        <v>2400</v>
      </c>
      <c r="N2434">
        <v>0</v>
      </c>
    </row>
    <row r="2435" spans="1:14" x14ac:dyDescent="0.25">
      <c r="A2435">
        <v>1732.363022</v>
      </c>
      <c r="B2435" s="1">
        <f>DATE(2015,1,27) + TIME(8,42,45)</f>
        <v>42031.363020833334</v>
      </c>
      <c r="C2435">
        <v>80</v>
      </c>
      <c r="D2435">
        <v>74.002548218000001</v>
      </c>
      <c r="E2435">
        <v>50</v>
      </c>
      <c r="F2435">
        <v>49.979091644</v>
      </c>
      <c r="G2435">
        <v>1298.1441649999999</v>
      </c>
      <c r="H2435">
        <v>1283.5733643000001</v>
      </c>
      <c r="I2435">
        <v>1393.5153809000001</v>
      </c>
      <c r="J2435">
        <v>1374.2779541</v>
      </c>
      <c r="K2435">
        <v>0</v>
      </c>
      <c r="L2435">
        <v>2400</v>
      </c>
      <c r="M2435">
        <v>2400</v>
      </c>
      <c r="N2435">
        <v>0</v>
      </c>
    </row>
    <row r="2436" spans="1:14" x14ac:dyDescent="0.25">
      <c r="A2436">
        <v>1735.101985</v>
      </c>
      <c r="B2436" s="1">
        <f>DATE(2015,1,30) + TIME(2,26,51)</f>
        <v>42034.101979166669</v>
      </c>
      <c r="C2436">
        <v>80</v>
      </c>
      <c r="D2436">
        <v>73.856582642000006</v>
      </c>
      <c r="E2436">
        <v>50</v>
      </c>
      <c r="F2436">
        <v>49.979118346999996</v>
      </c>
      <c r="G2436">
        <v>1297.9268798999999</v>
      </c>
      <c r="H2436">
        <v>1283.2608643000001</v>
      </c>
      <c r="I2436">
        <v>1393.4885254000001</v>
      </c>
      <c r="J2436">
        <v>1374.2540283000001</v>
      </c>
      <c r="K2436">
        <v>0</v>
      </c>
      <c r="L2436">
        <v>2400</v>
      </c>
      <c r="M2436">
        <v>2400</v>
      </c>
      <c r="N2436">
        <v>0</v>
      </c>
    </row>
    <row r="2437" spans="1:14" x14ac:dyDescent="0.25">
      <c r="A2437">
        <v>1737</v>
      </c>
      <c r="B2437" s="1">
        <f>DATE(2015,2,1) + TIME(0,0,0)</f>
        <v>42036</v>
      </c>
      <c r="C2437">
        <v>80</v>
      </c>
      <c r="D2437">
        <v>73.720207213999998</v>
      </c>
      <c r="E2437">
        <v>50</v>
      </c>
      <c r="F2437">
        <v>49.979133605999998</v>
      </c>
      <c r="G2437">
        <v>1297.7124022999999</v>
      </c>
      <c r="H2437">
        <v>1282.9544678</v>
      </c>
      <c r="I2437">
        <v>1393.4628906</v>
      </c>
      <c r="J2437">
        <v>1374.2310791</v>
      </c>
      <c r="K2437">
        <v>0</v>
      </c>
      <c r="L2437">
        <v>2400</v>
      </c>
      <c r="M2437">
        <v>2400</v>
      </c>
      <c r="N2437">
        <v>0</v>
      </c>
    </row>
    <row r="2438" spans="1:14" x14ac:dyDescent="0.25">
      <c r="A2438">
        <v>1739.802469</v>
      </c>
      <c r="B2438" s="1">
        <f>DATE(2015,2,3) + TIME(19,15,33)</f>
        <v>42038.802465277775</v>
      </c>
      <c r="C2438">
        <v>80</v>
      </c>
      <c r="D2438">
        <v>73.595573424999998</v>
      </c>
      <c r="E2438">
        <v>50</v>
      </c>
      <c r="F2438">
        <v>49.979167938000003</v>
      </c>
      <c r="G2438">
        <v>1297.541626</v>
      </c>
      <c r="H2438">
        <v>1282.7020264</v>
      </c>
      <c r="I2438">
        <v>1393.4429932</v>
      </c>
      <c r="J2438">
        <v>1374.2128906</v>
      </c>
      <c r="K2438">
        <v>0</v>
      </c>
      <c r="L2438">
        <v>2400</v>
      </c>
      <c r="M2438">
        <v>2400</v>
      </c>
      <c r="N2438">
        <v>0</v>
      </c>
    </row>
    <row r="2439" spans="1:14" x14ac:dyDescent="0.25">
      <c r="A2439">
        <v>1742.720505</v>
      </c>
      <c r="B2439" s="1">
        <f>DATE(2015,2,6) + TIME(17,17,31)</f>
        <v>42041.720497685186</v>
      </c>
      <c r="C2439">
        <v>80</v>
      </c>
      <c r="D2439">
        <v>73.445808411000002</v>
      </c>
      <c r="E2439">
        <v>50</v>
      </c>
      <c r="F2439">
        <v>49.979198455999999</v>
      </c>
      <c r="G2439">
        <v>1297.317749</v>
      </c>
      <c r="H2439">
        <v>1282.3820800999999</v>
      </c>
      <c r="I2439">
        <v>1393.416626</v>
      </c>
      <c r="J2439">
        <v>1374.1889647999999</v>
      </c>
      <c r="K2439">
        <v>0</v>
      </c>
      <c r="L2439">
        <v>2400</v>
      </c>
      <c r="M2439">
        <v>2400</v>
      </c>
      <c r="N2439">
        <v>0</v>
      </c>
    </row>
    <row r="2440" spans="1:14" x14ac:dyDescent="0.25">
      <c r="A2440">
        <v>1745.72081</v>
      </c>
      <c r="B2440" s="1">
        <f>DATE(2015,2,9) + TIME(17,17,57)</f>
        <v>42044.72079861111</v>
      </c>
      <c r="C2440">
        <v>80</v>
      </c>
      <c r="D2440">
        <v>73.284606933999996</v>
      </c>
      <c r="E2440">
        <v>50</v>
      </c>
      <c r="F2440">
        <v>49.979225159000002</v>
      </c>
      <c r="G2440">
        <v>1297.0799560999999</v>
      </c>
      <c r="H2440">
        <v>1282.0399170000001</v>
      </c>
      <c r="I2440">
        <v>1393.3894043</v>
      </c>
      <c r="J2440">
        <v>1374.1641846</v>
      </c>
      <c r="K2440">
        <v>0</v>
      </c>
      <c r="L2440">
        <v>2400</v>
      </c>
      <c r="M2440">
        <v>2400</v>
      </c>
      <c r="N2440">
        <v>0</v>
      </c>
    </row>
    <row r="2441" spans="1:14" x14ac:dyDescent="0.25">
      <c r="A2441">
        <v>1748.807292</v>
      </c>
      <c r="B2441" s="1">
        <f>DATE(2015,2,12) + TIME(19,22,30)</f>
        <v>42047.807291666664</v>
      </c>
      <c r="C2441">
        <v>80</v>
      </c>
      <c r="D2441">
        <v>73.116188049000002</v>
      </c>
      <c r="E2441">
        <v>50</v>
      </c>
      <c r="F2441">
        <v>49.979259491000001</v>
      </c>
      <c r="G2441">
        <v>1296.8336182</v>
      </c>
      <c r="H2441">
        <v>1281.6843262</v>
      </c>
      <c r="I2441">
        <v>1393.3618164</v>
      </c>
      <c r="J2441">
        <v>1374.1390381000001</v>
      </c>
      <c r="K2441">
        <v>0</v>
      </c>
      <c r="L2441">
        <v>2400</v>
      </c>
      <c r="M2441">
        <v>2400</v>
      </c>
      <c r="N2441">
        <v>0</v>
      </c>
    </row>
    <row r="2442" spans="1:14" x14ac:dyDescent="0.25">
      <c r="A2442">
        <v>1751.987353</v>
      </c>
      <c r="B2442" s="1">
        <f>DATE(2015,2,15) + TIME(23,41,47)</f>
        <v>42050.987349537034</v>
      </c>
      <c r="C2442">
        <v>80</v>
      </c>
      <c r="D2442">
        <v>72.940719603999995</v>
      </c>
      <c r="E2442">
        <v>50</v>
      </c>
      <c r="F2442">
        <v>49.979290009000003</v>
      </c>
      <c r="G2442">
        <v>1296.5789795000001</v>
      </c>
      <c r="H2442">
        <v>1281.3162841999999</v>
      </c>
      <c r="I2442">
        <v>1393.3339844</v>
      </c>
      <c r="J2442">
        <v>1374.1134033000001</v>
      </c>
      <c r="K2442">
        <v>0</v>
      </c>
      <c r="L2442">
        <v>2400</v>
      </c>
      <c r="M2442">
        <v>2400</v>
      </c>
      <c r="N2442">
        <v>0</v>
      </c>
    </row>
    <row r="2443" spans="1:14" x14ac:dyDescent="0.25">
      <c r="A2443">
        <v>1755.268748</v>
      </c>
      <c r="B2443" s="1">
        <f>DATE(2015,2,19) + TIME(6,26,59)</f>
        <v>42054.268738425926</v>
      </c>
      <c r="C2443">
        <v>80</v>
      </c>
      <c r="D2443">
        <v>72.757591247999997</v>
      </c>
      <c r="E2443">
        <v>50</v>
      </c>
      <c r="F2443">
        <v>49.979324341000002</v>
      </c>
      <c r="G2443">
        <v>1296.3157959</v>
      </c>
      <c r="H2443">
        <v>1280.9356689000001</v>
      </c>
      <c r="I2443">
        <v>1393.3055420000001</v>
      </c>
      <c r="J2443">
        <v>1374.0872803</v>
      </c>
      <c r="K2443">
        <v>0</v>
      </c>
      <c r="L2443">
        <v>2400</v>
      </c>
      <c r="M2443">
        <v>2400</v>
      </c>
      <c r="N2443">
        <v>0</v>
      </c>
    </row>
    <row r="2444" spans="1:14" x14ac:dyDescent="0.25">
      <c r="A2444">
        <v>1758.6598080000001</v>
      </c>
      <c r="B2444" s="1">
        <f>DATE(2015,2,22) + TIME(15,50,7)</f>
        <v>42057.659803240742</v>
      </c>
      <c r="C2444">
        <v>80</v>
      </c>
      <c r="D2444">
        <v>72.565864563000005</v>
      </c>
      <c r="E2444">
        <v>50</v>
      </c>
      <c r="F2444">
        <v>49.979358673</v>
      </c>
      <c r="G2444">
        <v>1296.0433350000001</v>
      </c>
      <c r="H2444">
        <v>1280.5413818</v>
      </c>
      <c r="I2444">
        <v>1393.2767334</v>
      </c>
      <c r="J2444">
        <v>1374.0605469</v>
      </c>
      <c r="K2444">
        <v>0</v>
      </c>
      <c r="L2444">
        <v>2400</v>
      </c>
      <c r="M2444">
        <v>2400</v>
      </c>
      <c r="N2444">
        <v>0</v>
      </c>
    </row>
    <row r="2445" spans="1:14" x14ac:dyDescent="0.25">
      <c r="A2445">
        <v>1762.1538350000001</v>
      </c>
      <c r="B2445" s="1">
        <f>DATE(2015,2,26) + TIME(3,41,31)</f>
        <v>42061.153831018521</v>
      </c>
      <c r="C2445">
        <v>80</v>
      </c>
      <c r="D2445">
        <v>72.364662170000003</v>
      </c>
      <c r="E2445">
        <v>50</v>
      </c>
      <c r="F2445">
        <v>49.979393004999999</v>
      </c>
      <c r="G2445">
        <v>1295.7612305</v>
      </c>
      <c r="H2445">
        <v>1280.1325684000001</v>
      </c>
      <c r="I2445">
        <v>1393.2473144999999</v>
      </c>
      <c r="J2445">
        <v>1374.0332031</v>
      </c>
      <c r="K2445">
        <v>0</v>
      </c>
      <c r="L2445">
        <v>2400</v>
      </c>
      <c r="M2445">
        <v>2400</v>
      </c>
      <c r="N2445">
        <v>0</v>
      </c>
    </row>
    <row r="2446" spans="1:14" x14ac:dyDescent="0.25">
      <c r="A2446">
        <v>1765</v>
      </c>
      <c r="B2446" s="1">
        <f>DATE(2015,3,1) + TIME(0,0,0)</f>
        <v>42064</v>
      </c>
      <c r="C2446">
        <v>80</v>
      </c>
      <c r="D2446">
        <v>72.162132263000004</v>
      </c>
      <c r="E2446">
        <v>50</v>
      </c>
      <c r="F2446">
        <v>49.979419708000002</v>
      </c>
      <c r="G2446">
        <v>1295.4747314000001</v>
      </c>
      <c r="H2446">
        <v>1279.7188721</v>
      </c>
      <c r="I2446">
        <v>1393.2183838000001</v>
      </c>
      <c r="J2446">
        <v>1374.0062256000001</v>
      </c>
      <c r="K2446">
        <v>0</v>
      </c>
      <c r="L2446">
        <v>2400</v>
      </c>
      <c r="M2446">
        <v>2400</v>
      </c>
      <c r="N2446">
        <v>0</v>
      </c>
    </row>
    <row r="2447" spans="1:14" x14ac:dyDescent="0.25">
      <c r="A2447">
        <v>1768.5826509999999</v>
      </c>
      <c r="B2447" s="1">
        <f>DATE(2015,3,4) + TIME(13,59,1)</f>
        <v>42067.582650462966</v>
      </c>
      <c r="C2447">
        <v>80</v>
      </c>
      <c r="D2447">
        <v>71.972885132000002</v>
      </c>
      <c r="E2447">
        <v>50</v>
      </c>
      <c r="F2447">
        <v>49.979457855</v>
      </c>
      <c r="G2447">
        <v>1295.2253418</v>
      </c>
      <c r="H2447">
        <v>1279.3510742000001</v>
      </c>
      <c r="I2447">
        <v>1393.1928711</v>
      </c>
      <c r="J2447">
        <v>1373.9822998</v>
      </c>
      <c r="K2447">
        <v>0</v>
      </c>
      <c r="L2447">
        <v>2400</v>
      </c>
      <c r="M2447">
        <v>2400</v>
      </c>
      <c r="N2447">
        <v>0</v>
      </c>
    </row>
    <row r="2448" spans="1:14" x14ac:dyDescent="0.25">
      <c r="A2448">
        <v>1772.339921</v>
      </c>
      <c r="B2448" s="1">
        <f>DATE(2015,3,8) + TIME(8,9,29)</f>
        <v>42071.339918981481</v>
      </c>
      <c r="C2448">
        <v>80</v>
      </c>
      <c r="D2448">
        <v>71.752098083000007</v>
      </c>
      <c r="E2448">
        <v>50</v>
      </c>
      <c r="F2448">
        <v>49.979492188000002</v>
      </c>
      <c r="G2448">
        <v>1294.9289550999999</v>
      </c>
      <c r="H2448">
        <v>1278.9229736</v>
      </c>
      <c r="I2448">
        <v>1393.1630858999999</v>
      </c>
      <c r="J2448">
        <v>1373.9542236</v>
      </c>
      <c r="K2448">
        <v>0</v>
      </c>
      <c r="L2448">
        <v>2400</v>
      </c>
      <c r="M2448">
        <v>2400</v>
      </c>
      <c r="N2448">
        <v>0</v>
      </c>
    </row>
    <row r="2449" spans="1:14" x14ac:dyDescent="0.25">
      <c r="A2449">
        <v>1776.215512</v>
      </c>
      <c r="B2449" s="1">
        <f>DATE(2015,3,12) + TIME(5,10,20)</f>
        <v>42075.215509259258</v>
      </c>
      <c r="C2449">
        <v>80</v>
      </c>
      <c r="D2449">
        <v>71.512275696000003</v>
      </c>
      <c r="E2449">
        <v>50</v>
      </c>
      <c r="F2449">
        <v>49.979530334000003</v>
      </c>
      <c r="G2449">
        <v>1294.6148682</v>
      </c>
      <c r="H2449">
        <v>1278.4667969</v>
      </c>
      <c r="I2449">
        <v>1393.1319579999999</v>
      </c>
      <c r="J2449">
        <v>1373.9249268000001</v>
      </c>
      <c r="K2449">
        <v>0</v>
      </c>
      <c r="L2449">
        <v>2400</v>
      </c>
      <c r="M2449">
        <v>2400</v>
      </c>
      <c r="N2449">
        <v>0</v>
      </c>
    </row>
    <row r="2450" spans="1:14" x14ac:dyDescent="0.25">
      <c r="A2450">
        <v>1780.213391</v>
      </c>
      <c r="B2450" s="1">
        <f>DATE(2015,3,16) + TIME(5,7,17)</f>
        <v>42079.213391203702</v>
      </c>
      <c r="C2450">
        <v>80</v>
      </c>
      <c r="D2450">
        <v>71.257858275999993</v>
      </c>
      <c r="E2450">
        <v>50</v>
      </c>
      <c r="F2450">
        <v>49.979568481000001</v>
      </c>
      <c r="G2450">
        <v>1294.2889404</v>
      </c>
      <c r="H2450">
        <v>1277.9921875</v>
      </c>
      <c r="I2450">
        <v>1393.1000977000001</v>
      </c>
      <c r="J2450">
        <v>1373.8947754000001</v>
      </c>
      <c r="K2450">
        <v>0</v>
      </c>
      <c r="L2450">
        <v>2400</v>
      </c>
      <c r="M2450">
        <v>2400</v>
      </c>
      <c r="N2450">
        <v>0</v>
      </c>
    </row>
    <row r="2451" spans="1:14" x14ac:dyDescent="0.25">
      <c r="A2451">
        <v>1784.3367040000001</v>
      </c>
      <c r="B2451" s="1">
        <f>DATE(2015,3,20) + TIME(8,4,51)</f>
        <v>42083.336701388886</v>
      </c>
      <c r="C2451">
        <v>80</v>
      </c>
      <c r="D2451">
        <v>70.988273621000005</v>
      </c>
      <c r="E2451">
        <v>50</v>
      </c>
      <c r="F2451">
        <v>49.979610442999999</v>
      </c>
      <c r="G2451">
        <v>1293.9521483999999</v>
      </c>
      <c r="H2451">
        <v>1277.5007324000001</v>
      </c>
      <c r="I2451">
        <v>1393.0675048999999</v>
      </c>
      <c r="J2451">
        <v>1373.8638916</v>
      </c>
      <c r="K2451">
        <v>0</v>
      </c>
      <c r="L2451">
        <v>2400</v>
      </c>
      <c r="M2451">
        <v>2400</v>
      </c>
      <c r="N2451">
        <v>0</v>
      </c>
    </row>
    <row r="2452" spans="1:14" x14ac:dyDescent="0.25">
      <c r="A2452">
        <v>1788.5572979999999</v>
      </c>
      <c r="B2452" s="1">
        <f>DATE(2015,3,24) + TIME(13,22,30)</f>
        <v>42087.557291666664</v>
      </c>
      <c r="C2452">
        <v>80</v>
      </c>
      <c r="D2452">
        <v>70.702835082999997</v>
      </c>
      <c r="E2452">
        <v>50</v>
      </c>
      <c r="F2452">
        <v>49.979648589999996</v>
      </c>
      <c r="G2452">
        <v>1293.6042480000001</v>
      </c>
      <c r="H2452">
        <v>1276.9925536999999</v>
      </c>
      <c r="I2452">
        <v>1393.0341797000001</v>
      </c>
      <c r="J2452">
        <v>1373.8321533000001</v>
      </c>
      <c r="K2452">
        <v>0</v>
      </c>
      <c r="L2452">
        <v>2400</v>
      </c>
      <c r="M2452">
        <v>2400</v>
      </c>
      <c r="N2452">
        <v>0</v>
      </c>
    </row>
    <row r="2453" spans="1:14" x14ac:dyDescent="0.25">
      <c r="A2453">
        <v>1792.8897059999999</v>
      </c>
      <c r="B2453" s="1">
        <f>DATE(2015,3,28) + TIME(21,21,10)</f>
        <v>42091.889699074076</v>
      </c>
      <c r="C2453">
        <v>80</v>
      </c>
      <c r="D2453">
        <v>70.401679993000002</v>
      </c>
      <c r="E2453">
        <v>50</v>
      </c>
      <c r="F2453">
        <v>49.979690552000001</v>
      </c>
      <c r="G2453">
        <v>1293.2475586</v>
      </c>
      <c r="H2453">
        <v>1276.4704589999999</v>
      </c>
      <c r="I2453">
        <v>1393.0002440999999</v>
      </c>
      <c r="J2453">
        <v>1373.7998047000001</v>
      </c>
      <c r="K2453">
        <v>0</v>
      </c>
      <c r="L2453">
        <v>2400</v>
      </c>
      <c r="M2453">
        <v>2400</v>
      </c>
      <c r="N2453">
        <v>0</v>
      </c>
    </row>
    <row r="2454" spans="1:14" x14ac:dyDescent="0.25">
      <c r="A2454">
        <v>1796</v>
      </c>
      <c r="B2454" s="1">
        <f>DATE(2015,4,1) + TIME(0,0,0)</f>
        <v>42095</v>
      </c>
      <c r="C2454">
        <v>80</v>
      </c>
      <c r="D2454">
        <v>70.100700377999999</v>
      </c>
      <c r="E2454">
        <v>50</v>
      </c>
      <c r="F2454">
        <v>49.979717254999997</v>
      </c>
      <c r="G2454">
        <v>1292.8894043</v>
      </c>
      <c r="H2454">
        <v>1275.9490966999999</v>
      </c>
      <c r="I2454">
        <v>1392.9677733999999</v>
      </c>
      <c r="J2454">
        <v>1373.7686768000001</v>
      </c>
      <c r="K2454">
        <v>0</v>
      </c>
      <c r="L2454">
        <v>2400</v>
      </c>
      <c r="M2454">
        <v>2400</v>
      </c>
      <c r="N245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2022-07-20T06:39:06Z</dcterms:created>
  <dcterms:modified xsi:type="dcterms:W3CDTF">2022-07-20T06:39:31Z</dcterms:modified>
</cp:coreProperties>
</file>