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nbv-my.sharepoint.com/personal/toon_griendt-van-de_ebn_nl/Documents/Documents/CMG MODEL/SCENARIOS/2022/Parameterstudy_kh_kv/"/>
    </mc:Choice>
  </mc:AlternateContent>
  <xr:revisionPtr revIDLastSave="0" documentId="8_{6CFC653F-090F-4446-9BF1-1EB3550373BC}" xr6:coauthVersionLast="47" xr6:coauthVersionMax="47" xr10:uidLastSave="{00000000-0000-0000-0000-000000000000}"/>
  <bookViews>
    <workbookView xWindow="-26220" yWindow="2580" windowWidth="15375" windowHeight="7875" xr2:uid="{6B42BD56-C46C-45DB-869C-EC2E88A1B005}"/>
  </bookViews>
  <sheets>
    <sheet name="Plo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73" i="1" l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<sst xmlns="http://schemas.openxmlformats.org/spreadsheetml/2006/main" count="15" uniqueCount="15">
  <si>
    <t>C:\Users\924224\OneDrive - EBN BV\Documents\CMG MODEL\SCENARIOS\2022\Parameterstudy_kh_kv\kh10_kv5.sr3</t>
  </si>
  <si>
    <t>Time (day)</t>
  </si>
  <si>
    <t>Date</t>
  </si>
  <si>
    <t>Hot well INJ-Well bottom hole temperature (C)</t>
  </si>
  <si>
    <t>Hot well PROD-Well bottom hole temperature (C)</t>
  </si>
  <si>
    <t>Warm well INJ-Well bottom hole temperature (C)</t>
  </si>
  <si>
    <t>Warm well PROD-Well bottom hole temperature (C)</t>
  </si>
  <si>
    <t>Hot well INJ-Well Bottom-hole Pressure (kPa)</t>
  </si>
  <si>
    <t>Hot well PROD-Well Bottom-hole Pressure (kPa)</t>
  </si>
  <si>
    <t>Warm well INJ-Well Bottom-hole Pressure (kPa)</t>
  </si>
  <si>
    <t>Warm well PROD-Well Bottom-hole Pressure (kPa)</t>
  </si>
  <si>
    <t>Hot well INJ-Fluid Rate SC (m³/day)</t>
  </si>
  <si>
    <t>Hot well PROD-Fluid Rate SC (m³/day)</t>
  </si>
  <si>
    <t>Warm well INJ-Fluid Rate SC (m³/day)</t>
  </si>
  <si>
    <t>Warm well PROD-Fluid Rate SC (m³/day)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</si>
</sst>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y\y\y\y\-mmm/dd\ \h\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/dd\ \h\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C6E1BD-B2B3-4894-87E3-933D7A4A67C5}" name="Table1" displayName="Table1" ref="A3:N2273" totalsRowShown="0">
  <autoFilter ref="A3:N2273" xr:uid="{E3C6E1BD-B2B3-4894-87E3-933D7A4A67C5}"/>
  <tableColumns count="14">
    <tableColumn id="1" xr3:uid="{A008B8D1-501B-422F-8DD9-DB16EAE6EEEC}" name="Time (day)"/>
    <tableColumn id="2" xr3:uid="{3CC19312-5F89-4AC1-BF68-C74A89BF477B}" name="Date" dataDxfId="0"/>
    <tableColumn id="3" xr3:uid="{594A218A-B1EE-422A-94E0-5802AFCEF3CE}" name="Hot well INJ-Well bottom hole temperature (C)"/>
    <tableColumn id="4" xr3:uid="{C2114EC4-5144-46B0-ADFD-0C675E57BC9C}" name="Hot well PROD-Well bottom hole temperature (C)"/>
    <tableColumn id="5" xr3:uid="{D8D289A9-FD2E-449C-960F-29988C64EE95}" name="Warm well INJ-Well bottom hole temperature (C)"/>
    <tableColumn id="6" xr3:uid="{9F84B575-9E36-4096-A31B-63D7FC64018C}" name="Warm well PROD-Well bottom hole temperature (C)"/>
    <tableColumn id="7" xr3:uid="{DC747848-7EC9-49D6-8D25-A3C99787823A}" name="Hot well INJ-Well Bottom-hole Pressure (kPa)"/>
    <tableColumn id="8" xr3:uid="{F84B5283-15EA-4A5F-B5AD-3A708B3899D3}" name="Hot well PROD-Well Bottom-hole Pressure (kPa)"/>
    <tableColumn id="9" xr3:uid="{2317CACA-CE63-4EA5-B190-10C181493F0A}" name="Warm well INJ-Well Bottom-hole Pressure (kPa)"/>
    <tableColumn id="10" xr3:uid="{FF414C71-4EF6-448A-8B7F-1EC605147E90}" name="Warm well PROD-Well Bottom-hole Pressure (kPa)"/>
    <tableColumn id="11" xr3:uid="{5EFA5BE1-3A13-4E22-B6D6-D6FEA77C6F07}" name="Hot well INJ-Fluid Rate SC (m³/day)"/>
    <tableColumn id="12" xr3:uid="{12357A83-8A62-417D-A257-148F00B46CA4}" name="Hot well PROD-Fluid Rate SC (m³/day)"/>
    <tableColumn id="13" xr3:uid="{E0962755-633E-4A80-BB77-C87F7F2D1E7A}" name="Warm well INJ-Fluid Rate SC (m³/day)"/>
    <tableColumn id="14" xr3:uid="{845F23F6-762F-4751-82B1-F1317F39C867}" name="Warm well PROD-Fluid Rate SC (m³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FA32-FC64-402E-A892-9A62C61C3E6B}">
  <dimension ref="A1:N2273"/>
  <sheetViews>
    <sheetView tabSelected="1" workbookViewId="0"/>
  </sheetViews>
  <sheetFormatPr defaultRowHeight="15" x14ac:dyDescent="0.25"/>
  <cols>
    <col min="1" max="1" width="12.5703125" customWidth="1"/>
    <col min="2" max="2" width="20" bestFit="1" customWidth="1"/>
    <col min="3" max="3" width="44.85546875" customWidth="1"/>
    <col min="4" max="5" width="47.140625" customWidth="1"/>
    <col min="6" max="6" width="49.42578125" customWidth="1"/>
    <col min="7" max="7" width="43.5703125" customWidth="1"/>
    <col min="8" max="9" width="45.85546875" customWidth="1"/>
    <col min="10" max="10" width="48.140625" customWidth="1"/>
    <col min="11" max="11" width="34.140625" customWidth="1"/>
    <col min="12" max="13" width="36.42578125" customWidth="1"/>
    <col min="14" max="14" width="38.7109375" customWidth="1"/>
  </cols>
  <sheetData>
    <row r="1" spans="1:14" x14ac:dyDescent="0.25">
      <c r="A1" t="s">
        <v>0</v>
      </c>
    </row>
    <row r="3" spans="1:1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25">
      <c r="A4">
        <v>9.9999999999999995E-7</v>
      </c>
      <c r="B4" s="1">
        <f>DATE(2010,5,1) + TIME(0,0,0)</f>
        <v>40299</v>
      </c>
      <c r="C4">
        <v>80</v>
      </c>
      <c r="D4">
        <v>15.000079155</v>
      </c>
      <c r="E4">
        <v>50</v>
      </c>
      <c r="F4">
        <v>14.999998093</v>
      </c>
      <c r="G4">
        <v>1368.8392334</v>
      </c>
      <c r="H4">
        <v>1329.4145507999999</v>
      </c>
      <c r="I4">
        <v>1329.4047852000001</v>
      </c>
      <c r="J4">
        <v>1289.9792480000001</v>
      </c>
      <c r="K4">
        <v>2400</v>
      </c>
      <c r="L4">
        <v>0</v>
      </c>
      <c r="M4">
        <v>0</v>
      </c>
      <c r="N4">
        <v>2400</v>
      </c>
    </row>
    <row r="5" spans="1:14" x14ac:dyDescent="0.25">
      <c r="A5">
        <v>3.9999999999999998E-6</v>
      </c>
      <c r="B5" s="1">
        <f>DATE(2010,5,1) + TIME(0,0,0)</f>
        <v>40299</v>
      </c>
      <c r="C5">
        <v>80</v>
      </c>
      <c r="D5">
        <v>15.000314713</v>
      </c>
      <c r="E5">
        <v>50</v>
      </c>
      <c r="F5">
        <v>14.999993324</v>
      </c>
      <c r="G5">
        <v>1368.8536377</v>
      </c>
      <c r="H5">
        <v>1329.4291992000001</v>
      </c>
      <c r="I5">
        <v>1329.3902588000001</v>
      </c>
      <c r="J5">
        <v>1289.9647216999999</v>
      </c>
      <c r="K5">
        <v>2400</v>
      </c>
      <c r="L5">
        <v>0</v>
      </c>
      <c r="M5">
        <v>0</v>
      </c>
      <c r="N5">
        <v>2400</v>
      </c>
    </row>
    <row r="6" spans="1:14" x14ac:dyDescent="0.25">
      <c r="A6">
        <v>1.2999999999999999E-5</v>
      </c>
      <c r="B6" s="1">
        <f>DATE(2010,5,1) + TIME(0,0,1)</f>
        <v>40299.000011574077</v>
      </c>
      <c r="C6">
        <v>80</v>
      </c>
      <c r="D6">
        <v>15.001023292999999</v>
      </c>
      <c r="E6">
        <v>50</v>
      </c>
      <c r="F6">
        <v>14.999977112</v>
      </c>
      <c r="G6">
        <v>1368.8967285000001</v>
      </c>
      <c r="H6">
        <v>1329.4729004000001</v>
      </c>
      <c r="I6">
        <v>1329.3466797000001</v>
      </c>
      <c r="J6">
        <v>1289.9211425999999</v>
      </c>
      <c r="K6">
        <v>2400</v>
      </c>
      <c r="L6">
        <v>0</v>
      </c>
      <c r="M6">
        <v>0</v>
      </c>
      <c r="N6">
        <v>2400</v>
      </c>
    </row>
    <row r="7" spans="1:14" x14ac:dyDescent="0.25">
      <c r="A7">
        <v>4.0000000000000003E-5</v>
      </c>
      <c r="B7" s="1">
        <f>DATE(2010,5,1) + TIME(0,0,3)</f>
        <v>40299.000034722223</v>
      </c>
      <c r="C7">
        <v>80</v>
      </c>
      <c r="D7">
        <v>15.003149033</v>
      </c>
      <c r="E7">
        <v>50</v>
      </c>
      <c r="F7">
        <v>14.999930382000001</v>
      </c>
      <c r="G7">
        <v>1369.0251464999999</v>
      </c>
      <c r="H7">
        <v>1329.6033935999999</v>
      </c>
      <c r="I7">
        <v>1329.2167969</v>
      </c>
      <c r="J7">
        <v>1289.7911377</v>
      </c>
      <c r="K7">
        <v>2400</v>
      </c>
      <c r="L7">
        <v>0</v>
      </c>
      <c r="M7">
        <v>0</v>
      </c>
      <c r="N7">
        <v>2400</v>
      </c>
    </row>
    <row r="8" spans="1:14" x14ac:dyDescent="0.25">
      <c r="A8">
        <v>1.21E-4</v>
      </c>
      <c r="B8" s="1">
        <f>DATE(2010,5,1) + TIME(0,0,10)</f>
        <v>40299.000115740739</v>
      </c>
      <c r="C8">
        <v>80</v>
      </c>
      <c r="D8">
        <v>15.009523392</v>
      </c>
      <c r="E8">
        <v>50</v>
      </c>
      <c r="F8">
        <v>14.999792099</v>
      </c>
      <c r="G8">
        <v>1369.4033202999999</v>
      </c>
      <c r="H8">
        <v>1329.9876709</v>
      </c>
      <c r="I8">
        <v>1328.8339844</v>
      </c>
      <c r="J8">
        <v>1289.4082031</v>
      </c>
      <c r="K8">
        <v>2400</v>
      </c>
      <c r="L8">
        <v>0</v>
      </c>
      <c r="M8">
        <v>0</v>
      </c>
      <c r="N8">
        <v>2400</v>
      </c>
    </row>
    <row r="9" spans="1:14" x14ac:dyDescent="0.25">
      <c r="A9">
        <v>3.6400000000000001E-4</v>
      </c>
      <c r="B9" s="1">
        <f>DATE(2010,5,1) + TIME(0,0,31)</f>
        <v>40299.000358796293</v>
      </c>
      <c r="C9">
        <v>80</v>
      </c>
      <c r="D9">
        <v>15.028621674</v>
      </c>
      <c r="E9">
        <v>50</v>
      </c>
      <c r="F9">
        <v>14.999398232000001</v>
      </c>
      <c r="G9">
        <v>1370.479126</v>
      </c>
      <c r="H9">
        <v>1331.0820312000001</v>
      </c>
      <c r="I9">
        <v>1327.7441406</v>
      </c>
      <c r="J9">
        <v>1288.3179932</v>
      </c>
      <c r="K9">
        <v>2400</v>
      </c>
      <c r="L9">
        <v>0</v>
      </c>
      <c r="M9">
        <v>0</v>
      </c>
      <c r="N9">
        <v>2400</v>
      </c>
    </row>
    <row r="10" spans="1:14" x14ac:dyDescent="0.25">
      <c r="A10">
        <v>1.093E-3</v>
      </c>
      <c r="B10" s="1">
        <f>DATE(2010,5,1) + TIME(0,1,34)</f>
        <v>40299.001087962963</v>
      </c>
      <c r="C10">
        <v>80</v>
      </c>
      <c r="D10">
        <v>15.085734367000001</v>
      </c>
      <c r="E10">
        <v>50</v>
      </c>
      <c r="F10">
        <v>14.998374939</v>
      </c>
      <c r="G10">
        <v>1373.2692870999999</v>
      </c>
      <c r="H10">
        <v>1333.9278564000001</v>
      </c>
      <c r="I10">
        <v>1324.909668</v>
      </c>
      <c r="J10">
        <v>1285.4824219</v>
      </c>
      <c r="K10">
        <v>2400</v>
      </c>
      <c r="L10">
        <v>0</v>
      </c>
      <c r="M10">
        <v>0</v>
      </c>
      <c r="N10">
        <v>2400</v>
      </c>
    </row>
    <row r="11" spans="1:14" x14ac:dyDescent="0.25">
      <c r="A11">
        <v>3.2799999999999999E-3</v>
      </c>
      <c r="B11" s="1">
        <f>DATE(2010,5,1) + TIME(0,4,43)</f>
        <v>40299.003275462965</v>
      </c>
      <c r="C11">
        <v>80</v>
      </c>
      <c r="D11">
        <v>15.255607605</v>
      </c>
      <c r="E11">
        <v>50</v>
      </c>
      <c r="F11">
        <v>14.996196747000001</v>
      </c>
      <c r="G11">
        <v>1379.159668</v>
      </c>
      <c r="H11">
        <v>1339.9842529</v>
      </c>
      <c r="I11">
        <v>1318.8625488</v>
      </c>
      <c r="J11">
        <v>1279.4329834</v>
      </c>
      <c r="K11">
        <v>2400</v>
      </c>
      <c r="L11">
        <v>0</v>
      </c>
      <c r="M11">
        <v>0</v>
      </c>
      <c r="N11">
        <v>2400</v>
      </c>
    </row>
    <row r="12" spans="1:14" x14ac:dyDescent="0.25">
      <c r="A12">
        <v>9.8410000000000008E-3</v>
      </c>
      <c r="B12" s="1">
        <f>DATE(2010,5,1) + TIME(0,14,10)</f>
        <v>40299.009837962964</v>
      </c>
      <c r="C12">
        <v>80</v>
      </c>
      <c r="D12">
        <v>15.758140564</v>
      </c>
      <c r="E12">
        <v>50</v>
      </c>
      <c r="F12">
        <v>14.992823601</v>
      </c>
      <c r="G12">
        <v>1388.0393065999999</v>
      </c>
      <c r="H12">
        <v>1349.3513184000001</v>
      </c>
      <c r="I12">
        <v>1309.4013672000001</v>
      </c>
      <c r="J12">
        <v>1269.9681396000001</v>
      </c>
      <c r="K12">
        <v>2400</v>
      </c>
      <c r="L12">
        <v>0</v>
      </c>
      <c r="M12">
        <v>0</v>
      </c>
      <c r="N12">
        <v>2400</v>
      </c>
    </row>
    <row r="13" spans="1:14" x14ac:dyDescent="0.25">
      <c r="A13">
        <v>2.2897000000000001E-2</v>
      </c>
      <c r="B13" s="1">
        <f>DATE(2010,5,1) + TIME(0,32,58)</f>
        <v>40299.022893518515</v>
      </c>
      <c r="C13">
        <v>80</v>
      </c>
      <c r="D13">
        <v>16.739887238000001</v>
      </c>
      <c r="E13">
        <v>50</v>
      </c>
      <c r="F13">
        <v>14.989778519</v>
      </c>
      <c r="G13">
        <v>1395.5302733999999</v>
      </c>
      <c r="H13">
        <v>1357.7657471</v>
      </c>
      <c r="I13">
        <v>1300.6308594</v>
      </c>
      <c r="J13">
        <v>1261.1943358999999</v>
      </c>
      <c r="K13">
        <v>2400</v>
      </c>
      <c r="L13">
        <v>0</v>
      </c>
      <c r="M13">
        <v>0</v>
      </c>
      <c r="N13">
        <v>2400</v>
      </c>
    </row>
    <row r="14" spans="1:14" x14ac:dyDescent="0.25">
      <c r="A14">
        <v>3.6194999999999998E-2</v>
      </c>
      <c r="B14" s="1">
        <f>DATE(2010,5,1) + TIME(0,52,7)</f>
        <v>40299.036192129628</v>
      </c>
      <c r="C14">
        <v>80</v>
      </c>
      <c r="D14">
        <v>17.724536896</v>
      </c>
      <c r="E14">
        <v>50</v>
      </c>
      <c r="F14">
        <v>14.988027573</v>
      </c>
      <c r="G14">
        <v>1399.4420166</v>
      </c>
      <c r="H14">
        <v>1362.5577393000001</v>
      </c>
      <c r="I14">
        <v>1295.4316406</v>
      </c>
      <c r="J14">
        <v>1255.9934082</v>
      </c>
      <c r="K14">
        <v>2400</v>
      </c>
      <c r="L14">
        <v>0</v>
      </c>
      <c r="M14">
        <v>0</v>
      </c>
      <c r="N14">
        <v>2400</v>
      </c>
    </row>
    <row r="15" spans="1:14" x14ac:dyDescent="0.25">
      <c r="A15">
        <v>4.9701000000000002E-2</v>
      </c>
      <c r="B15" s="1">
        <f>DATE(2010,5,1) + TIME(1,11,34)</f>
        <v>40299.049699074072</v>
      </c>
      <c r="C15">
        <v>80</v>
      </c>
      <c r="D15">
        <v>18.710382461999998</v>
      </c>
      <c r="E15">
        <v>50</v>
      </c>
      <c r="F15">
        <v>14.986861229000001</v>
      </c>
      <c r="G15">
        <v>1401.7614745999999</v>
      </c>
      <c r="H15">
        <v>1365.7253418</v>
      </c>
      <c r="I15">
        <v>1291.8504639</v>
      </c>
      <c r="J15">
        <v>1252.4110106999999</v>
      </c>
      <c r="K15">
        <v>2400</v>
      </c>
      <c r="L15">
        <v>0</v>
      </c>
      <c r="M15">
        <v>0</v>
      </c>
      <c r="N15">
        <v>2400</v>
      </c>
    </row>
    <row r="16" spans="1:14" x14ac:dyDescent="0.25">
      <c r="A16">
        <v>6.3400999999999999E-2</v>
      </c>
      <c r="B16" s="1">
        <f>DATE(2010,5,1) + TIME(1,31,17)</f>
        <v>40299.063391203701</v>
      </c>
      <c r="C16">
        <v>80</v>
      </c>
      <c r="D16">
        <v>19.696552276999999</v>
      </c>
      <c r="E16">
        <v>50</v>
      </c>
      <c r="F16">
        <v>14.986008644</v>
      </c>
      <c r="G16">
        <v>1403.2510986</v>
      </c>
      <c r="H16">
        <v>1368.0310059000001</v>
      </c>
      <c r="I16">
        <v>1289.1392822</v>
      </c>
      <c r="J16">
        <v>1249.6988524999999</v>
      </c>
      <c r="K16">
        <v>2400</v>
      </c>
      <c r="L16">
        <v>0</v>
      </c>
      <c r="M16">
        <v>0</v>
      </c>
      <c r="N16">
        <v>2400</v>
      </c>
    </row>
    <row r="17" spans="1:14" x14ac:dyDescent="0.25">
      <c r="A17">
        <v>7.7293000000000001E-2</v>
      </c>
      <c r="B17" s="1">
        <f>DATE(2010,5,1) + TIME(1,51,18)</f>
        <v>40299.077291666668</v>
      </c>
      <c r="C17">
        <v>80</v>
      </c>
      <c r="D17">
        <v>20.683307648</v>
      </c>
      <c r="E17">
        <v>50</v>
      </c>
      <c r="F17">
        <v>14.985346794</v>
      </c>
      <c r="G17">
        <v>1404.2523193</v>
      </c>
      <c r="H17">
        <v>1369.8173827999999</v>
      </c>
      <c r="I17">
        <v>1286.9594727000001</v>
      </c>
      <c r="J17">
        <v>1247.5183105000001</v>
      </c>
      <c r="K17">
        <v>2400</v>
      </c>
      <c r="L17">
        <v>0</v>
      </c>
      <c r="M17">
        <v>0</v>
      </c>
      <c r="N17">
        <v>2400</v>
      </c>
    </row>
    <row r="18" spans="1:14" x14ac:dyDescent="0.25">
      <c r="A18">
        <v>9.1371999999999995E-2</v>
      </c>
      <c r="B18" s="1">
        <f>DATE(2010,5,1) + TIME(2,11,34)</f>
        <v>40299.091365740744</v>
      </c>
      <c r="C18">
        <v>80</v>
      </c>
      <c r="D18">
        <v>21.669630050999999</v>
      </c>
      <c r="E18">
        <v>50</v>
      </c>
      <c r="F18">
        <v>14.984812737</v>
      </c>
      <c r="G18">
        <v>1404.9404297000001</v>
      </c>
      <c r="H18">
        <v>1371.260376</v>
      </c>
      <c r="I18">
        <v>1285.1361084</v>
      </c>
      <c r="J18">
        <v>1245.6943358999999</v>
      </c>
      <c r="K18">
        <v>2400</v>
      </c>
      <c r="L18">
        <v>0</v>
      </c>
      <c r="M18">
        <v>0</v>
      </c>
      <c r="N18">
        <v>2400</v>
      </c>
    </row>
    <row r="19" spans="1:14" x14ac:dyDescent="0.25">
      <c r="A19">
        <v>0.105645</v>
      </c>
      <c r="B19" s="1">
        <f>DATE(2010,5,1) + TIME(2,32,7)</f>
        <v>40299.105636574073</v>
      </c>
      <c r="C19">
        <v>80</v>
      </c>
      <c r="D19">
        <v>22.655506133999999</v>
      </c>
      <c r="E19">
        <v>50</v>
      </c>
      <c r="F19">
        <v>14.984370232</v>
      </c>
      <c r="G19">
        <v>1405.4169922000001</v>
      </c>
      <c r="H19">
        <v>1372.4630127</v>
      </c>
      <c r="I19">
        <v>1283.5664062000001</v>
      </c>
      <c r="J19">
        <v>1244.1241454999999</v>
      </c>
      <c r="K19">
        <v>2400</v>
      </c>
      <c r="L19">
        <v>0</v>
      </c>
      <c r="M19">
        <v>0</v>
      </c>
      <c r="N19">
        <v>2400</v>
      </c>
    </row>
    <row r="20" spans="1:14" x14ac:dyDescent="0.25">
      <c r="A20">
        <v>0.12012299999999999</v>
      </c>
      <c r="B20" s="1">
        <f>DATE(2010,5,1) + TIME(2,52,58)</f>
        <v>40299.120115740741</v>
      </c>
      <c r="C20">
        <v>80</v>
      </c>
      <c r="D20">
        <v>23.641139983999999</v>
      </c>
      <c r="E20">
        <v>50</v>
      </c>
      <c r="F20">
        <v>14.983995438000001</v>
      </c>
      <c r="G20">
        <v>1405.7443848</v>
      </c>
      <c r="H20">
        <v>1373.4891356999999</v>
      </c>
      <c r="I20">
        <v>1282.1861572</v>
      </c>
      <c r="J20">
        <v>1242.7435303</v>
      </c>
      <c r="K20">
        <v>2400</v>
      </c>
      <c r="L20">
        <v>0</v>
      </c>
      <c r="M20">
        <v>0</v>
      </c>
      <c r="N20">
        <v>2400</v>
      </c>
    </row>
    <row r="21" spans="1:14" x14ac:dyDescent="0.25">
      <c r="A21">
        <v>0.13481299999999999</v>
      </c>
      <c r="B21" s="1">
        <f>DATE(2010,5,1) + TIME(3,14,7)</f>
        <v>40299.13480324074</v>
      </c>
      <c r="C21">
        <v>80</v>
      </c>
      <c r="D21">
        <v>24.626504898</v>
      </c>
      <c r="E21">
        <v>50</v>
      </c>
      <c r="F21">
        <v>14.983673096</v>
      </c>
      <c r="G21">
        <v>1405.9638672000001</v>
      </c>
      <c r="H21">
        <v>1374.3811035000001</v>
      </c>
      <c r="I21">
        <v>1280.9526367000001</v>
      </c>
      <c r="J21">
        <v>1241.5096435999999</v>
      </c>
      <c r="K21">
        <v>2400</v>
      </c>
      <c r="L21">
        <v>0</v>
      </c>
      <c r="M21">
        <v>0</v>
      </c>
      <c r="N21">
        <v>2400</v>
      </c>
    </row>
    <row r="22" spans="1:14" x14ac:dyDescent="0.25">
      <c r="A22">
        <v>0.14971999999999999</v>
      </c>
      <c r="B22" s="1">
        <f>DATE(2010,5,1) + TIME(3,35,35)</f>
        <v>40299.149710648147</v>
      </c>
      <c r="C22">
        <v>80</v>
      </c>
      <c r="D22">
        <v>25.611974715999999</v>
      </c>
      <c r="E22">
        <v>50</v>
      </c>
      <c r="F22">
        <v>14.983393669</v>
      </c>
      <c r="G22">
        <v>1406.1032714999999</v>
      </c>
      <c r="H22">
        <v>1375.1683350000001</v>
      </c>
      <c r="I22">
        <v>1279.8360596</v>
      </c>
      <c r="J22">
        <v>1240.3927002</v>
      </c>
      <c r="K22">
        <v>2400</v>
      </c>
      <c r="L22">
        <v>0</v>
      </c>
      <c r="M22">
        <v>0</v>
      </c>
      <c r="N22">
        <v>2400</v>
      </c>
    </row>
    <row r="23" spans="1:14" x14ac:dyDescent="0.25">
      <c r="A23">
        <v>0.16484699999999999</v>
      </c>
      <c r="B23" s="1">
        <f>DATE(2010,5,1) + TIME(3,57,22)</f>
        <v>40299.164837962962</v>
      </c>
      <c r="C23">
        <v>80</v>
      </c>
      <c r="D23">
        <v>26.596996307000001</v>
      </c>
      <c r="E23">
        <v>50</v>
      </c>
      <c r="F23">
        <v>14.983147621000001</v>
      </c>
      <c r="G23">
        <v>1406.1826172000001</v>
      </c>
      <c r="H23">
        <v>1375.8714600000001</v>
      </c>
      <c r="I23">
        <v>1278.8149414</v>
      </c>
      <c r="J23">
        <v>1239.3713379000001</v>
      </c>
      <c r="K23">
        <v>2400</v>
      </c>
      <c r="L23">
        <v>0</v>
      </c>
      <c r="M23">
        <v>0</v>
      </c>
      <c r="N23">
        <v>2400</v>
      </c>
    </row>
    <row r="24" spans="1:14" x14ac:dyDescent="0.25">
      <c r="A24">
        <v>0.180204</v>
      </c>
      <c r="B24" s="1">
        <f>DATE(2010,5,1) + TIME(4,19,29)</f>
        <v>40299.180196759262</v>
      </c>
      <c r="C24">
        <v>80</v>
      </c>
      <c r="D24">
        <v>27.581464767</v>
      </c>
      <c r="E24">
        <v>50</v>
      </c>
      <c r="F24">
        <v>14.98292923</v>
      </c>
      <c r="G24">
        <v>1406.2167969</v>
      </c>
      <c r="H24">
        <v>1376.5065918</v>
      </c>
      <c r="I24">
        <v>1277.8729248</v>
      </c>
      <c r="J24">
        <v>1238.4290771000001</v>
      </c>
      <c r="K24">
        <v>2400</v>
      </c>
      <c r="L24">
        <v>0</v>
      </c>
      <c r="M24">
        <v>0</v>
      </c>
      <c r="N24">
        <v>2400</v>
      </c>
    </row>
    <row r="25" spans="1:14" x14ac:dyDescent="0.25">
      <c r="A25">
        <v>0.19580400000000001</v>
      </c>
      <c r="B25" s="1">
        <f>DATE(2010,5,1) + TIME(4,41,57)</f>
        <v>40299.195798611108</v>
      </c>
      <c r="C25">
        <v>80</v>
      </c>
      <c r="D25">
        <v>28.565595627</v>
      </c>
      <c r="E25">
        <v>50</v>
      </c>
      <c r="F25">
        <v>14.982735634000001</v>
      </c>
      <c r="G25">
        <v>1406.2167969</v>
      </c>
      <c r="H25">
        <v>1377.0859375</v>
      </c>
      <c r="I25">
        <v>1276.9973144999999</v>
      </c>
      <c r="J25">
        <v>1237.5532227000001</v>
      </c>
      <c r="K25">
        <v>2400</v>
      </c>
      <c r="L25">
        <v>0</v>
      </c>
      <c r="M25">
        <v>0</v>
      </c>
      <c r="N25">
        <v>2400</v>
      </c>
    </row>
    <row r="26" spans="1:14" x14ac:dyDescent="0.25">
      <c r="A26">
        <v>0.21165500000000001</v>
      </c>
      <c r="B26" s="1">
        <f>DATE(2010,5,1) + TIME(5,4,46)</f>
        <v>40299.211643518516</v>
      </c>
      <c r="C26">
        <v>80</v>
      </c>
      <c r="D26">
        <v>29.549373627000001</v>
      </c>
      <c r="E26">
        <v>50</v>
      </c>
      <c r="F26">
        <v>14.982562065</v>
      </c>
      <c r="G26">
        <v>1406.190918</v>
      </c>
      <c r="H26">
        <v>1377.6187743999999</v>
      </c>
      <c r="I26">
        <v>1276.1782227000001</v>
      </c>
      <c r="J26">
        <v>1236.7338867000001</v>
      </c>
      <c r="K26">
        <v>2400</v>
      </c>
      <c r="L26">
        <v>0</v>
      </c>
      <c r="M26">
        <v>0</v>
      </c>
      <c r="N26">
        <v>2400</v>
      </c>
    </row>
    <row r="27" spans="1:14" x14ac:dyDescent="0.25">
      <c r="A27">
        <v>0.227767</v>
      </c>
      <c r="B27" s="1">
        <f>DATE(2010,5,1) + TIME(5,27,59)</f>
        <v>40299.227766203701</v>
      </c>
      <c r="C27">
        <v>80</v>
      </c>
      <c r="D27">
        <v>30.532901764000002</v>
      </c>
      <c r="E27">
        <v>50</v>
      </c>
      <c r="F27">
        <v>14.982405663</v>
      </c>
      <c r="G27">
        <v>1406.1455077999999</v>
      </c>
      <c r="H27">
        <v>1378.1123047000001</v>
      </c>
      <c r="I27">
        <v>1275.4079589999999</v>
      </c>
      <c r="J27">
        <v>1235.9633789</v>
      </c>
      <c r="K27">
        <v>2400</v>
      </c>
      <c r="L27">
        <v>0</v>
      </c>
      <c r="M27">
        <v>0</v>
      </c>
      <c r="N27">
        <v>2400</v>
      </c>
    </row>
    <row r="28" spans="1:14" x14ac:dyDescent="0.25">
      <c r="A28">
        <v>0.244149</v>
      </c>
      <c r="B28" s="1">
        <f>DATE(2010,5,1) + TIME(5,51,34)</f>
        <v>40299.244143518517</v>
      </c>
      <c r="C28">
        <v>80</v>
      </c>
      <c r="D28">
        <v>31.516038895000001</v>
      </c>
      <c r="E28">
        <v>50</v>
      </c>
      <c r="F28">
        <v>14.982265472</v>
      </c>
      <c r="G28">
        <v>1406.0858154</v>
      </c>
      <c r="H28">
        <v>1378.5725098</v>
      </c>
      <c r="I28">
        <v>1274.6800536999999</v>
      </c>
      <c r="J28">
        <v>1235.2353516000001</v>
      </c>
      <c r="K28">
        <v>2400</v>
      </c>
      <c r="L28">
        <v>0</v>
      </c>
      <c r="M28">
        <v>0</v>
      </c>
      <c r="N28">
        <v>2400</v>
      </c>
    </row>
    <row r="29" spans="1:14" x14ac:dyDescent="0.25">
      <c r="A29">
        <v>0.26081300000000002</v>
      </c>
      <c r="B29" s="1">
        <f>DATE(2010,5,1) + TIME(6,15,34)</f>
        <v>40299.260810185187</v>
      </c>
      <c r="C29">
        <v>80</v>
      </c>
      <c r="D29">
        <v>32.498687744000001</v>
      </c>
      <c r="E29">
        <v>50</v>
      </c>
      <c r="F29">
        <v>14.982137679999999</v>
      </c>
      <c r="G29">
        <v>1406.0155029</v>
      </c>
      <c r="H29">
        <v>1379.0040283000001</v>
      </c>
      <c r="I29">
        <v>1273.9895019999999</v>
      </c>
      <c r="J29">
        <v>1234.5445557</v>
      </c>
      <c r="K29">
        <v>2400</v>
      </c>
      <c r="L29">
        <v>0</v>
      </c>
      <c r="M29">
        <v>0</v>
      </c>
      <c r="N29">
        <v>2400</v>
      </c>
    </row>
    <row r="30" spans="1:14" x14ac:dyDescent="0.25">
      <c r="A30">
        <v>0.27777000000000002</v>
      </c>
      <c r="B30" s="1">
        <f>DATE(2010,5,1) + TIME(6,39,59)</f>
        <v>40299.277766203704</v>
      </c>
      <c r="C30">
        <v>80</v>
      </c>
      <c r="D30">
        <v>33.480922698999997</v>
      </c>
      <c r="E30">
        <v>50</v>
      </c>
      <c r="F30">
        <v>14.982022284999999</v>
      </c>
      <c r="G30">
        <v>1405.9378661999999</v>
      </c>
      <c r="H30">
        <v>1379.4110106999999</v>
      </c>
      <c r="I30">
        <v>1273.3316649999999</v>
      </c>
      <c r="J30">
        <v>1233.8865966999999</v>
      </c>
      <c r="K30">
        <v>2400</v>
      </c>
      <c r="L30">
        <v>0</v>
      </c>
      <c r="M30">
        <v>0</v>
      </c>
      <c r="N30">
        <v>2400</v>
      </c>
    </row>
    <row r="31" spans="1:14" x14ac:dyDescent="0.25">
      <c r="A31">
        <v>0.29503400000000002</v>
      </c>
      <c r="B31" s="1">
        <f>DATE(2010,5,1) + TIME(7,4,50)</f>
        <v>40299.295023148145</v>
      </c>
      <c r="C31">
        <v>80</v>
      </c>
      <c r="D31">
        <v>34.462734222000002</v>
      </c>
      <c r="E31">
        <v>50</v>
      </c>
      <c r="F31">
        <v>14.981917381000001</v>
      </c>
      <c r="G31">
        <v>1405.8553466999999</v>
      </c>
      <c r="H31">
        <v>1379.7965088000001</v>
      </c>
      <c r="I31">
        <v>1272.7030029</v>
      </c>
      <c r="J31">
        <v>1233.2578125</v>
      </c>
      <c r="K31">
        <v>2400</v>
      </c>
      <c r="L31">
        <v>0</v>
      </c>
      <c r="M31">
        <v>0</v>
      </c>
      <c r="N31">
        <v>2400</v>
      </c>
    </row>
    <row r="32" spans="1:14" x14ac:dyDescent="0.25">
      <c r="A32">
        <v>0.31261800000000001</v>
      </c>
      <c r="B32" s="1">
        <f>DATE(2010,5,1) + TIME(7,30,10)</f>
        <v>40299.312615740739</v>
      </c>
      <c r="C32">
        <v>80</v>
      </c>
      <c r="D32">
        <v>35.444099426000001</v>
      </c>
      <c r="E32">
        <v>50</v>
      </c>
      <c r="F32">
        <v>14.981822014</v>
      </c>
      <c r="G32">
        <v>1405.7700195</v>
      </c>
      <c r="H32">
        <v>1380.1633300999999</v>
      </c>
      <c r="I32">
        <v>1272.1003418</v>
      </c>
      <c r="J32">
        <v>1232.6550293</v>
      </c>
      <c r="K32">
        <v>2400</v>
      </c>
      <c r="L32">
        <v>0</v>
      </c>
      <c r="M32">
        <v>0</v>
      </c>
      <c r="N32">
        <v>2400</v>
      </c>
    </row>
    <row r="33" spans="1:14" x14ac:dyDescent="0.25">
      <c r="A33">
        <v>0.330536</v>
      </c>
      <c r="B33" s="1">
        <f>DATE(2010,5,1) + TIME(7,55,58)</f>
        <v>40299.33053240741</v>
      </c>
      <c r="C33">
        <v>80</v>
      </c>
      <c r="D33">
        <v>36.425003052000001</v>
      </c>
      <c r="E33">
        <v>50</v>
      </c>
      <c r="F33">
        <v>14.981735229</v>
      </c>
      <c r="G33">
        <v>1405.6834716999999</v>
      </c>
      <c r="H33">
        <v>1380.5136719</v>
      </c>
      <c r="I33">
        <v>1271.5209961</v>
      </c>
      <c r="J33">
        <v>1232.0756836</v>
      </c>
      <c r="K33">
        <v>2400</v>
      </c>
      <c r="L33">
        <v>0</v>
      </c>
      <c r="M33">
        <v>0</v>
      </c>
      <c r="N33">
        <v>2400</v>
      </c>
    </row>
    <row r="34" spans="1:14" x14ac:dyDescent="0.25">
      <c r="A34">
        <v>0.34880299999999997</v>
      </c>
      <c r="B34" s="1">
        <f>DATE(2010,5,1) + TIME(8,22,16)</f>
        <v>40299.348796296297</v>
      </c>
      <c r="C34">
        <v>80</v>
      </c>
      <c r="D34">
        <v>37.405422211000001</v>
      </c>
      <c r="E34">
        <v>50</v>
      </c>
      <c r="F34">
        <v>14.981656075</v>
      </c>
      <c r="G34">
        <v>1405.5968018000001</v>
      </c>
      <c r="H34">
        <v>1380.8494873</v>
      </c>
      <c r="I34">
        <v>1270.9627685999999</v>
      </c>
      <c r="J34">
        <v>1231.5173339999999</v>
      </c>
      <c r="K34">
        <v>2400</v>
      </c>
      <c r="L34">
        <v>0</v>
      </c>
      <c r="M34">
        <v>0</v>
      </c>
      <c r="N34">
        <v>2400</v>
      </c>
    </row>
    <row r="35" spans="1:14" x14ac:dyDescent="0.25">
      <c r="A35">
        <v>0.36743399999999998</v>
      </c>
      <c r="B35" s="1">
        <f>DATE(2010,5,1) + TIME(8,49,6)</f>
        <v>40299.367430555554</v>
      </c>
      <c r="C35">
        <v>80</v>
      </c>
      <c r="D35">
        <v>38.385341644</v>
      </c>
      <c r="E35">
        <v>50</v>
      </c>
      <c r="F35">
        <v>14.981583595</v>
      </c>
      <c r="G35">
        <v>1405.5113524999999</v>
      </c>
      <c r="H35">
        <v>1381.1724853999999</v>
      </c>
      <c r="I35">
        <v>1270.4235839999999</v>
      </c>
      <c r="J35">
        <v>1230.9781493999999</v>
      </c>
      <c r="K35">
        <v>2400</v>
      </c>
      <c r="L35">
        <v>0</v>
      </c>
      <c r="M35">
        <v>0</v>
      </c>
      <c r="N35">
        <v>2400</v>
      </c>
    </row>
    <row r="36" spans="1:14" x14ac:dyDescent="0.25">
      <c r="A36">
        <v>0.38644699999999998</v>
      </c>
      <c r="B36" s="1">
        <f>DATE(2010,5,1) + TIME(9,16,29)</f>
        <v>40299.386446759258</v>
      </c>
      <c r="C36">
        <v>80</v>
      </c>
      <c r="D36">
        <v>39.364734650000003</v>
      </c>
      <c r="E36">
        <v>50</v>
      </c>
      <c r="F36">
        <v>14.981517792</v>
      </c>
      <c r="G36">
        <v>1405.4277344</v>
      </c>
      <c r="H36">
        <v>1381.4840088000001</v>
      </c>
      <c r="I36">
        <v>1269.9018555</v>
      </c>
      <c r="J36">
        <v>1230.4561768000001</v>
      </c>
      <c r="K36">
        <v>2400</v>
      </c>
      <c r="L36">
        <v>0</v>
      </c>
      <c r="M36">
        <v>0</v>
      </c>
      <c r="N36">
        <v>2400</v>
      </c>
    </row>
    <row r="37" spans="1:14" x14ac:dyDescent="0.25">
      <c r="A37">
        <v>0.40586100000000003</v>
      </c>
      <c r="B37" s="1">
        <f>DATE(2010,5,1) + TIME(9,44,26)</f>
        <v>40299.405856481484</v>
      </c>
      <c r="C37">
        <v>80</v>
      </c>
      <c r="D37">
        <v>40.343650818</v>
      </c>
      <c r="E37">
        <v>50</v>
      </c>
      <c r="F37">
        <v>14.981458664</v>
      </c>
      <c r="G37">
        <v>1405.3465576000001</v>
      </c>
      <c r="H37">
        <v>1381.7851562000001</v>
      </c>
      <c r="I37">
        <v>1269.3957519999999</v>
      </c>
      <c r="J37">
        <v>1229.9500731999999</v>
      </c>
      <c r="K37">
        <v>2400</v>
      </c>
      <c r="L37">
        <v>0</v>
      </c>
      <c r="M37">
        <v>0</v>
      </c>
      <c r="N37">
        <v>2400</v>
      </c>
    </row>
    <row r="38" spans="1:14" x14ac:dyDescent="0.25">
      <c r="A38">
        <v>0.42569200000000001</v>
      </c>
      <c r="B38" s="1">
        <f>DATE(2010,5,1) + TIME(10,12,59)</f>
        <v>40299.425682870373</v>
      </c>
      <c r="C38">
        <v>80</v>
      </c>
      <c r="D38">
        <v>41.322063446000001</v>
      </c>
      <c r="E38">
        <v>50</v>
      </c>
      <c r="F38">
        <v>14.981404305</v>
      </c>
      <c r="G38">
        <v>1405.2685547000001</v>
      </c>
      <c r="H38">
        <v>1382.0770264</v>
      </c>
      <c r="I38">
        <v>1268.9042969</v>
      </c>
      <c r="J38">
        <v>1229.4584961</v>
      </c>
      <c r="K38">
        <v>2400</v>
      </c>
      <c r="L38">
        <v>0</v>
      </c>
      <c r="M38">
        <v>0</v>
      </c>
      <c r="N38">
        <v>2400</v>
      </c>
    </row>
    <row r="39" spans="1:14" x14ac:dyDescent="0.25">
      <c r="A39">
        <v>0.445961</v>
      </c>
      <c r="B39" s="1">
        <f>DATE(2010,5,1) + TIME(10,42,11)</f>
        <v>40299.445960648147</v>
      </c>
      <c r="C39">
        <v>80</v>
      </c>
      <c r="D39">
        <v>42.299743651999997</v>
      </c>
      <c r="E39">
        <v>50</v>
      </c>
      <c r="F39">
        <v>14.981354713</v>
      </c>
      <c r="G39">
        <v>1405.1939697</v>
      </c>
      <c r="H39">
        <v>1382.3604736</v>
      </c>
      <c r="I39">
        <v>1268.4260254000001</v>
      </c>
      <c r="J39">
        <v>1228.9801024999999</v>
      </c>
      <c r="K39">
        <v>2400</v>
      </c>
      <c r="L39">
        <v>0</v>
      </c>
      <c r="M39">
        <v>0</v>
      </c>
      <c r="N39">
        <v>2400</v>
      </c>
    </row>
    <row r="40" spans="1:14" x14ac:dyDescent="0.25">
      <c r="A40">
        <v>0.46669300000000002</v>
      </c>
      <c r="B40" s="1">
        <f>DATE(2010,5,1) + TIME(11,12,2)</f>
        <v>40299.466689814813</v>
      </c>
      <c r="C40">
        <v>80</v>
      </c>
      <c r="D40">
        <v>43.276786803999997</v>
      </c>
      <c r="E40">
        <v>50</v>
      </c>
      <c r="F40">
        <v>14.981309891</v>
      </c>
      <c r="G40">
        <v>1405.1230469</v>
      </c>
      <c r="H40">
        <v>1382.6363524999999</v>
      </c>
      <c r="I40">
        <v>1267.9598389</v>
      </c>
      <c r="J40">
        <v>1228.5139160000001</v>
      </c>
      <c r="K40">
        <v>2400</v>
      </c>
      <c r="L40">
        <v>0</v>
      </c>
      <c r="M40">
        <v>0</v>
      </c>
      <c r="N40">
        <v>2400</v>
      </c>
    </row>
    <row r="41" spans="1:14" x14ac:dyDescent="0.25">
      <c r="A41">
        <v>0.48791200000000001</v>
      </c>
      <c r="B41" s="1">
        <f>DATE(2010,5,1) + TIME(11,42,35)</f>
        <v>40299.487905092596</v>
      </c>
      <c r="C41">
        <v>80</v>
      </c>
      <c r="D41">
        <v>44.253162383999999</v>
      </c>
      <c r="E41">
        <v>50</v>
      </c>
      <c r="F41">
        <v>14.981269835999999</v>
      </c>
      <c r="G41">
        <v>1405.0561522999999</v>
      </c>
      <c r="H41">
        <v>1382.9051514</v>
      </c>
      <c r="I41">
        <v>1267.5048827999999</v>
      </c>
      <c r="J41">
        <v>1228.0589600000001</v>
      </c>
      <c r="K41">
        <v>2400</v>
      </c>
      <c r="L41">
        <v>0</v>
      </c>
      <c r="M41">
        <v>0</v>
      </c>
      <c r="N41">
        <v>2400</v>
      </c>
    </row>
    <row r="42" spans="1:14" x14ac:dyDescent="0.25">
      <c r="A42">
        <v>0.50964399999999999</v>
      </c>
      <c r="B42" s="1">
        <f>DATE(2010,5,1) + TIME(12,13,53)</f>
        <v>40299.509641203702</v>
      </c>
      <c r="C42">
        <v>80</v>
      </c>
      <c r="D42">
        <v>45.228843689000001</v>
      </c>
      <c r="E42">
        <v>50</v>
      </c>
      <c r="F42">
        <v>14.98123455</v>
      </c>
      <c r="G42">
        <v>1404.9932861</v>
      </c>
      <c r="H42">
        <v>1383.1677245999999</v>
      </c>
      <c r="I42">
        <v>1267.0601807</v>
      </c>
      <c r="J42">
        <v>1227.6142577999999</v>
      </c>
      <c r="K42">
        <v>2400</v>
      </c>
      <c r="L42">
        <v>0</v>
      </c>
      <c r="M42">
        <v>0</v>
      </c>
      <c r="N42">
        <v>2400</v>
      </c>
    </row>
    <row r="43" spans="1:14" x14ac:dyDescent="0.25">
      <c r="A43">
        <v>0.531918</v>
      </c>
      <c r="B43" s="1">
        <f>DATE(2010,5,1) + TIME(12,45,57)</f>
        <v>40299.531909722224</v>
      </c>
      <c r="C43">
        <v>80</v>
      </c>
      <c r="D43">
        <v>46.203784943000002</v>
      </c>
      <c r="E43">
        <v>50</v>
      </c>
      <c r="F43">
        <v>14.981202125999999</v>
      </c>
      <c r="G43">
        <v>1404.9348144999999</v>
      </c>
      <c r="H43">
        <v>1383.4243164</v>
      </c>
      <c r="I43">
        <v>1266.625</v>
      </c>
      <c r="J43">
        <v>1227.1789550999999</v>
      </c>
      <c r="K43">
        <v>2400</v>
      </c>
      <c r="L43">
        <v>0</v>
      </c>
      <c r="M43">
        <v>0</v>
      </c>
      <c r="N43">
        <v>2400</v>
      </c>
    </row>
    <row r="44" spans="1:14" x14ac:dyDescent="0.25">
      <c r="A44">
        <v>0.55476499999999995</v>
      </c>
      <c r="B44" s="1">
        <f>DATE(2010,5,1) + TIME(13,18,51)</f>
        <v>40299.554756944446</v>
      </c>
      <c r="C44">
        <v>80</v>
      </c>
      <c r="D44">
        <v>47.177944183000001</v>
      </c>
      <c r="E44">
        <v>50</v>
      </c>
      <c r="F44">
        <v>14.981173515</v>
      </c>
      <c r="G44">
        <v>1404.8806152</v>
      </c>
      <c r="H44">
        <v>1383.6755370999999</v>
      </c>
      <c r="I44">
        <v>1266.1986084</v>
      </c>
      <c r="J44">
        <v>1226.7525635</v>
      </c>
      <c r="K44">
        <v>2400</v>
      </c>
      <c r="L44">
        <v>0</v>
      </c>
      <c r="M44">
        <v>0</v>
      </c>
      <c r="N44">
        <v>2400</v>
      </c>
    </row>
    <row r="45" spans="1:14" x14ac:dyDescent="0.25">
      <c r="A45">
        <v>0.57821699999999998</v>
      </c>
      <c r="B45" s="1">
        <f>DATE(2010,5,1) + TIME(13,52,37)</f>
        <v>40299.578206018516</v>
      </c>
      <c r="C45">
        <v>80</v>
      </c>
      <c r="D45">
        <v>48.151283264</v>
      </c>
      <c r="E45">
        <v>50</v>
      </c>
      <c r="F45">
        <v>14.98114872</v>
      </c>
      <c r="G45">
        <v>1404.8308105000001</v>
      </c>
      <c r="H45">
        <v>1383.9216309000001</v>
      </c>
      <c r="I45">
        <v>1265.7802733999999</v>
      </c>
      <c r="J45">
        <v>1226.3341064000001</v>
      </c>
      <c r="K45">
        <v>2400</v>
      </c>
      <c r="L45">
        <v>0</v>
      </c>
      <c r="M45">
        <v>0</v>
      </c>
      <c r="N45">
        <v>2400</v>
      </c>
    </row>
    <row r="46" spans="1:14" x14ac:dyDescent="0.25">
      <c r="A46">
        <v>0.60231199999999996</v>
      </c>
      <c r="B46" s="1">
        <f>DATE(2010,5,1) + TIME(14,27,19)</f>
        <v>40299.602303240739</v>
      </c>
      <c r="C46">
        <v>80</v>
      </c>
      <c r="D46">
        <v>49.123752594000003</v>
      </c>
      <c r="E46">
        <v>50</v>
      </c>
      <c r="F46">
        <v>14.981127739</v>
      </c>
      <c r="G46">
        <v>1404.7854004000001</v>
      </c>
      <c r="H46">
        <v>1384.1630858999999</v>
      </c>
      <c r="I46">
        <v>1265.3693848</v>
      </c>
      <c r="J46">
        <v>1225.9232178</v>
      </c>
      <c r="K46">
        <v>2400</v>
      </c>
      <c r="L46">
        <v>0</v>
      </c>
      <c r="M46">
        <v>0</v>
      </c>
      <c r="N46">
        <v>2400</v>
      </c>
    </row>
    <row r="47" spans="1:14" x14ac:dyDescent="0.25">
      <c r="A47">
        <v>0.62708900000000001</v>
      </c>
      <c r="B47" s="1">
        <f>DATE(2010,5,1) + TIME(15,3,0)</f>
        <v>40299.627083333333</v>
      </c>
      <c r="C47">
        <v>80</v>
      </c>
      <c r="D47">
        <v>50.095252991000002</v>
      </c>
      <c r="E47">
        <v>50</v>
      </c>
      <c r="F47">
        <v>14.981108665000001</v>
      </c>
      <c r="G47">
        <v>1404.7442627</v>
      </c>
      <c r="H47">
        <v>1384.4002685999999</v>
      </c>
      <c r="I47">
        <v>1264.965332</v>
      </c>
      <c r="J47">
        <v>1225.5191649999999</v>
      </c>
      <c r="K47">
        <v>2400</v>
      </c>
      <c r="L47">
        <v>0</v>
      </c>
      <c r="M47">
        <v>0</v>
      </c>
      <c r="N47">
        <v>2400</v>
      </c>
    </row>
    <row r="48" spans="1:14" x14ac:dyDescent="0.25">
      <c r="A48">
        <v>0.65259299999999998</v>
      </c>
      <c r="B48" s="1">
        <f>DATE(2010,5,1) + TIME(15,39,44)</f>
        <v>40299.652592592596</v>
      </c>
      <c r="C48">
        <v>80</v>
      </c>
      <c r="D48">
        <v>51.065410614000001</v>
      </c>
      <c r="E48">
        <v>50</v>
      </c>
      <c r="F48">
        <v>14.981093406999999</v>
      </c>
      <c r="G48">
        <v>1404.7073975000001</v>
      </c>
      <c r="H48">
        <v>1384.6331786999999</v>
      </c>
      <c r="I48">
        <v>1264.5676269999999</v>
      </c>
      <c r="J48">
        <v>1225.1214600000001</v>
      </c>
      <c r="K48">
        <v>2400</v>
      </c>
      <c r="L48">
        <v>0</v>
      </c>
      <c r="M48">
        <v>0</v>
      </c>
      <c r="N48">
        <v>2400</v>
      </c>
    </row>
    <row r="49" spans="1:14" x14ac:dyDescent="0.25">
      <c r="A49">
        <v>0.67888099999999996</v>
      </c>
      <c r="B49" s="1">
        <f>DATE(2010,5,1) + TIME(16,17,35)</f>
        <v>40299.678877314815</v>
      </c>
      <c r="C49">
        <v>80</v>
      </c>
      <c r="D49">
        <v>52.034889221</v>
      </c>
      <c r="E49">
        <v>50</v>
      </c>
      <c r="F49">
        <v>14.981081009</v>
      </c>
      <c r="G49">
        <v>1404.6748047000001</v>
      </c>
      <c r="H49">
        <v>1384.8623047000001</v>
      </c>
      <c r="I49">
        <v>1264.1756591999999</v>
      </c>
      <c r="J49">
        <v>1224.7293701000001</v>
      </c>
      <c r="K49">
        <v>2400</v>
      </c>
      <c r="L49">
        <v>0</v>
      </c>
      <c r="M49">
        <v>0</v>
      </c>
      <c r="N49">
        <v>2400</v>
      </c>
    </row>
    <row r="50" spans="1:14" x14ac:dyDescent="0.25">
      <c r="A50">
        <v>0.70599699999999999</v>
      </c>
      <c r="B50" s="1">
        <f>DATE(2010,5,1) + TIME(16,56,38)</f>
        <v>40299.705995370372</v>
      </c>
      <c r="C50">
        <v>80</v>
      </c>
      <c r="D50">
        <v>53.003253936999997</v>
      </c>
      <c r="E50">
        <v>50</v>
      </c>
      <c r="F50">
        <v>14.981071472</v>
      </c>
      <c r="G50">
        <v>1404.6464844</v>
      </c>
      <c r="H50">
        <v>1385.0877685999999</v>
      </c>
      <c r="I50">
        <v>1263.7890625</v>
      </c>
      <c r="J50">
        <v>1224.3427733999999</v>
      </c>
      <c r="K50">
        <v>2400</v>
      </c>
      <c r="L50">
        <v>0</v>
      </c>
      <c r="M50">
        <v>0</v>
      </c>
      <c r="N50">
        <v>2400</v>
      </c>
    </row>
    <row r="51" spans="1:14" x14ac:dyDescent="0.25">
      <c r="A51">
        <v>0.73399899999999996</v>
      </c>
      <c r="B51" s="1">
        <f>DATE(2010,5,1) + TIME(17,36,57)</f>
        <v>40299.733993055554</v>
      </c>
      <c r="C51">
        <v>80</v>
      </c>
      <c r="D51">
        <v>53.970424651999998</v>
      </c>
      <c r="E51">
        <v>50</v>
      </c>
      <c r="F51">
        <v>14.981063842999999</v>
      </c>
      <c r="G51">
        <v>1404.6221923999999</v>
      </c>
      <c r="H51">
        <v>1385.3096923999999</v>
      </c>
      <c r="I51">
        <v>1263.4072266000001</v>
      </c>
      <c r="J51">
        <v>1223.9609375</v>
      </c>
      <c r="K51">
        <v>2400</v>
      </c>
      <c r="L51">
        <v>0</v>
      </c>
      <c r="M51">
        <v>0</v>
      </c>
      <c r="N51">
        <v>2400</v>
      </c>
    </row>
    <row r="52" spans="1:14" x14ac:dyDescent="0.25">
      <c r="A52">
        <v>0.76295100000000005</v>
      </c>
      <c r="B52" s="1">
        <f>DATE(2010,5,1) + TIME(18,18,39)</f>
        <v>40299.76295138889</v>
      </c>
      <c r="C52">
        <v>80</v>
      </c>
      <c r="D52">
        <v>54.936313628999997</v>
      </c>
      <c r="E52">
        <v>50</v>
      </c>
      <c r="F52">
        <v>14.981060028</v>
      </c>
      <c r="G52">
        <v>1404.6019286999999</v>
      </c>
      <c r="H52">
        <v>1385.5283202999999</v>
      </c>
      <c r="I52">
        <v>1263.0299072</v>
      </c>
      <c r="J52">
        <v>1223.5836182</v>
      </c>
      <c r="K52">
        <v>2400</v>
      </c>
      <c r="L52">
        <v>0</v>
      </c>
      <c r="M52">
        <v>0</v>
      </c>
      <c r="N52">
        <v>2400</v>
      </c>
    </row>
    <row r="53" spans="1:14" x14ac:dyDescent="0.25">
      <c r="A53">
        <v>0.79292600000000002</v>
      </c>
      <c r="B53" s="1">
        <f>DATE(2010,5,1) + TIME(19,1,48)</f>
        <v>40299.792916666665</v>
      </c>
      <c r="C53">
        <v>80</v>
      </c>
      <c r="D53">
        <v>55.900825500000003</v>
      </c>
      <c r="E53">
        <v>50</v>
      </c>
      <c r="F53">
        <v>14.981058121</v>
      </c>
      <c r="G53">
        <v>1404.5855713000001</v>
      </c>
      <c r="H53">
        <v>1385.7437743999999</v>
      </c>
      <c r="I53">
        <v>1262.6566161999999</v>
      </c>
      <c r="J53">
        <v>1223.2103271000001</v>
      </c>
      <c r="K53">
        <v>2400</v>
      </c>
      <c r="L53">
        <v>0</v>
      </c>
      <c r="M53">
        <v>0</v>
      </c>
      <c r="N53">
        <v>2400</v>
      </c>
    </row>
    <row r="54" spans="1:14" x14ac:dyDescent="0.25">
      <c r="A54">
        <v>0.82400399999999996</v>
      </c>
      <c r="B54" s="1">
        <f>DATE(2010,5,1) + TIME(19,46,33)</f>
        <v>40299.823993055557</v>
      </c>
      <c r="C54">
        <v>80</v>
      </c>
      <c r="D54">
        <v>56.863861084</v>
      </c>
      <c r="E54">
        <v>50</v>
      </c>
      <c r="F54">
        <v>14.981058121</v>
      </c>
      <c r="G54">
        <v>1404.572876</v>
      </c>
      <c r="H54">
        <v>1385.9560547000001</v>
      </c>
      <c r="I54">
        <v>1262.2868652</v>
      </c>
      <c r="J54">
        <v>1222.8404541</v>
      </c>
      <c r="K54">
        <v>2400</v>
      </c>
      <c r="L54">
        <v>0</v>
      </c>
      <c r="M54">
        <v>0</v>
      </c>
      <c r="N54">
        <v>2400</v>
      </c>
    </row>
    <row r="55" spans="1:14" x14ac:dyDescent="0.25">
      <c r="A55">
        <v>0.85627399999999998</v>
      </c>
      <c r="B55" s="1">
        <f>DATE(2010,5,1) + TIME(20,33,2)</f>
        <v>40299.856273148151</v>
      </c>
      <c r="C55">
        <v>80</v>
      </c>
      <c r="D55">
        <v>57.825294495000001</v>
      </c>
      <c r="E55">
        <v>50</v>
      </c>
      <c r="F55">
        <v>14.981061935</v>
      </c>
      <c r="G55">
        <v>1404.5639647999999</v>
      </c>
      <c r="H55">
        <v>1386.1655272999999</v>
      </c>
      <c r="I55">
        <v>1261.9201660000001</v>
      </c>
      <c r="J55">
        <v>1222.4738769999999</v>
      </c>
      <c r="K55">
        <v>2400</v>
      </c>
      <c r="L55">
        <v>0</v>
      </c>
      <c r="M55">
        <v>0</v>
      </c>
      <c r="N55">
        <v>2400</v>
      </c>
    </row>
    <row r="56" spans="1:14" x14ac:dyDescent="0.25">
      <c r="A56">
        <v>0.88983999999999996</v>
      </c>
      <c r="B56" s="1">
        <f>DATE(2010,5,1) + TIME(21,21,22)</f>
        <v>40299.889837962961</v>
      </c>
      <c r="C56">
        <v>80</v>
      </c>
      <c r="D56">
        <v>58.784999847000002</v>
      </c>
      <c r="E56">
        <v>50</v>
      </c>
      <c r="F56">
        <v>14.981066704</v>
      </c>
      <c r="G56">
        <v>1404.5585937999999</v>
      </c>
      <c r="H56">
        <v>1386.3719481999999</v>
      </c>
      <c r="I56">
        <v>1261.5562743999999</v>
      </c>
      <c r="J56">
        <v>1222.1099853999999</v>
      </c>
      <c r="K56">
        <v>2400</v>
      </c>
      <c r="L56">
        <v>0</v>
      </c>
      <c r="M56">
        <v>0</v>
      </c>
      <c r="N56">
        <v>2400</v>
      </c>
    </row>
    <row r="57" spans="1:14" x14ac:dyDescent="0.25">
      <c r="A57">
        <v>0.92481400000000002</v>
      </c>
      <c r="B57" s="1">
        <f>DATE(2010,5,1) + TIME(22,11,43)</f>
        <v>40299.924803240741</v>
      </c>
      <c r="C57">
        <v>80</v>
      </c>
      <c r="D57">
        <v>59.742824554000002</v>
      </c>
      <c r="E57">
        <v>50</v>
      </c>
      <c r="F57">
        <v>14.981075286999999</v>
      </c>
      <c r="G57">
        <v>1404.5566406</v>
      </c>
      <c r="H57">
        <v>1386.5758057</v>
      </c>
      <c r="I57">
        <v>1261.1947021000001</v>
      </c>
      <c r="J57">
        <v>1221.7482910000001</v>
      </c>
      <c r="K57">
        <v>2400</v>
      </c>
      <c r="L57">
        <v>0</v>
      </c>
      <c r="M57">
        <v>0</v>
      </c>
      <c r="N57">
        <v>2400</v>
      </c>
    </row>
    <row r="58" spans="1:14" x14ac:dyDescent="0.25">
      <c r="A58">
        <v>0.96132799999999996</v>
      </c>
      <c r="B58" s="1">
        <f>DATE(2010,5,1) + TIME(23,4,18)</f>
        <v>40299.961319444446</v>
      </c>
      <c r="C58">
        <v>80</v>
      </c>
      <c r="D58">
        <v>60.698112488</v>
      </c>
      <c r="E58">
        <v>50</v>
      </c>
      <c r="F58">
        <v>14.981085777000001</v>
      </c>
      <c r="G58">
        <v>1404.5582274999999</v>
      </c>
      <c r="H58">
        <v>1386.7767334</v>
      </c>
      <c r="I58">
        <v>1260.8349608999999</v>
      </c>
      <c r="J58">
        <v>1221.3885498</v>
      </c>
      <c r="K58">
        <v>2400</v>
      </c>
      <c r="L58">
        <v>0</v>
      </c>
      <c r="M58">
        <v>0</v>
      </c>
      <c r="N58">
        <v>2400</v>
      </c>
    </row>
    <row r="59" spans="1:14" x14ac:dyDescent="0.25">
      <c r="A59">
        <v>0.999552</v>
      </c>
      <c r="B59" s="1">
        <f>DATE(2010,5,1) + TIME(23,59,21)</f>
        <v>40299.999548611115</v>
      </c>
      <c r="C59">
        <v>80</v>
      </c>
      <c r="D59">
        <v>61.651416779000002</v>
      </c>
      <c r="E59">
        <v>50</v>
      </c>
      <c r="F59">
        <v>14.981098175</v>
      </c>
      <c r="G59">
        <v>1404.5628661999999</v>
      </c>
      <c r="H59">
        <v>1386.9752197</v>
      </c>
      <c r="I59">
        <v>1260.4763184000001</v>
      </c>
      <c r="J59">
        <v>1221.0300293</v>
      </c>
      <c r="K59">
        <v>2400</v>
      </c>
      <c r="L59">
        <v>0</v>
      </c>
      <c r="M59">
        <v>0</v>
      </c>
      <c r="N59">
        <v>2400</v>
      </c>
    </row>
    <row r="60" spans="1:14" x14ac:dyDescent="0.25">
      <c r="A60">
        <v>1.039647</v>
      </c>
      <c r="B60" s="1">
        <f>DATE(2010,5,2) + TIME(0,57,5)</f>
        <v>40300.039641203701</v>
      </c>
      <c r="C60">
        <v>80</v>
      </c>
      <c r="D60">
        <v>62.602416992000002</v>
      </c>
      <c r="E60">
        <v>50</v>
      </c>
      <c r="F60">
        <v>14.981113433999999</v>
      </c>
      <c r="G60">
        <v>1404.5708007999999</v>
      </c>
      <c r="H60">
        <v>1387.1712646000001</v>
      </c>
      <c r="I60">
        <v>1260.1185303</v>
      </c>
      <c r="J60">
        <v>1220.6722411999999</v>
      </c>
      <c r="K60">
        <v>2400</v>
      </c>
      <c r="L60">
        <v>0</v>
      </c>
      <c r="M60">
        <v>0</v>
      </c>
      <c r="N60">
        <v>2400</v>
      </c>
    </row>
    <row r="61" spans="1:14" x14ac:dyDescent="0.25">
      <c r="A61">
        <v>1.081809</v>
      </c>
      <c r="B61" s="1">
        <f>DATE(2010,5,2) + TIME(1,57,48)</f>
        <v>40300.081805555557</v>
      </c>
      <c r="C61">
        <v>80</v>
      </c>
      <c r="D61">
        <v>63.550701140999998</v>
      </c>
      <c r="E61">
        <v>50</v>
      </c>
      <c r="F61">
        <v>14.981131553999999</v>
      </c>
      <c r="G61">
        <v>1404.5819091999999</v>
      </c>
      <c r="H61">
        <v>1387.3647461</v>
      </c>
      <c r="I61">
        <v>1259.7612305</v>
      </c>
      <c r="J61">
        <v>1220.3148193</v>
      </c>
      <c r="K61">
        <v>2400</v>
      </c>
      <c r="L61">
        <v>0</v>
      </c>
      <c r="M61">
        <v>0</v>
      </c>
      <c r="N61">
        <v>2400</v>
      </c>
    </row>
    <row r="62" spans="1:14" x14ac:dyDescent="0.25">
      <c r="A62">
        <v>1.126236</v>
      </c>
      <c r="B62" s="1">
        <f>DATE(2010,5,2) + TIME(3,1,46)</f>
        <v>40300.126226851855</v>
      </c>
      <c r="C62">
        <v>80</v>
      </c>
      <c r="D62">
        <v>64.495300293</v>
      </c>
      <c r="E62">
        <v>50</v>
      </c>
      <c r="F62">
        <v>14.981151581000001</v>
      </c>
      <c r="G62">
        <v>1404.5959473</v>
      </c>
      <c r="H62">
        <v>1387.5556641000001</v>
      </c>
      <c r="I62">
        <v>1259.4039307</v>
      </c>
      <c r="J62">
        <v>1219.9575195</v>
      </c>
      <c r="K62">
        <v>2400</v>
      </c>
      <c r="L62">
        <v>0</v>
      </c>
      <c r="M62">
        <v>0</v>
      </c>
      <c r="N62">
        <v>2400</v>
      </c>
    </row>
    <row r="63" spans="1:14" x14ac:dyDescent="0.25">
      <c r="A63">
        <v>1.1731670000000001</v>
      </c>
      <c r="B63" s="1">
        <f>DATE(2010,5,2) + TIME(4,9,21)</f>
        <v>40300.173159722224</v>
      </c>
      <c r="C63">
        <v>80</v>
      </c>
      <c r="D63">
        <v>65.435432434000006</v>
      </c>
      <c r="E63">
        <v>50</v>
      </c>
      <c r="F63">
        <v>14.981174469000001</v>
      </c>
      <c r="G63">
        <v>1404.612793</v>
      </c>
      <c r="H63">
        <v>1387.7438964999999</v>
      </c>
      <c r="I63">
        <v>1259.0462646000001</v>
      </c>
      <c r="J63">
        <v>1219.5999756000001</v>
      </c>
      <c r="K63">
        <v>2400</v>
      </c>
      <c r="L63">
        <v>0</v>
      </c>
      <c r="M63">
        <v>0</v>
      </c>
      <c r="N63">
        <v>2400</v>
      </c>
    </row>
    <row r="64" spans="1:14" x14ac:dyDescent="0.25">
      <c r="A64">
        <v>1.222909</v>
      </c>
      <c r="B64" s="1">
        <f>DATE(2010,5,2) + TIME(5,20,59)</f>
        <v>40300.222905092596</v>
      </c>
      <c r="C64">
        <v>80</v>
      </c>
      <c r="D64">
        <v>66.370620728000006</v>
      </c>
      <c r="E64">
        <v>50</v>
      </c>
      <c r="F64">
        <v>14.981200218</v>
      </c>
      <c r="G64">
        <v>1404.6323242000001</v>
      </c>
      <c r="H64">
        <v>1387.9294434000001</v>
      </c>
      <c r="I64">
        <v>1258.6877440999999</v>
      </c>
      <c r="J64">
        <v>1219.2414550999999</v>
      </c>
      <c r="K64">
        <v>2400</v>
      </c>
      <c r="L64">
        <v>0</v>
      </c>
      <c r="M64">
        <v>0</v>
      </c>
      <c r="N64">
        <v>2400</v>
      </c>
    </row>
    <row r="65" spans="1:14" x14ac:dyDescent="0.25">
      <c r="A65">
        <v>1.249215</v>
      </c>
      <c r="B65" s="1">
        <f>DATE(2010,5,2) + TIME(5,58,52)</f>
        <v>40300.249212962961</v>
      </c>
      <c r="C65">
        <v>80</v>
      </c>
      <c r="D65">
        <v>66.849601746000005</v>
      </c>
      <c r="E65">
        <v>50</v>
      </c>
      <c r="F65">
        <v>14.981212616000001</v>
      </c>
      <c r="G65">
        <v>1404.6550293</v>
      </c>
      <c r="H65">
        <v>1387.9991454999999</v>
      </c>
      <c r="I65">
        <v>1258.5036620999999</v>
      </c>
      <c r="J65">
        <v>1219.0573730000001</v>
      </c>
      <c r="K65">
        <v>2400</v>
      </c>
      <c r="L65">
        <v>0</v>
      </c>
      <c r="M65">
        <v>0</v>
      </c>
      <c r="N65">
        <v>2400</v>
      </c>
    </row>
    <row r="66" spans="1:14" x14ac:dyDescent="0.25">
      <c r="A66">
        <v>1.275522</v>
      </c>
      <c r="B66" s="1">
        <f>DATE(2010,5,2) + TIME(6,36,45)</f>
        <v>40300.275520833333</v>
      </c>
      <c r="C66">
        <v>80</v>
      </c>
      <c r="D66">
        <v>67.312347411999994</v>
      </c>
      <c r="E66">
        <v>50</v>
      </c>
      <c r="F66">
        <v>14.981225967</v>
      </c>
      <c r="G66">
        <v>1404.6531981999999</v>
      </c>
      <c r="H66">
        <v>1388.0784911999999</v>
      </c>
      <c r="I66">
        <v>1258.324707</v>
      </c>
      <c r="J66">
        <v>1218.878418</v>
      </c>
      <c r="K66">
        <v>2400</v>
      </c>
      <c r="L66">
        <v>0</v>
      </c>
      <c r="M66">
        <v>0</v>
      </c>
      <c r="N66">
        <v>2400</v>
      </c>
    </row>
    <row r="67" spans="1:14" x14ac:dyDescent="0.25">
      <c r="A67">
        <v>1.3018289999999999</v>
      </c>
      <c r="B67" s="1">
        <f>DATE(2010,5,2) + TIME(7,14,37)</f>
        <v>40300.301817129628</v>
      </c>
      <c r="C67">
        <v>80</v>
      </c>
      <c r="D67">
        <v>67.759376525999997</v>
      </c>
      <c r="E67">
        <v>50</v>
      </c>
      <c r="F67">
        <v>14.981239319</v>
      </c>
      <c r="G67">
        <v>1404.6591797000001</v>
      </c>
      <c r="H67">
        <v>1388.1604004000001</v>
      </c>
      <c r="I67">
        <v>1258.1508789</v>
      </c>
      <c r="J67">
        <v>1218.7045897999999</v>
      </c>
      <c r="K67">
        <v>2400</v>
      </c>
      <c r="L67">
        <v>0</v>
      </c>
      <c r="M67">
        <v>0</v>
      </c>
      <c r="N67">
        <v>2400</v>
      </c>
    </row>
    <row r="68" spans="1:14" x14ac:dyDescent="0.25">
      <c r="A68">
        <v>1.3281350000000001</v>
      </c>
      <c r="B68" s="1">
        <f>DATE(2010,5,2) + TIME(7,52,30)</f>
        <v>40300.328125</v>
      </c>
      <c r="C68">
        <v>80</v>
      </c>
      <c r="D68">
        <v>68.191184997999997</v>
      </c>
      <c r="E68">
        <v>50</v>
      </c>
      <c r="F68">
        <v>14.981253624000001</v>
      </c>
      <c r="G68">
        <v>1404.6677245999999</v>
      </c>
      <c r="H68">
        <v>1388.2409668</v>
      </c>
      <c r="I68">
        <v>1257.9819336</v>
      </c>
      <c r="J68">
        <v>1218.5356445</v>
      </c>
      <c r="K68">
        <v>2400</v>
      </c>
      <c r="L68">
        <v>0</v>
      </c>
      <c r="M68">
        <v>0</v>
      </c>
      <c r="N68">
        <v>2400</v>
      </c>
    </row>
    <row r="69" spans="1:14" x14ac:dyDescent="0.25">
      <c r="A69">
        <v>1.3544419999999999</v>
      </c>
      <c r="B69" s="1">
        <f>DATE(2010,5,2) + TIME(8,30,23)</f>
        <v>40300.354432870372</v>
      </c>
      <c r="C69">
        <v>80</v>
      </c>
      <c r="D69">
        <v>68.608238220000004</v>
      </c>
      <c r="E69">
        <v>50</v>
      </c>
      <c r="F69">
        <v>14.981266975</v>
      </c>
      <c r="G69">
        <v>1404.677124</v>
      </c>
      <c r="H69">
        <v>1388.3189697</v>
      </c>
      <c r="I69">
        <v>1257.8175048999999</v>
      </c>
      <c r="J69">
        <v>1218.3713379000001</v>
      </c>
      <c r="K69">
        <v>2400</v>
      </c>
      <c r="L69">
        <v>0</v>
      </c>
      <c r="M69">
        <v>0</v>
      </c>
      <c r="N69">
        <v>2400</v>
      </c>
    </row>
    <row r="70" spans="1:14" x14ac:dyDescent="0.25">
      <c r="A70">
        <v>1.380749</v>
      </c>
      <c r="B70" s="1">
        <f>DATE(2010,5,2) + TIME(9,8,16)</f>
        <v>40300.380740740744</v>
      </c>
      <c r="C70">
        <v>80</v>
      </c>
      <c r="D70">
        <v>69.011001586999996</v>
      </c>
      <c r="E70">
        <v>50</v>
      </c>
      <c r="F70">
        <v>14.981281280999999</v>
      </c>
      <c r="G70">
        <v>1404.6870117000001</v>
      </c>
      <c r="H70">
        <v>1388.3941649999999</v>
      </c>
      <c r="I70">
        <v>1257.6575928</v>
      </c>
      <c r="J70">
        <v>1218.2114257999999</v>
      </c>
      <c r="K70">
        <v>2400</v>
      </c>
      <c r="L70">
        <v>0</v>
      </c>
      <c r="M70">
        <v>0</v>
      </c>
      <c r="N70">
        <v>2400</v>
      </c>
    </row>
    <row r="71" spans="1:14" x14ac:dyDescent="0.25">
      <c r="A71">
        <v>1.4070549999999999</v>
      </c>
      <c r="B71" s="1">
        <f>DATE(2010,5,2) + TIME(9,46,9)</f>
        <v>40300.407048611109</v>
      </c>
      <c r="C71">
        <v>80</v>
      </c>
      <c r="D71">
        <v>69.399925232000001</v>
      </c>
      <c r="E71">
        <v>50</v>
      </c>
      <c r="F71">
        <v>14.981295586</v>
      </c>
      <c r="G71">
        <v>1404.6970214999999</v>
      </c>
      <c r="H71">
        <v>1388.4665527</v>
      </c>
      <c r="I71">
        <v>1257.5019531</v>
      </c>
      <c r="J71">
        <v>1218.0557861</v>
      </c>
      <c r="K71">
        <v>2400</v>
      </c>
      <c r="L71">
        <v>0</v>
      </c>
      <c r="M71">
        <v>0</v>
      </c>
      <c r="N71">
        <v>2400</v>
      </c>
    </row>
    <row r="72" spans="1:14" x14ac:dyDescent="0.25">
      <c r="A72">
        <v>1.433362</v>
      </c>
      <c r="B72" s="1">
        <f>DATE(2010,5,2) + TIME(10,24,2)</f>
        <v>40300.433356481481</v>
      </c>
      <c r="C72">
        <v>80</v>
      </c>
      <c r="D72">
        <v>69.775459290000001</v>
      </c>
      <c r="E72">
        <v>50</v>
      </c>
      <c r="F72">
        <v>14.981309891</v>
      </c>
      <c r="G72">
        <v>1404.7071533000001</v>
      </c>
      <c r="H72">
        <v>1388.5361327999999</v>
      </c>
      <c r="I72">
        <v>1257.3504639</v>
      </c>
      <c r="J72">
        <v>1217.9042969</v>
      </c>
      <c r="K72">
        <v>2400</v>
      </c>
      <c r="L72">
        <v>0</v>
      </c>
      <c r="M72">
        <v>0</v>
      </c>
      <c r="N72">
        <v>2400</v>
      </c>
    </row>
    <row r="73" spans="1:14" x14ac:dyDescent="0.25">
      <c r="A73">
        <v>1.4596690000000001</v>
      </c>
      <c r="B73" s="1">
        <f>DATE(2010,5,2) + TIME(11,1,55)</f>
        <v>40300.459664351853</v>
      </c>
      <c r="C73">
        <v>80</v>
      </c>
      <c r="D73">
        <v>70.137916564999998</v>
      </c>
      <c r="E73">
        <v>50</v>
      </c>
      <c r="F73">
        <v>14.981324195999999</v>
      </c>
      <c r="G73">
        <v>1404.7171631000001</v>
      </c>
      <c r="H73">
        <v>1388.6029053</v>
      </c>
      <c r="I73">
        <v>1257.2028809000001</v>
      </c>
      <c r="J73">
        <v>1217.7567139</v>
      </c>
      <c r="K73">
        <v>2400</v>
      </c>
      <c r="L73">
        <v>0</v>
      </c>
      <c r="M73">
        <v>0</v>
      </c>
      <c r="N73">
        <v>2400</v>
      </c>
    </row>
    <row r="74" spans="1:14" x14ac:dyDescent="0.25">
      <c r="A74">
        <v>1.5122819999999999</v>
      </c>
      <c r="B74" s="1">
        <f>DATE(2010,5,2) + TIME(12,17,41)</f>
        <v>40300.512280092589</v>
      </c>
      <c r="C74">
        <v>80</v>
      </c>
      <c r="D74">
        <v>70.812797545999999</v>
      </c>
      <c r="E74">
        <v>50</v>
      </c>
      <c r="F74">
        <v>14.981354713</v>
      </c>
      <c r="G74">
        <v>1404.7432861</v>
      </c>
      <c r="H74">
        <v>1388.7614745999999</v>
      </c>
      <c r="I74">
        <v>1256.9224853999999</v>
      </c>
      <c r="J74">
        <v>1217.4763184000001</v>
      </c>
      <c r="K74">
        <v>2400</v>
      </c>
      <c r="L74">
        <v>0</v>
      </c>
      <c r="M74">
        <v>0</v>
      </c>
      <c r="N74">
        <v>2400</v>
      </c>
    </row>
    <row r="75" spans="1:14" x14ac:dyDescent="0.25">
      <c r="A75">
        <v>1.565007</v>
      </c>
      <c r="B75" s="1">
        <f>DATE(2010,5,2) + TIME(13,33,36)</f>
        <v>40300.565000000002</v>
      </c>
      <c r="C75">
        <v>80</v>
      </c>
      <c r="D75">
        <v>71.443572997999993</v>
      </c>
      <c r="E75">
        <v>50</v>
      </c>
      <c r="F75">
        <v>14.981386185</v>
      </c>
      <c r="G75">
        <v>1404.7730713000001</v>
      </c>
      <c r="H75">
        <v>1388.8837891000001</v>
      </c>
      <c r="I75">
        <v>1256.6552733999999</v>
      </c>
      <c r="J75">
        <v>1217.2091064000001</v>
      </c>
      <c r="K75">
        <v>2400</v>
      </c>
      <c r="L75">
        <v>0</v>
      </c>
      <c r="M75">
        <v>0</v>
      </c>
      <c r="N75">
        <v>2400</v>
      </c>
    </row>
    <row r="76" spans="1:14" x14ac:dyDescent="0.25">
      <c r="A76">
        <v>1.6180859999999999</v>
      </c>
      <c r="B76" s="1">
        <f>DATE(2010,5,2) + TIME(14,50,2)</f>
        <v>40300.618078703701</v>
      </c>
      <c r="C76">
        <v>80</v>
      </c>
      <c r="D76">
        <v>72.035354613999999</v>
      </c>
      <c r="E76">
        <v>50</v>
      </c>
      <c r="F76">
        <v>14.981417656</v>
      </c>
      <c r="G76">
        <v>1404.7945557</v>
      </c>
      <c r="H76">
        <v>1388.9920654</v>
      </c>
      <c r="I76">
        <v>1256.3991699000001</v>
      </c>
      <c r="J76">
        <v>1216.9530029</v>
      </c>
      <c r="K76">
        <v>2400</v>
      </c>
      <c r="L76">
        <v>0</v>
      </c>
      <c r="M76">
        <v>0</v>
      </c>
      <c r="N76">
        <v>2400</v>
      </c>
    </row>
    <row r="77" spans="1:14" x14ac:dyDescent="0.25">
      <c r="A77">
        <v>1.6716</v>
      </c>
      <c r="B77" s="1">
        <f>DATE(2010,5,2) + TIME(16,7,6)</f>
        <v>40300.671597222223</v>
      </c>
      <c r="C77">
        <v>80</v>
      </c>
      <c r="D77">
        <v>72.590873717999997</v>
      </c>
      <c r="E77">
        <v>50</v>
      </c>
      <c r="F77">
        <v>14.981449126999999</v>
      </c>
      <c r="G77">
        <v>1404.8131103999999</v>
      </c>
      <c r="H77">
        <v>1389.0911865</v>
      </c>
      <c r="I77">
        <v>1256.1533202999999</v>
      </c>
      <c r="J77">
        <v>1216.7071533000001</v>
      </c>
      <c r="K77">
        <v>2400</v>
      </c>
      <c r="L77">
        <v>0</v>
      </c>
      <c r="M77">
        <v>0</v>
      </c>
      <c r="N77">
        <v>2400</v>
      </c>
    </row>
    <row r="78" spans="1:14" x14ac:dyDescent="0.25">
      <c r="A78">
        <v>1.7256290000000001</v>
      </c>
      <c r="B78" s="1">
        <f>DATE(2010,5,2) + TIME(17,24,54)</f>
        <v>40300.725624999999</v>
      </c>
      <c r="C78">
        <v>80</v>
      </c>
      <c r="D78">
        <v>73.112586974999999</v>
      </c>
      <c r="E78">
        <v>50</v>
      </c>
      <c r="F78">
        <v>14.981480597999999</v>
      </c>
      <c r="G78">
        <v>1404.8299560999999</v>
      </c>
      <c r="H78">
        <v>1389.1828613</v>
      </c>
      <c r="I78">
        <v>1255.9168701000001</v>
      </c>
      <c r="J78">
        <v>1216.4707031</v>
      </c>
      <c r="K78">
        <v>2400</v>
      </c>
      <c r="L78">
        <v>0</v>
      </c>
      <c r="M78">
        <v>0</v>
      </c>
      <c r="N78">
        <v>2400</v>
      </c>
    </row>
    <row r="79" spans="1:14" x14ac:dyDescent="0.25">
      <c r="A79">
        <v>1.7802480000000001</v>
      </c>
      <c r="B79" s="1">
        <f>DATE(2010,5,2) + TIME(18,43,33)</f>
        <v>40300.780243055553</v>
      </c>
      <c r="C79">
        <v>80</v>
      </c>
      <c r="D79">
        <v>73.602668761999993</v>
      </c>
      <c r="E79">
        <v>50</v>
      </c>
      <c r="F79">
        <v>14.981513023</v>
      </c>
      <c r="G79">
        <v>1404.8454589999999</v>
      </c>
      <c r="H79">
        <v>1389.2678223</v>
      </c>
      <c r="I79">
        <v>1255.6889647999999</v>
      </c>
      <c r="J79">
        <v>1216.2429199000001</v>
      </c>
      <c r="K79">
        <v>2400</v>
      </c>
      <c r="L79">
        <v>0</v>
      </c>
      <c r="M79">
        <v>0</v>
      </c>
      <c r="N79">
        <v>2400</v>
      </c>
    </row>
    <row r="80" spans="1:14" x14ac:dyDescent="0.25">
      <c r="A80">
        <v>1.835526</v>
      </c>
      <c r="B80" s="1">
        <f>DATE(2010,5,2) + TIME(20,3,9)</f>
        <v>40300.835520833331</v>
      </c>
      <c r="C80">
        <v>80</v>
      </c>
      <c r="D80">
        <v>74.063041686999995</v>
      </c>
      <c r="E80">
        <v>50</v>
      </c>
      <c r="F80">
        <v>14.981545448</v>
      </c>
      <c r="G80">
        <v>1404.8594971</v>
      </c>
      <c r="H80">
        <v>1389.3465576000001</v>
      </c>
      <c r="I80">
        <v>1255.4691161999999</v>
      </c>
      <c r="J80">
        <v>1216.0230713000001</v>
      </c>
      <c r="K80">
        <v>2400</v>
      </c>
      <c r="L80">
        <v>0</v>
      </c>
      <c r="M80">
        <v>0</v>
      </c>
      <c r="N80">
        <v>2400</v>
      </c>
    </row>
    <row r="81" spans="1:14" x14ac:dyDescent="0.25">
      <c r="A81">
        <v>1.8915550000000001</v>
      </c>
      <c r="B81" s="1">
        <f>DATE(2010,5,2) + TIME(21,23,50)</f>
        <v>40300.891550925924</v>
      </c>
      <c r="C81">
        <v>80</v>
      </c>
      <c r="D81">
        <v>74.495605468999997</v>
      </c>
      <c r="E81">
        <v>50</v>
      </c>
      <c r="F81">
        <v>14.981577873000001</v>
      </c>
      <c r="G81">
        <v>1404.8721923999999</v>
      </c>
      <c r="H81">
        <v>1389.4193115</v>
      </c>
      <c r="I81">
        <v>1255.2565918</v>
      </c>
      <c r="J81">
        <v>1215.8105469</v>
      </c>
      <c r="K81">
        <v>2400</v>
      </c>
      <c r="L81">
        <v>0</v>
      </c>
      <c r="M81">
        <v>0</v>
      </c>
      <c r="N81">
        <v>2400</v>
      </c>
    </row>
    <row r="82" spans="1:14" x14ac:dyDescent="0.25">
      <c r="A82">
        <v>1.948415</v>
      </c>
      <c r="B82" s="1">
        <f>DATE(2010,5,2) + TIME(22,45,43)</f>
        <v>40300.948414351849</v>
      </c>
      <c r="C82">
        <v>80</v>
      </c>
      <c r="D82">
        <v>74.902023314999994</v>
      </c>
      <c r="E82">
        <v>50</v>
      </c>
      <c r="F82">
        <v>14.981611252</v>
      </c>
      <c r="G82">
        <v>1404.8835449000001</v>
      </c>
      <c r="H82">
        <v>1389.4866943</v>
      </c>
      <c r="I82">
        <v>1255.0509033000001</v>
      </c>
      <c r="J82">
        <v>1215.6049805</v>
      </c>
      <c r="K82">
        <v>2400</v>
      </c>
      <c r="L82">
        <v>0</v>
      </c>
      <c r="M82">
        <v>0</v>
      </c>
      <c r="N82">
        <v>2400</v>
      </c>
    </row>
    <row r="83" spans="1:14" x14ac:dyDescent="0.25">
      <c r="A83">
        <v>2.0061909999999998</v>
      </c>
      <c r="B83" s="1">
        <f>DATE(2010,5,3) + TIME(0,8,54)</f>
        <v>40301.006180555552</v>
      </c>
      <c r="C83">
        <v>80</v>
      </c>
      <c r="D83">
        <v>75.283584594999994</v>
      </c>
      <c r="E83">
        <v>50</v>
      </c>
      <c r="F83">
        <v>14.98164463</v>
      </c>
      <c r="G83">
        <v>1404.8934326000001</v>
      </c>
      <c r="H83">
        <v>1389.5488281</v>
      </c>
      <c r="I83">
        <v>1254.8516846</v>
      </c>
      <c r="J83">
        <v>1215.4057617000001</v>
      </c>
      <c r="K83">
        <v>2400</v>
      </c>
      <c r="L83">
        <v>0</v>
      </c>
      <c r="M83">
        <v>0</v>
      </c>
      <c r="N83">
        <v>2400</v>
      </c>
    </row>
    <row r="84" spans="1:14" x14ac:dyDescent="0.25">
      <c r="A84">
        <v>2.0649709999999999</v>
      </c>
      <c r="B84" s="1">
        <f>DATE(2010,5,3) + TIME(1,33,33)</f>
        <v>40301.064965277779</v>
      </c>
      <c r="C84">
        <v>80</v>
      </c>
      <c r="D84">
        <v>75.641830443999993</v>
      </c>
      <c r="E84">
        <v>50</v>
      </c>
      <c r="F84">
        <v>14.981678008999999</v>
      </c>
      <c r="G84">
        <v>1404.9018555</v>
      </c>
      <c r="H84">
        <v>1389.605957</v>
      </c>
      <c r="I84">
        <v>1254.6583252</v>
      </c>
      <c r="J84">
        <v>1215.2124022999999</v>
      </c>
      <c r="K84">
        <v>2400</v>
      </c>
      <c r="L84">
        <v>0</v>
      </c>
      <c r="M84">
        <v>0</v>
      </c>
      <c r="N84">
        <v>2400</v>
      </c>
    </row>
    <row r="85" spans="1:14" x14ac:dyDescent="0.25">
      <c r="A85">
        <v>2.1248490000000002</v>
      </c>
      <c r="B85" s="1">
        <f>DATE(2010,5,3) + TIME(2,59,46)</f>
        <v>40301.124837962961</v>
      </c>
      <c r="C85">
        <v>80</v>
      </c>
      <c r="D85">
        <v>75.978118895999998</v>
      </c>
      <c r="E85">
        <v>50</v>
      </c>
      <c r="F85">
        <v>14.981712341</v>
      </c>
      <c r="G85">
        <v>1404.9086914</v>
      </c>
      <c r="H85">
        <v>1389.6583252</v>
      </c>
      <c r="I85">
        <v>1254.4705810999999</v>
      </c>
      <c r="J85">
        <v>1215.0247803</v>
      </c>
      <c r="K85">
        <v>2400</v>
      </c>
      <c r="L85">
        <v>0</v>
      </c>
      <c r="M85">
        <v>0</v>
      </c>
      <c r="N85">
        <v>2400</v>
      </c>
    </row>
    <row r="86" spans="1:14" x14ac:dyDescent="0.25">
      <c r="A86">
        <v>2.1859229999999998</v>
      </c>
      <c r="B86" s="1">
        <f>DATE(2010,5,3) + TIME(4,27,43)</f>
        <v>40301.185914351852</v>
      </c>
      <c r="C86">
        <v>80</v>
      </c>
      <c r="D86">
        <v>76.293624878000003</v>
      </c>
      <c r="E86">
        <v>50</v>
      </c>
      <c r="F86">
        <v>14.981747627000001</v>
      </c>
      <c r="G86">
        <v>1404.9139404</v>
      </c>
      <c r="H86">
        <v>1389.7060547000001</v>
      </c>
      <c r="I86">
        <v>1254.2880858999999</v>
      </c>
      <c r="J86">
        <v>1214.8422852000001</v>
      </c>
      <c r="K86">
        <v>2400</v>
      </c>
      <c r="L86">
        <v>0</v>
      </c>
      <c r="M86">
        <v>0</v>
      </c>
      <c r="N86">
        <v>2400</v>
      </c>
    </row>
    <row r="87" spans="1:14" x14ac:dyDescent="0.25">
      <c r="A87">
        <v>2.248297</v>
      </c>
      <c r="B87" s="1">
        <f>DATE(2010,5,3) + TIME(5,57,32)</f>
        <v>40301.248287037037</v>
      </c>
      <c r="C87">
        <v>80</v>
      </c>
      <c r="D87">
        <v>76.589477539000001</v>
      </c>
      <c r="E87">
        <v>50</v>
      </c>
      <c r="F87">
        <v>14.981782913</v>
      </c>
      <c r="G87">
        <v>1404.9174805</v>
      </c>
      <c r="H87">
        <v>1389.7493896000001</v>
      </c>
      <c r="I87">
        <v>1254.1104736</v>
      </c>
      <c r="J87">
        <v>1214.6646728999999</v>
      </c>
      <c r="K87">
        <v>2400</v>
      </c>
      <c r="L87">
        <v>0</v>
      </c>
      <c r="M87">
        <v>0</v>
      </c>
      <c r="N87">
        <v>2400</v>
      </c>
    </row>
    <row r="88" spans="1:14" x14ac:dyDescent="0.25">
      <c r="A88">
        <v>2.312084</v>
      </c>
      <c r="B88" s="1">
        <f>DATE(2010,5,3) + TIME(7,29,24)</f>
        <v>40301.312083333331</v>
      </c>
      <c r="C88">
        <v>80</v>
      </c>
      <c r="D88">
        <v>76.866699218999997</v>
      </c>
      <c r="E88">
        <v>50</v>
      </c>
      <c r="F88">
        <v>14.981819153</v>
      </c>
      <c r="G88">
        <v>1404.9191894999999</v>
      </c>
      <c r="H88">
        <v>1389.7884521000001</v>
      </c>
      <c r="I88">
        <v>1253.9375</v>
      </c>
      <c r="J88">
        <v>1214.4916992000001</v>
      </c>
      <c r="K88">
        <v>2400</v>
      </c>
      <c r="L88">
        <v>0</v>
      </c>
      <c r="M88">
        <v>0</v>
      </c>
      <c r="N88">
        <v>2400</v>
      </c>
    </row>
    <row r="89" spans="1:14" x14ac:dyDescent="0.25">
      <c r="A89">
        <v>2.3774060000000001</v>
      </c>
      <c r="B89" s="1">
        <f>DATE(2010,5,3) + TIME(9,3,27)</f>
        <v>40301.377395833333</v>
      </c>
      <c r="C89">
        <v>80</v>
      </c>
      <c r="D89">
        <v>77.126258849999999</v>
      </c>
      <c r="E89">
        <v>50</v>
      </c>
      <c r="F89">
        <v>14.981856346000001</v>
      </c>
      <c r="G89">
        <v>1404.9190673999999</v>
      </c>
      <c r="H89">
        <v>1389.8232422000001</v>
      </c>
      <c r="I89">
        <v>1253.7689209</v>
      </c>
      <c r="J89">
        <v>1214.3231201000001</v>
      </c>
      <c r="K89">
        <v>2400</v>
      </c>
      <c r="L89">
        <v>0</v>
      </c>
      <c r="M89">
        <v>0</v>
      </c>
      <c r="N89">
        <v>2400</v>
      </c>
    </row>
    <row r="90" spans="1:14" x14ac:dyDescent="0.25">
      <c r="A90">
        <v>2.44442</v>
      </c>
      <c r="B90" s="1">
        <f>DATE(2010,5,3) + TIME(10,39,57)</f>
        <v>40301.444409722222</v>
      </c>
      <c r="C90">
        <v>80</v>
      </c>
      <c r="D90">
        <v>77.369140625</v>
      </c>
      <c r="E90">
        <v>50</v>
      </c>
      <c r="F90">
        <v>14.981894493</v>
      </c>
      <c r="G90">
        <v>1404.9169922000001</v>
      </c>
      <c r="H90">
        <v>1389.8540039</v>
      </c>
      <c r="I90">
        <v>1253.6043701000001</v>
      </c>
      <c r="J90">
        <v>1214.1585693</v>
      </c>
      <c r="K90">
        <v>2400</v>
      </c>
      <c r="L90">
        <v>0</v>
      </c>
      <c r="M90">
        <v>0</v>
      </c>
      <c r="N90">
        <v>2400</v>
      </c>
    </row>
    <row r="91" spans="1:14" x14ac:dyDescent="0.25">
      <c r="A91">
        <v>2.5132430000000001</v>
      </c>
      <c r="B91" s="1">
        <f>DATE(2010,5,3) + TIME(12,19,4)</f>
        <v>40301.513240740744</v>
      </c>
      <c r="C91">
        <v>80</v>
      </c>
      <c r="D91">
        <v>77.596099854000002</v>
      </c>
      <c r="E91">
        <v>50</v>
      </c>
      <c r="F91">
        <v>14.98193264</v>
      </c>
      <c r="G91">
        <v>1404.9129639</v>
      </c>
      <c r="H91">
        <v>1389.8807373</v>
      </c>
      <c r="I91">
        <v>1253.4437256000001</v>
      </c>
      <c r="J91">
        <v>1213.9980469</v>
      </c>
      <c r="K91">
        <v>2400</v>
      </c>
      <c r="L91">
        <v>0</v>
      </c>
      <c r="M91">
        <v>0</v>
      </c>
      <c r="N91">
        <v>2400</v>
      </c>
    </row>
    <row r="92" spans="1:14" x14ac:dyDescent="0.25">
      <c r="A92">
        <v>2.584031</v>
      </c>
      <c r="B92" s="1">
        <f>DATE(2010,5,3) + TIME(14,1,0)</f>
        <v>40301.584027777775</v>
      </c>
      <c r="C92">
        <v>80</v>
      </c>
      <c r="D92">
        <v>77.807914733999993</v>
      </c>
      <c r="E92">
        <v>50</v>
      </c>
      <c r="F92">
        <v>14.981972694</v>
      </c>
      <c r="G92">
        <v>1404.9067382999999</v>
      </c>
      <c r="H92">
        <v>1389.9034423999999</v>
      </c>
      <c r="I92">
        <v>1253.2868652</v>
      </c>
      <c r="J92">
        <v>1213.8411865</v>
      </c>
      <c r="K92">
        <v>2400</v>
      </c>
      <c r="L92">
        <v>0</v>
      </c>
      <c r="M92">
        <v>0</v>
      </c>
      <c r="N92">
        <v>2400</v>
      </c>
    </row>
    <row r="93" spans="1:14" x14ac:dyDescent="0.25">
      <c r="A93">
        <v>2.6569500000000001</v>
      </c>
      <c r="B93" s="1">
        <f>DATE(2010,5,3) + TIME(15,46,0)</f>
        <v>40301.656944444447</v>
      </c>
      <c r="C93">
        <v>80</v>
      </c>
      <c r="D93">
        <v>78.005348205999994</v>
      </c>
      <c r="E93">
        <v>50</v>
      </c>
      <c r="F93">
        <v>14.982012749000001</v>
      </c>
      <c r="G93">
        <v>1404.8983154</v>
      </c>
      <c r="H93">
        <v>1389.9222411999999</v>
      </c>
      <c r="I93">
        <v>1253.1335449000001</v>
      </c>
      <c r="J93">
        <v>1213.6878661999999</v>
      </c>
      <c r="K93">
        <v>2400</v>
      </c>
      <c r="L93">
        <v>0</v>
      </c>
      <c r="M93">
        <v>0</v>
      </c>
      <c r="N93">
        <v>2400</v>
      </c>
    </row>
    <row r="94" spans="1:14" x14ac:dyDescent="0.25">
      <c r="A94">
        <v>2.7321879999999998</v>
      </c>
      <c r="B94" s="1">
        <f>DATE(2010,5,3) + TIME(17,34,21)</f>
        <v>40301.732187499998</v>
      </c>
      <c r="C94">
        <v>80</v>
      </c>
      <c r="D94">
        <v>78.189086914000001</v>
      </c>
      <c r="E94">
        <v>50</v>
      </c>
      <c r="F94">
        <v>14.98205471</v>
      </c>
      <c r="G94">
        <v>1404.8874512</v>
      </c>
      <c r="H94">
        <v>1389.9370117000001</v>
      </c>
      <c r="I94">
        <v>1252.9836425999999</v>
      </c>
      <c r="J94">
        <v>1213.5380858999999</v>
      </c>
      <c r="K94">
        <v>2400</v>
      </c>
      <c r="L94">
        <v>0</v>
      </c>
      <c r="M94">
        <v>0</v>
      </c>
      <c r="N94">
        <v>2400</v>
      </c>
    </row>
    <row r="95" spans="1:14" x14ac:dyDescent="0.25">
      <c r="A95">
        <v>2.8099509999999999</v>
      </c>
      <c r="B95" s="1">
        <f>DATE(2010,5,3) + TIME(19,26,19)</f>
        <v>40301.809942129628</v>
      </c>
      <c r="C95">
        <v>80</v>
      </c>
      <c r="D95">
        <v>78.359817504999995</v>
      </c>
      <c r="E95">
        <v>50</v>
      </c>
      <c r="F95">
        <v>14.982098579000001</v>
      </c>
      <c r="G95">
        <v>1404.8741454999999</v>
      </c>
      <c r="H95">
        <v>1389.9477539</v>
      </c>
      <c r="I95">
        <v>1252.8370361</v>
      </c>
      <c r="J95">
        <v>1213.3914795000001</v>
      </c>
      <c r="K95">
        <v>2400</v>
      </c>
      <c r="L95">
        <v>0</v>
      </c>
      <c r="M95">
        <v>0</v>
      </c>
      <c r="N95">
        <v>2400</v>
      </c>
    </row>
    <row r="96" spans="1:14" x14ac:dyDescent="0.25">
      <c r="A96">
        <v>2.8902760000000001</v>
      </c>
      <c r="B96" s="1">
        <f>DATE(2010,5,3) + TIME(21,21,59)</f>
        <v>40301.890266203707</v>
      </c>
      <c r="C96">
        <v>80</v>
      </c>
      <c r="D96">
        <v>78.517822265999996</v>
      </c>
      <c r="E96">
        <v>50</v>
      </c>
      <c r="F96">
        <v>14.982142447999999</v>
      </c>
      <c r="G96">
        <v>1404.8580322</v>
      </c>
      <c r="H96">
        <v>1389.9543457</v>
      </c>
      <c r="I96">
        <v>1252.6938477000001</v>
      </c>
      <c r="J96">
        <v>1213.2484131000001</v>
      </c>
      <c r="K96">
        <v>2400</v>
      </c>
      <c r="L96">
        <v>0</v>
      </c>
      <c r="M96">
        <v>0</v>
      </c>
      <c r="N96">
        <v>2400</v>
      </c>
    </row>
    <row r="97" spans="1:14" x14ac:dyDescent="0.25">
      <c r="A97">
        <v>2.972969</v>
      </c>
      <c r="B97" s="1">
        <f>DATE(2010,5,3) + TIME(23,21,4)</f>
        <v>40301.972962962966</v>
      </c>
      <c r="C97">
        <v>80</v>
      </c>
      <c r="D97">
        <v>78.663108825999998</v>
      </c>
      <c r="E97">
        <v>50</v>
      </c>
      <c r="F97">
        <v>14.982188225</v>
      </c>
      <c r="G97">
        <v>1404.8387451000001</v>
      </c>
      <c r="H97">
        <v>1389.9561768000001</v>
      </c>
      <c r="I97">
        <v>1252.5548096</v>
      </c>
      <c r="J97">
        <v>1213.1092529</v>
      </c>
      <c r="K97">
        <v>2400</v>
      </c>
      <c r="L97">
        <v>0</v>
      </c>
      <c r="M97">
        <v>0</v>
      </c>
      <c r="N97">
        <v>2400</v>
      </c>
    </row>
    <row r="98" spans="1:14" x14ac:dyDescent="0.25">
      <c r="A98">
        <v>3.0582319999999998</v>
      </c>
      <c r="B98" s="1">
        <f>DATE(2010,5,4) + TIME(1,23,51)</f>
        <v>40302.058229166665</v>
      </c>
      <c r="C98">
        <v>80</v>
      </c>
      <c r="D98">
        <v>78.796470642000003</v>
      </c>
      <c r="E98">
        <v>50</v>
      </c>
      <c r="F98">
        <v>14.982234954999999</v>
      </c>
      <c r="G98">
        <v>1404.8164062000001</v>
      </c>
      <c r="H98">
        <v>1389.9538574000001</v>
      </c>
      <c r="I98">
        <v>1252.4195557</v>
      </c>
      <c r="J98">
        <v>1212.9741211</v>
      </c>
      <c r="K98">
        <v>2400</v>
      </c>
      <c r="L98">
        <v>0</v>
      </c>
      <c r="M98">
        <v>0</v>
      </c>
      <c r="N98">
        <v>2400</v>
      </c>
    </row>
    <row r="99" spans="1:14" x14ac:dyDescent="0.25">
      <c r="A99">
        <v>3.1461440000000001</v>
      </c>
      <c r="B99" s="1">
        <f>DATE(2010,5,4) + TIME(3,30,26)</f>
        <v>40302.146134259259</v>
      </c>
      <c r="C99">
        <v>80</v>
      </c>
      <c r="D99">
        <v>78.918464661000002</v>
      </c>
      <c r="E99">
        <v>50</v>
      </c>
      <c r="F99">
        <v>14.982283592</v>
      </c>
      <c r="G99">
        <v>1404.7910156</v>
      </c>
      <c r="H99">
        <v>1389.9472656</v>
      </c>
      <c r="I99">
        <v>1252.2883300999999</v>
      </c>
      <c r="J99">
        <v>1212.8430175999999</v>
      </c>
      <c r="K99">
        <v>2400</v>
      </c>
      <c r="L99">
        <v>0</v>
      </c>
      <c r="M99">
        <v>0</v>
      </c>
      <c r="N99">
        <v>2400</v>
      </c>
    </row>
    <row r="100" spans="1:14" x14ac:dyDescent="0.25">
      <c r="A100">
        <v>3.2368139999999999</v>
      </c>
      <c r="B100" s="1">
        <f>DATE(2010,5,4) + TIME(5,41,0)</f>
        <v>40302.236805555556</v>
      </c>
      <c r="C100">
        <v>80</v>
      </c>
      <c r="D100">
        <v>79.029716492000006</v>
      </c>
      <c r="E100">
        <v>50</v>
      </c>
      <c r="F100">
        <v>14.982333183</v>
      </c>
      <c r="G100">
        <v>1404.7624512</v>
      </c>
      <c r="H100">
        <v>1389.9361572</v>
      </c>
      <c r="I100">
        <v>1252.1612548999999</v>
      </c>
      <c r="J100">
        <v>1212.7158202999999</v>
      </c>
      <c r="K100">
        <v>2400</v>
      </c>
      <c r="L100">
        <v>0</v>
      </c>
      <c r="M100">
        <v>0</v>
      </c>
      <c r="N100">
        <v>2400</v>
      </c>
    </row>
    <row r="101" spans="1:14" x14ac:dyDescent="0.25">
      <c r="A101">
        <v>3.3304860000000001</v>
      </c>
      <c r="B101" s="1">
        <f>DATE(2010,5,4) + TIME(7,55,53)</f>
        <v>40302.330474537041</v>
      </c>
      <c r="C101">
        <v>80</v>
      </c>
      <c r="D101">
        <v>79.130958557</v>
      </c>
      <c r="E101">
        <v>50</v>
      </c>
      <c r="F101">
        <v>14.982384681999999</v>
      </c>
      <c r="G101">
        <v>1404.7304687999999</v>
      </c>
      <c r="H101">
        <v>1389.9210204999999</v>
      </c>
      <c r="I101">
        <v>1252.0379639</v>
      </c>
      <c r="J101">
        <v>1212.5926514</v>
      </c>
      <c r="K101">
        <v>2400</v>
      </c>
      <c r="L101">
        <v>0</v>
      </c>
      <c r="M101">
        <v>0</v>
      </c>
      <c r="N101">
        <v>2400</v>
      </c>
    </row>
    <row r="102" spans="1:14" x14ac:dyDescent="0.25">
      <c r="A102">
        <v>3.4274260000000001</v>
      </c>
      <c r="B102" s="1">
        <f>DATE(2010,5,4) + TIME(10,15,29)</f>
        <v>40302.427418981482</v>
      </c>
      <c r="C102">
        <v>80</v>
      </c>
      <c r="D102">
        <v>79.222877502000003</v>
      </c>
      <c r="E102">
        <v>50</v>
      </c>
      <c r="F102">
        <v>14.982438087</v>
      </c>
      <c r="G102">
        <v>1404.6951904</v>
      </c>
      <c r="H102">
        <v>1389.9014893000001</v>
      </c>
      <c r="I102">
        <v>1251.918457</v>
      </c>
      <c r="J102">
        <v>1212.4732666</v>
      </c>
      <c r="K102">
        <v>2400</v>
      </c>
      <c r="L102">
        <v>0</v>
      </c>
      <c r="M102">
        <v>0</v>
      </c>
      <c r="N102">
        <v>2400</v>
      </c>
    </row>
    <row r="103" spans="1:14" x14ac:dyDescent="0.25">
      <c r="A103">
        <v>3.5278839999999998</v>
      </c>
      <c r="B103" s="1">
        <f>DATE(2010,5,4) + TIME(12,40,9)</f>
        <v>40302.527881944443</v>
      </c>
      <c r="C103">
        <v>80</v>
      </c>
      <c r="D103">
        <v>79.306083678999997</v>
      </c>
      <c r="E103">
        <v>50</v>
      </c>
      <c r="F103">
        <v>14.982493400999999</v>
      </c>
      <c r="G103">
        <v>1404.6563721</v>
      </c>
      <c r="H103">
        <v>1389.8775635</v>
      </c>
      <c r="I103">
        <v>1251.8028564000001</v>
      </c>
      <c r="J103">
        <v>1212.3576660000001</v>
      </c>
      <c r="K103">
        <v>2400</v>
      </c>
      <c r="L103">
        <v>0</v>
      </c>
      <c r="M103">
        <v>0</v>
      </c>
      <c r="N103">
        <v>2400</v>
      </c>
    </row>
    <row r="104" spans="1:14" x14ac:dyDescent="0.25">
      <c r="A104">
        <v>3.6319780000000002</v>
      </c>
      <c r="B104" s="1">
        <f>DATE(2010,5,4) + TIME(15,10,2)</f>
        <v>40302.631967592592</v>
      </c>
      <c r="C104">
        <v>80</v>
      </c>
      <c r="D104">
        <v>79.381072997999993</v>
      </c>
      <c r="E104">
        <v>50</v>
      </c>
      <c r="F104">
        <v>14.982550621</v>
      </c>
      <c r="G104">
        <v>1404.6135254000001</v>
      </c>
      <c r="H104">
        <v>1389.8491211</v>
      </c>
      <c r="I104">
        <v>1251.6911620999999</v>
      </c>
      <c r="J104">
        <v>1212.2460937999999</v>
      </c>
      <c r="K104">
        <v>2400</v>
      </c>
      <c r="L104">
        <v>0</v>
      </c>
      <c r="M104">
        <v>0</v>
      </c>
      <c r="N104">
        <v>2400</v>
      </c>
    </row>
    <row r="105" spans="1:14" x14ac:dyDescent="0.25">
      <c r="A105">
        <v>3.7399209999999998</v>
      </c>
      <c r="B105" s="1">
        <f>DATE(2010,5,4) + TIME(17,45,29)</f>
        <v>40302.739918981482</v>
      </c>
      <c r="C105">
        <v>80</v>
      </c>
      <c r="D105">
        <v>79.448394774999997</v>
      </c>
      <c r="E105">
        <v>50</v>
      </c>
      <c r="F105">
        <v>14.982609749</v>
      </c>
      <c r="G105">
        <v>1404.5667725000001</v>
      </c>
      <c r="H105">
        <v>1389.815918</v>
      </c>
      <c r="I105">
        <v>1251.583374</v>
      </c>
      <c r="J105">
        <v>1212.1384277</v>
      </c>
      <c r="K105">
        <v>2400</v>
      </c>
      <c r="L105">
        <v>0</v>
      </c>
      <c r="M105">
        <v>0</v>
      </c>
      <c r="N105">
        <v>2400</v>
      </c>
    </row>
    <row r="106" spans="1:14" x14ac:dyDescent="0.25">
      <c r="A106">
        <v>3.848204</v>
      </c>
      <c r="B106" s="1">
        <f>DATE(2010,5,4) + TIME(20,21,24)</f>
        <v>40302.848194444443</v>
      </c>
      <c r="C106">
        <v>80</v>
      </c>
      <c r="D106">
        <v>79.506851196</v>
      </c>
      <c r="E106">
        <v>50</v>
      </c>
      <c r="F106">
        <v>14.982668877</v>
      </c>
      <c r="G106">
        <v>1404.5139160000001</v>
      </c>
      <c r="H106">
        <v>1389.7756348</v>
      </c>
      <c r="I106">
        <v>1251.4829102000001</v>
      </c>
      <c r="J106">
        <v>1212.0379639</v>
      </c>
      <c r="K106">
        <v>2400</v>
      </c>
      <c r="L106">
        <v>0</v>
      </c>
      <c r="M106">
        <v>0</v>
      </c>
      <c r="N106">
        <v>2400</v>
      </c>
    </row>
    <row r="107" spans="1:14" x14ac:dyDescent="0.25">
      <c r="A107">
        <v>3.9567830000000002</v>
      </c>
      <c r="B107" s="1">
        <f>DATE(2010,5,4) + TIME(22,57,46)</f>
        <v>40302.956782407404</v>
      </c>
      <c r="C107">
        <v>80</v>
      </c>
      <c r="D107">
        <v>79.557586670000006</v>
      </c>
      <c r="E107">
        <v>50</v>
      </c>
      <c r="F107">
        <v>14.982728004</v>
      </c>
      <c r="G107">
        <v>1404.4581298999999</v>
      </c>
      <c r="H107">
        <v>1389.7316894999999</v>
      </c>
      <c r="I107">
        <v>1251.3894043</v>
      </c>
      <c r="J107">
        <v>1211.9444579999999</v>
      </c>
      <c r="K107">
        <v>2400</v>
      </c>
      <c r="L107">
        <v>0</v>
      </c>
      <c r="M107">
        <v>0</v>
      </c>
      <c r="N107">
        <v>2400</v>
      </c>
    </row>
    <row r="108" spans="1:14" x14ac:dyDescent="0.25">
      <c r="A108">
        <v>4.0655190000000001</v>
      </c>
      <c r="B108" s="1">
        <f>DATE(2010,5,5) + TIME(1,34,20)</f>
        <v>40303.065509259257</v>
      </c>
      <c r="C108">
        <v>80</v>
      </c>
      <c r="D108">
        <v>79.601577758999994</v>
      </c>
      <c r="E108">
        <v>50</v>
      </c>
      <c r="F108">
        <v>14.982788085999999</v>
      </c>
      <c r="G108">
        <v>1404.4000243999999</v>
      </c>
      <c r="H108">
        <v>1389.6848144999999</v>
      </c>
      <c r="I108">
        <v>1251.3022461</v>
      </c>
      <c r="J108">
        <v>1211.8572998</v>
      </c>
      <c r="K108">
        <v>2400</v>
      </c>
      <c r="L108">
        <v>0</v>
      </c>
      <c r="M108">
        <v>0</v>
      </c>
      <c r="N108">
        <v>2400</v>
      </c>
    </row>
    <row r="109" spans="1:14" x14ac:dyDescent="0.25">
      <c r="A109">
        <v>4.1745950000000001</v>
      </c>
      <c r="B109" s="1">
        <f>DATE(2010,5,5) + TIME(4,11,24)</f>
        <v>40303.174583333333</v>
      </c>
      <c r="C109">
        <v>80</v>
      </c>
      <c r="D109">
        <v>79.639785767000006</v>
      </c>
      <c r="E109">
        <v>50</v>
      </c>
      <c r="F109">
        <v>14.982848167</v>
      </c>
      <c r="G109">
        <v>1404.3402100000001</v>
      </c>
      <c r="H109">
        <v>1389.6354980000001</v>
      </c>
      <c r="I109">
        <v>1251.2210693</v>
      </c>
      <c r="J109">
        <v>1211.7762451000001</v>
      </c>
      <c r="K109">
        <v>2400</v>
      </c>
      <c r="L109">
        <v>0</v>
      </c>
      <c r="M109">
        <v>0</v>
      </c>
      <c r="N109">
        <v>2400</v>
      </c>
    </row>
    <row r="110" spans="1:14" x14ac:dyDescent="0.25">
      <c r="A110">
        <v>4.2841820000000004</v>
      </c>
      <c r="B110" s="1">
        <f>DATE(2010,5,5) + TIME(6,49,13)</f>
        <v>40303.284178240741</v>
      </c>
      <c r="C110">
        <v>80</v>
      </c>
      <c r="D110">
        <v>79.673004149999997</v>
      </c>
      <c r="E110">
        <v>50</v>
      </c>
      <c r="F110">
        <v>14.982908248999999</v>
      </c>
      <c r="G110">
        <v>1404.2785644999999</v>
      </c>
      <c r="H110">
        <v>1389.5839844</v>
      </c>
      <c r="I110">
        <v>1251.1453856999999</v>
      </c>
      <c r="J110">
        <v>1211.7005615</v>
      </c>
      <c r="K110">
        <v>2400</v>
      </c>
      <c r="L110">
        <v>0</v>
      </c>
      <c r="M110">
        <v>0</v>
      </c>
      <c r="N110">
        <v>2400</v>
      </c>
    </row>
    <row r="111" spans="1:14" x14ac:dyDescent="0.25">
      <c r="A111">
        <v>4.3944409999999996</v>
      </c>
      <c r="B111" s="1">
        <f>DATE(2010,5,5) + TIME(9,27,59)</f>
        <v>40303.394432870373</v>
      </c>
      <c r="C111">
        <v>80</v>
      </c>
      <c r="D111">
        <v>79.701934813999998</v>
      </c>
      <c r="E111">
        <v>50</v>
      </c>
      <c r="F111">
        <v>14.982969283999999</v>
      </c>
      <c r="G111">
        <v>1404.215332</v>
      </c>
      <c r="H111">
        <v>1389.5305175999999</v>
      </c>
      <c r="I111">
        <v>1251.074707</v>
      </c>
      <c r="J111">
        <v>1211.6300048999999</v>
      </c>
      <c r="K111">
        <v>2400</v>
      </c>
      <c r="L111">
        <v>0</v>
      </c>
      <c r="M111">
        <v>0</v>
      </c>
      <c r="N111">
        <v>2400</v>
      </c>
    </row>
    <row r="112" spans="1:14" x14ac:dyDescent="0.25">
      <c r="A112">
        <v>4.5055269999999998</v>
      </c>
      <c r="B112" s="1">
        <f>DATE(2010,5,5) + TIME(12,7,57)</f>
        <v>40303.505520833336</v>
      </c>
      <c r="C112">
        <v>80</v>
      </c>
      <c r="D112">
        <v>79.727142334000007</v>
      </c>
      <c r="E112">
        <v>50</v>
      </c>
      <c r="F112">
        <v>14.983030318999999</v>
      </c>
      <c r="G112">
        <v>1404.1505127</v>
      </c>
      <c r="H112">
        <v>1389.4748535000001</v>
      </c>
      <c r="I112">
        <v>1251.0086670000001</v>
      </c>
      <c r="J112">
        <v>1211.5640868999999</v>
      </c>
      <c r="K112">
        <v>2400</v>
      </c>
      <c r="L112">
        <v>0</v>
      </c>
      <c r="M112">
        <v>0</v>
      </c>
      <c r="N112">
        <v>2400</v>
      </c>
    </row>
    <row r="113" spans="1:14" x14ac:dyDescent="0.25">
      <c r="A113">
        <v>4.6176190000000004</v>
      </c>
      <c r="B113" s="1">
        <f>DATE(2010,5,5) + TIME(14,49,22)</f>
        <v>40303.617615740739</v>
      </c>
      <c r="C113">
        <v>80</v>
      </c>
      <c r="D113">
        <v>79.749130249000004</v>
      </c>
      <c r="E113">
        <v>50</v>
      </c>
      <c r="F113">
        <v>14.983091354000001</v>
      </c>
      <c r="G113">
        <v>1404.0838623</v>
      </c>
      <c r="H113">
        <v>1389.4173584</v>
      </c>
      <c r="I113">
        <v>1250.9470214999999</v>
      </c>
      <c r="J113">
        <v>1211.5024414</v>
      </c>
      <c r="K113">
        <v>2400</v>
      </c>
      <c r="L113">
        <v>0</v>
      </c>
      <c r="M113">
        <v>0</v>
      </c>
      <c r="N113">
        <v>2400</v>
      </c>
    </row>
    <row r="114" spans="1:14" x14ac:dyDescent="0.25">
      <c r="A114">
        <v>4.73088</v>
      </c>
      <c r="B114" s="1">
        <f>DATE(2010,5,5) + TIME(17,32,27)</f>
        <v>40303.730868055558</v>
      </c>
      <c r="C114">
        <v>80</v>
      </c>
      <c r="D114">
        <v>79.768318175999994</v>
      </c>
      <c r="E114">
        <v>50</v>
      </c>
      <c r="F114">
        <v>14.983153343</v>
      </c>
      <c r="G114">
        <v>1404.0157471</v>
      </c>
      <c r="H114">
        <v>1389.3579102000001</v>
      </c>
      <c r="I114">
        <v>1250.8894043</v>
      </c>
      <c r="J114">
        <v>1211.4449463000001</v>
      </c>
      <c r="K114">
        <v>2400</v>
      </c>
      <c r="L114">
        <v>0</v>
      </c>
      <c r="M114">
        <v>0</v>
      </c>
      <c r="N114">
        <v>2400</v>
      </c>
    </row>
    <row r="115" spans="1:14" x14ac:dyDescent="0.25">
      <c r="A115">
        <v>4.8454759999999997</v>
      </c>
      <c r="B115" s="1">
        <f>DATE(2010,5,5) + TIME(20,17,29)</f>
        <v>40303.84547453704</v>
      </c>
      <c r="C115">
        <v>80</v>
      </c>
      <c r="D115">
        <v>79.785072326999995</v>
      </c>
      <c r="E115">
        <v>50</v>
      </c>
      <c r="F115">
        <v>14.983216285999999</v>
      </c>
      <c r="G115">
        <v>1403.9458007999999</v>
      </c>
      <c r="H115">
        <v>1389.2966309000001</v>
      </c>
      <c r="I115">
        <v>1250.8356934000001</v>
      </c>
      <c r="J115">
        <v>1211.3912353999999</v>
      </c>
      <c r="K115">
        <v>2400</v>
      </c>
      <c r="L115">
        <v>0</v>
      </c>
      <c r="M115">
        <v>0</v>
      </c>
      <c r="N115">
        <v>2400</v>
      </c>
    </row>
    <row r="116" spans="1:14" x14ac:dyDescent="0.25">
      <c r="A116">
        <v>4.9615799999999997</v>
      </c>
      <c r="B116" s="1">
        <f>DATE(2010,5,5) + TIME(23,4,40)</f>
        <v>40303.961574074077</v>
      </c>
      <c r="C116">
        <v>80</v>
      </c>
      <c r="D116">
        <v>79.799713135000005</v>
      </c>
      <c r="E116">
        <v>50</v>
      </c>
      <c r="F116">
        <v>14.983279228000001</v>
      </c>
      <c r="G116">
        <v>1403.8741454999999</v>
      </c>
      <c r="H116">
        <v>1389.2333983999999</v>
      </c>
      <c r="I116">
        <v>1250.7854004000001</v>
      </c>
      <c r="J116">
        <v>1211.3409423999999</v>
      </c>
      <c r="K116">
        <v>2400</v>
      </c>
      <c r="L116">
        <v>0</v>
      </c>
      <c r="M116">
        <v>0</v>
      </c>
      <c r="N116">
        <v>2400</v>
      </c>
    </row>
    <row r="117" spans="1:14" x14ac:dyDescent="0.25">
      <c r="A117">
        <v>5.0793679999999997</v>
      </c>
      <c r="B117" s="1">
        <f>DATE(2010,5,6) + TIME(1,54,17)</f>
        <v>40304.079363425924</v>
      </c>
      <c r="C117">
        <v>80</v>
      </c>
      <c r="D117">
        <v>79.8125</v>
      </c>
      <c r="E117">
        <v>50</v>
      </c>
      <c r="F117">
        <v>14.983343123999999</v>
      </c>
      <c r="G117">
        <v>1403.8007812000001</v>
      </c>
      <c r="H117">
        <v>1389.1683350000001</v>
      </c>
      <c r="I117">
        <v>1250.7385254000001</v>
      </c>
      <c r="J117">
        <v>1211.2941894999999</v>
      </c>
      <c r="K117">
        <v>2400</v>
      </c>
      <c r="L117">
        <v>0</v>
      </c>
      <c r="M117">
        <v>0</v>
      </c>
      <c r="N117">
        <v>2400</v>
      </c>
    </row>
    <row r="118" spans="1:14" x14ac:dyDescent="0.25">
      <c r="A118">
        <v>5.1990249999999998</v>
      </c>
      <c r="B118" s="1">
        <f>DATE(2010,5,6) + TIME(4,46,35)</f>
        <v>40304.199016203704</v>
      </c>
      <c r="C118">
        <v>80</v>
      </c>
      <c r="D118">
        <v>79.823677063000005</v>
      </c>
      <c r="E118">
        <v>50</v>
      </c>
      <c r="F118">
        <v>14.983407021</v>
      </c>
      <c r="G118">
        <v>1403.7255858999999</v>
      </c>
      <c r="H118">
        <v>1389.1013184000001</v>
      </c>
      <c r="I118">
        <v>1250.6947021000001</v>
      </c>
      <c r="J118">
        <v>1211.2504882999999</v>
      </c>
      <c r="K118">
        <v>2400</v>
      </c>
      <c r="L118">
        <v>0</v>
      </c>
      <c r="M118">
        <v>0</v>
      </c>
      <c r="N118">
        <v>2400</v>
      </c>
    </row>
    <row r="119" spans="1:14" x14ac:dyDescent="0.25">
      <c r="A119">
        <v>5.3207440000000004</v>
      </c>
      <c r="B119" s="1">
        <f>DATE(2010,5,6) + TIME(7,41,52)</f>
        <v>40304.320740740739</v>
      </c>
      <c r="C119">
        <v>80</v>
      </c>
      <c r="D119">
        <v>79.833442688000005</v>
      </c>
      <c r="E119">
        <v>50</v>
      </c>
      <c r="F119">
        <v>14.983472824</v>
      </c>
      <c r="G119">
        <v>1403.6484375</v>
      </c>
      <c r="H119">
        <v>1389.0323486</v>
      </c>
      <c r="I119">
        <v>1250.6539307</v>
      </c>
      <c r="J119">
        <v>1211.2097168</v>
      </c>
      <c r="K119">
        <v>2400</v>
      </c>
      <c r="L119">
        <v>0</v>
      </c>
      <c r="M119">
        <v>0</v>
      </c>
      <c r="N119">
        <v>2400</v>
      </c>
    </row>
    <row r="120" spans="1:14" x14ac:dyDescent="0.25">
      <c r="A120">
        <v>5.4447320000000001</v>
      </c>
      <c r="B120" s="1">
        <f>DATE(2010,5,6) + TIME(10,40,24)</f>
        <v>40304.444722222222</v>
      </c>
      <c r="C120">
        <v>80</v>
      </c>
      <c r="D120">
        <v>79.841979980000005</v>
      </c>
      <c r="E120">
        <v>50</v>
      </c>
      <c r="F120">
        <v>14.983538628</v>
      </c>
      <c r="G120">
        <v>1403.5694579999999</v>
      </c>
      <c r="H120">
        <v>1388.9615478999999</v>
      </c>
      <c r="I120">
        <v>1250.6160889</v>
      </c>
      <c r="J120">
        <v>1211.171875</v>
      </c>
      <c r="K120">
        <v>2400</v>
      </c>
      <c r="L120">
        <v>0</v>
      </c>
      <c r="M120">
        <v>0</v>
      </c>
      <c r="N120">
        <v>2400</v>
      </c>
    </row>
    <row r="121" spans="1:14" x14ac:dyDescent="0.25">
      <c r="A121">
        <v>5.5712149999999996</v>
      </c>
      <c r="B121" s="1">
        <f>DATE(2010,5,6) + TIME(13,42,33)</f>
        <v>40304.571215277778</v>
      </c>
      <c r="C121">
        <v>80</v>
      </c>
      <c r="D121">
        <v>79.849441528</v>
      </c>
      <c r="E121">
        <v>50</v>
      </c>
      <c r="F121">
        <v>14.983606339</v>
      </c>
      <c r="G121">
        <v>1403.4884033000001</v>
      </c>
      <c r="H121">
        <v>1388.8885498</v>
      </c>
      <c r="I121">
        <v>1250.5808105000001</v>
      </c>
      <c r="J121">
        <v>1211.1367187999999</v>
      </c>
      <c r="K121">
        <v>2400</v>
      </c>
      <c r="L121">
        <v>0</v>
      </c>
      <c r="M121">
        <v>0</v>
      </c>
      <c r="N121">
        <v>2400</v>
      </c>
    </row>
    <row r="122" spans="1:14" x14ac:dyDescent="0.25">
      <c r="A122">
        <v>5.7004679999999999</v>
      </c>
      <c r="B122" s="1">
        <f>DATE(2010,5,6) + TIME(16,48,40)</f>
        <v>40304.700462962966</v>
      </c>
      <c r="C122">
        <v>80</v>
      </c>
      <c r="D122">
        <v>79.855964661000002</v>
      </c>
      <c r="E122">
        <v>50</v>
      </c>
      <c r="F122">
        <v>14.983674048999999</v>
      </c>
      <c r="G122">
        <v>1403.4052733999999</v>
      </c>
      <c r="H122">
        <v>1388.8135986</v>
      </c>
      <c r="I122">
        <v>1250.5480957</v>
      </c>
      <c r="J122">
        <v>1211.1040039</v>
      </c>
      <c r="K122">
        <v>2400</v>
      </c>
      <c r="L122">
        <v>0</v>
      </c>
      <c r="M122">
        <v>0</v>
      </c>
      <c r="N122">
        <v>2400</v>
      </c>
    </row>
    <row r="123" spans="1:14" x14ac:dyDescent="0.25">
      <c r="A123">
        <v>5.8327030000000004</v>
      </c>
      <c r="B123" s="1">
        <f>DATE(2010,5,6) + TIME(19,59,5)</f>
        <v>40304.832696759258</v>
      </c>
      <c r="C123">
        <v>80</v>
      </c>
      <c r="D123">
        <v>79.861663817999997</v>
      </c>
      <c r="E123">
        <v>50</v>
      </c>
      <c r="F123">
        <v>14.983743668000001</v>
      </c>
      <c r="G123">
        <v>1403.3199463000001</v>
      </c>
      <c r="H123">
        <v>1388.7364502</v>
      </c>
      <c r="I123">
        <v>1250.5178223</v>
      </c>
      <c r="J123">
        <v>1211.0738524999999</v>
      </c>
      <c r="K123">
        <v>2400</v>
      </c>
      <c r="L123">
        <v>0</v>
      </c>
      <c r="M123">
        <v>0</v>
      </c>
      <c r="N123">
        <v>2400</v>
      </c>
    </row>
    <row r="124" spans="1:14" x14ac:dyDescent="0.25">
      <c r="A124">
        <v>5.9682009999999996</v>
      </c>
      <c r="B124" s="1">
        <f>DATE(2010,5,6) + TIME(23,14,12)</f>
        <v>40304.968194444446</v>
      </c>
      <c r="C124">
        <v>80</v>
      </c>
      <c r="D124">
        <v>79.866645813000005</v>
      </c>
      <c r="E124">
        <v>50</v>
      </c>
      <c r="F124">
        <v>14.983813286</v>
      </c>
      <c r="G124">
        <v>1403.2322998</v>
      </c>
      <c r="H124">
        <v>1388.6571045000001</v>
      </c>
      <c r="I124">
        <v>1250.4898682</v>
      </c>
      <c r="J124">
        <v>1211.0458983999999</v>
      </c>
      <c r="K124">
        <v>2400</v>
      </c>
      <c r="L124">
        <v>0</v>
      </c>
      <c r="M124">
        <v>0</v>
      </c>
      <c r="N124">
        <v>2400</v>
      </c>
    </row>
    <row r="125" spans="1:14" x14ac:dyDescent="0.25">
      <c r="A125">
        <v>6.106884</v>
      </c>
      <c r="B125" s="1">
        <f>DATE(2010,5,7) + TIME(2,33,54)</f>
        <v>40305.106874999998</v>
      </c>
      <c r="C125">
        <v>80</v>
      </c>
      <c r="D125">
        <v>79.870986938000001</v>
      </c>
      <c r="E125">
        <v>50</v>
      </c>
      <c r="F125">
        <v>14.983884810999999</v>
      </c>
      <c r="G125">
        <v>1403.1423339999999</v>
      </c>
      <c r="H125">
        <v>1388.5754394999999</v>
      </c>
      <c r="I125">
        <v>1250.4641113</v>
      </c>
      <c r="J125">
        <v>1211.0203856999999</v>
      </c>
      <c r="K125">
        <v>2400</v>
      </c>
      <c r="L125">
        <v>0</v>
      </c>
      <c r="M125">
        <v>0</v>
      </c>
      <c r="N125">
        <v>2400</v>
      </c>
    </row>
    <row r="126" spans="1:14" x14ac:dyDescent="0.25">
      <c r="A126">
        <v>6.2487729999999999</v>
      </c>
      <c r="B126" s="1">
        <f>DATE(2010,5,7) + TIME(5,58,13)</f>
        <v>40305.248761574076</v>
      </c>
      <c r="C126">
        <v>80</v>
      </c>
      <c r="D126">
        <v>79.874763489000003</v>
      </c>
      <c r="E126">
        <v>50</v>
      </c>
      <c r="F126">
        <v>14.983957290999999</v>
      </c>
      <c r="G126">
        <v>1403.0499268000001</v>
      </c>
      <c r="H126">
        <v>1388.4914550999999</v>
      </c>
      <c r="I126">
        <v>1250.4406738</v>
      </c>
      <c r="J126">
        <v>1210.9969481999999</v>
      </c>
      <c r="K126">
        <v>2400</v>
      </c>
      <c r="L126">
        <v>0</v>
      </c>
      <c r="M126">
        <v>0</v>
      </c>
      <c r="N126">
        <v>2400</v>
      </c>
    </row>
    <row r="127" spans="1:14" x14ac:dyDescent="0.25">
      <c r="A127">
        <v>6.3941670000000004</v>
      </c>
      <c r="B127" s="1">
        <f>DATE(2010,5,7) + TIME(9,27,36)</f>
        <v>40305.394166666665</v>
      </c>
      <c r="C127">
        <v>80</v>
      </c>
      <c r="D127">
        <v>79.878051757999998</v>
      </c>
      <c r="E127">
        <v>50</v>
      </c>
      <c r="F127">
        <v>14.984030724</v>
      </c>
      <c r="G127">
        <v>1402.9554443</v>
      </c>
      <c r="H127">
        <v>1388.4053954999999</v>
      </c>
      <c r="I127">
        <v>1250.4194336</v>
      </c>
      <c r="J127">
        <v>1210.9757079999999</v>
      </c>
      <c r="K127">
        <v>2400</v>
      </c>
      <c r="L127">
        <v>0</v>
      </c>
      <c r="M127">
        <v>0</v>
      </c>
      <c r="N127">
        <v>2400</v>
      </c>
    </row>
    <row r="128" spans="1:14" x14ac:dyDescent="0.25">
      <c r="A128">
        <v>6.5433870000000001</v>
      </c>
      <c r="B128" s="1">
        <f>DATE(2010,5,7) + TIME(13,2,28)</f>
        <v>40305.543379629627</v>
      </c>
      <c r="C128">
        <v>80</v>
      </c>
      <c r="D128">
        <v>79.880920410000002</v>
      </c>
      <c r="E128">
        <v>50</v>
      </c>
      <c r="F128">
        <v>14.98410511</v>
      </c>
      <c r="G128">
        <v>1402.8585204999999</v>
      </c>
      <c r="H128">
        <v>1388.3170166</v>
      </c>
      <c r="I128">
        <v>1250.4001464999999</v>
      </c>
      <c r="J128">
        <v>1210.956543</v>
      </c>
      <c r="K128">
        <v>2400</v>
      </c>
      <c r="L128">
        <v>0</v>
      </c>
      <c r="M128">
        <v>0</v>
      </c>
      <c r="N128">
        <v>2400</v>
      </c>
    </row>
    <row r="129" spans="1:14" x14ac:dyDescent="0.25">
      <c r="A129">
        <v>6.6967860000000003</v>
      </c>
      <c r="B129" s="1">
        <f>DATE(2010,5,7) + TIME(16,43,22)</f>
        <v>40305.696782407409</v>
      </c>
      <c r="C129">
        <v>80</v>
      </c>
      <c r="D129">
        <v>79.883422851999995</v>
      </c>
      <c r="E129">
        <v>50</v>
      </c>
      <c r="F129">
        <v>14.984181403999999</v>
      </c>
      <c r="G129">
        <v>1402.7591553</v>
      </c>
      <c r="H129">
        <v>1388.2264404</v>
      </c>
      <c r="I129">
        <v>1250.3828125</v>
      </c>
      <c r="J129">
        <v>1210.9393310999999</v>
      </c>
      <c r="K129">
        <v>2400</v>
      </c>
      <c r="L129">
        <v>0</v>
      </c>
      <c r="M129">
        <v>0</v>
      </c>
      <c r="N129">
        <v>2400</v>
      </c>
    </row>
    <row r="130" spans="1:14" x14ac:dyDescent="0.25">
      <c r="A130">
        <v>6.854387</v>
      </c>
      <c r="B130" s="1">
        <f>DATE(2010,5,7) + TIME(20,30,19)</f>
        <v>40305.854386574072</v>
      </c>
      <c r="C130">
        <v>80</v>
      </c>
      <c r="D130">
        <v>79.885597228999998</v>
      </c>
      <c r="E130">
        <v>50</v>
      </c>
      <c r="F130">
        <v>14.984258651999999</v>
      </c>
      <c r="G130">
        <v>1402.6572266000001</v>
      </c>
      <c r="H130">
        <v>1388.1334228999999</v>
      </c>
      <c r="I130">
        <v>1250.3673096</v>
      </c>
      <c r="J130">
        <v>1210.9239502</v>
      </c>
      <c r="K130">
        <v>2400</v>
      </c>
      <c r="L130">
        <v>0</v>
      </c>
      <c r="M130">
        <v>0</v>
      </c>
      <c r="N130">
        <v>2400</v>
      </c>
    </row>
    <row r="131" spans="1:14" x14ac:dyDescent="0.25">
      <c r="A131">
        <v>7.0164160000000004</v>
      </c>
      <c r="B131" s="1">
        <f>DATE(2010,5,8) + TIME(0,23,38)</f>
        <v>40306.016412037039</v>
      </c>
      <c r="C131">
        <v>80</v>
      </c>
      <c r="D131">
        <v>79.887496948000006</v>
      </c>
      <c r="E131">
        <v>50</v>
      </c>
      <c r="F131">
        <v>14.984336853</v>
      </c>
      <c r="G131">
        <v>1402.5528564000001</v>
      </c>
      <c r="H131">
        <v>1388.0379639</v>
      </c>
      <c r="I131">
        <v>1250.3537598</v>
      </c>
      <c r="J131">
        <v>1210.9104004000001</v>
      </c>
      <c r="K131">
        <v>2400</v>
      </c>
      <c r="L131">
        <v>0</v>
      </c>
      <c r="M131">
        <v>0</v>
      </c>
      <c r="N131">
        <v>2400</v>
      </c>
    </row>
    <row r="132" spans="1:14" x14ac:dyDescent="0.25">
      <c r="A132">
        <v>7.1828060000000002</v>
      </c>
      <c r="B132" s="1">
        <f>DATE(2010,5,8) + TIME(4,23,14)</f>
        <v>40306.182800925926</v>
      </c>
      <c r="C132">
        <v>80</v>
      </c>
      <c r="D132">
        <v>79.889144896999994</v>
      </c>
      <c r="E132">
        <v>50</v>
      </c>
      <c r="F132">
        <v>14.984416008</v>
      </c>
      <c r="G132">
        <v>1402.4459228999999</v>
      </c>
      <c r="H132">
        <v>1387.9401855000001</v>
      </c>
      <c r="I132">
        <v>1250.3419189000001</v>
      </c>
      <c r="J132">
        <v>1210.8985596</v>
      </c>
      <c r="K132">
        <v>2400</v>
      </c>
      <c r="L132">
        <v>0</v>
      </c>
      <c r="M132">
        <v>0</v>
      </c>
      <c r="N132">
        <v>2400</v>
      </c>
    </row>
    <row r="133" spans="1:14" x14ac:dyDescent="0.25">
      <c r="A133">
        <v>7.2665870000000004</v>
      </c>
      <c r="B133" s="1">
        <f>DATE(2010,5,8) + TIME(6,23,53)</f>
        <v>40306.266585648147</v>
      </c>
      <c r="C133">
        <v>80</v>
      </c>
      <c r="D133">
        <v>79.889778136999993</v>
      </c>
      <c r="E133">
        <v>50</v>
      </c>
      <c r="F133">
        <v>14.984458923</v>
      </c>
      <c r="G133">
        <v>1402.3449707</v>
      </c>
      <c r="H133">
        <v>1387.8468018000001</v>
      </c>
      <c r="I133">
        <v>1250.3364257999999</v>
      </c>
      <c r="J133">
        <v>1210.8931885</v>
      </c>
      <c r="K133">
        <v>2400</v>
      </c>
      <c r="L133">
        <v>0</v>
      </c>
      <c r="M133">
        <v>0</v>
      </c>
      <c r="N133">
        <v>2400</v>
      </c>
    </row>
    <row r="134" spans="1:14" x14ac:dyDescent="0.25">
      <c r="A134">
        <v>7.3503679999999996</v>
      </c>
      <c r="B134" s="1">
        <f>DATE(2010,5,8) + TIME(8,24,31)</f>
        <v>40306.350358796299</v>
      </c>
      <c r="C134">
        <v>80</v>
      </c>
      <c r="D134">
        <v>79.890457153</v>
      </c>
      <c r="E134">
        <v>50</v>
      </c>
      <c r="F134">
        <v>14.984501839</v>
      </c>
      <c r="G134">
        <v>1402.2786865</v>
      </c>
      <c r="H134">
        <v>1387.7857666</v>
      </c>
      <c r="I134">
        <v>1250.3314209</v>
      </c>
      <c r="J134">
        <v>1210.8883057</v>
      </c>
      <c r="K134">
        <v>2400</v>
      </c>
      <c r="L134">
        <v>0</v>
      </c>
      <c r="M134">
        <v>0</v>
      </c>
      <c r="N134">
        <v>2400</v>
      </c>
    </row>
    <row r="135" spans="1:14" x14ac:dyDescent="0.25">
      <c r="A135">
        <v>7.5179299999999998</v>
      </c>
      <c r="B135" s="1">
        <f>DATE(2010,5,8) + TIME(12,25,49)</f>
        <v>40306.517928240741</v>
      </c>
      <c r="C135">
        <v>80</v>
      </c>
      <c r="D135">
        <v>79.891784668</v>
      </c>
      <c r="E135">
        <v>50</v>
      </c>
      <c r="F135">
        <v>14.984579086</v>
      </c>
      <c r="G135">
        <v>1402.2165527</v>
      </c>
      <c r="H135">
        <v>1387.7299805</v>
      </c>
      <c r="I135">
        <v>1250.3232422000001</v>
      </c>
      <c r="J135">
        <v>1210.8801269999999</v>
      </c>
      <c r="K135">
        <v>2400</v>
      </c>
      <c r="L135">
        <v>0</v>
      </c>
      <c r="M135">
        <v>0</v>
      </c>
      <c r="N135">
        <v>2400</v>
      </c>
    </row>
    <row r="136" spans="1:14" x14ac:dyDescent="0.25">
      <c r="A136">
        <v>7.6855760000000002</v>
      </c>
      <c r="B136" s="1">
        <f>DATE(2010,5,8) + TIME(16,27,13)</f>
        <v>40306.685567129629</v>
      </c>
      <c r="C136">
        <v>80</v>
      </c>
      <c r="D136">
        <v>79.892829895000006</v>
      </c>
      <c r="E136">
        <v>50</v>
      </c>
      <c r="F136">
        <v>14.98465538</v>
      </c>
      <c r="G136">
        <v>1402.114624</v>
      </c>
      <c r="H136">
        <v>1387.6368408000001</v>
      </c>
      <c r="I136">
        <v>1250.3165283000001</v>
      </c>
      <c r="J136">
        <v>1210.8735352000001</v>
      </c>
      <c r="K136">
        <v>2400</v>
      </c>
      <c r="L136">
        <v>0</v>
      </c>
      <c r="M136">
        <v>0</v>
      </c>
      <c r="N136">
        <v>2400</v>
      </c>
    </row>
    <row r="137" spans="1:14" x14ac:dyDescent="0.25">
      <c r="A137">
        <v>7.8536469999999996</v>
      </c>
      <c r="B137" s="1">
        <f>DATE(2010,5,8) + TIME(20,29,15)</f>
        <v>40306.853645833333</v>
      </c>
      <c r="C137">
        <v>80</v>
      </c>
      <c r="D137">
        <v>79.893714904999996</v>
      </c>
      <c r="E137">
        <v>50</v>
      </c>
      <c r="F137">
        <v>14.984731674000001</v>
      </c>
      <c r="G137">
        <v>1402.0079346</v>
      </c>
      <c r="H137">
        <v>1387.5391846</v>
      </c>
      <c r="I137">
        <v>1250.3112793</v>
      </c>
      <c r="J137">
        <v>1210.8682861</v>
      </c>
      <c r="K137">
        <v>2400</v>
      </c>
      <c r="L137">
        <v>0</v>
      </c>
      <c r="M137">
        <v>0</v>
      </c>
      <c r="N137">
        <v>2400</v>
      </c>
    </row>
    <row r="138" spans="1:14" x14ac:dyDescent="0.25">
      <c r="A138">
        <v>8.0224200000000003</v>
      </c>
      <c r="B138" s="1">
        <f>DATE(2010,5,9) + TIME(0,32,17)</f>
        <v>40307.022418981483</v>
      </c>
      <c r="C138">
        <v>80</v>
      </c>
      <c r="D138">
        <v>79.894477843999994</v>
      </c>
      <c r="E138">
        <v>50</v>
      </c>
      <c r="F138">
        <v>14.984807968</v>
      </c>
      <c r="G138">
        <v>1401.9006348</v>
      </c>
      <c r="H138">
        <v>1387.440918</v>
      </c>
      <c r="I138">
        <v>1250.3071289</v>
      </c>
      <c r="J138">
        <v>1210.8642577999999</v>
      </c>
      <c r="K138">
        <v>2400</v>
      </c>
      <c r="L138">
        <v>0</v>
      </c>
      <c r="M138">
        <v>0</v>
      </c>
      <c r="N138">
        <v>2400</v>
      </c>
    </row>
    <row r="139" spans="1:14" x14ac:dyDescent="0.25">
      <c r="A139">
        <v>8.1922040000000003</v>
      </c>
      <c r="B139" s="1">
        <f>DATE(2010,5,9) + TIME(4,36,46)</f>
        <v>40307.192199074074</v>
      </c>
      <c r="C139">
        <v>80</v>
      </c>
      <c r="D139">
        <v>79.895149231000005</v>
      </c>
      <c r="E139">
        <v>50</v>
      </c>
      <c r="F139">
        <v>14.984883308000001</v>
      </c>
      <c r="G139">
        <v>1401.7933350000001</v>
      </c>
      <c r="H139">
        <v>1387.3427733999999</v>
      </c>
      <c r="I139">
        <v>1250.3041992000001</v>
      </c>
      <c r="J139">
        <v>1210.8613281</v>
      </c>
      <c r="K139">
        <v>2400</v>
      </c>
      <c r="L139">
        <v>0</v>
      </c>
      <c r="M139">
        <v>0</v>
      </c>
      <c r="N139">
        <v>2400</v>
      </c>
    </row>
    <row r="140" spans="1:14" x14ac:dyDescent="0.25">
      <c r="A140">
        <v>8.3632639999999991</v>
      </c>
      <c r="B140" s="1">
        <f>DATE(2010,5,9) + TIME(8,43,6)</f>
        <v>40307.363263888888</v>
      </c>
      <c r="C140">
        <v>80</v>
      </c>
      <c r="D140">
        <v>79.895736693999993</v>
      </c>
      <c r="E140">
        <v>50</v>
      </c>
      <c r="F140">
        <v>14.984957695</v>
      </c>
      <c r="G140">
        <v>1401.6862793</v>
      </c>
      <c r="H140">
        <v>1387.244751</v>
      </c>
      <c r="I140">
        <v>1250.302124</v>
      </c>
      <c r="J140">
        <v>1210.859375</v>
      </c>
      <c r="K140">
        <v>2400</v>
      </c>
      <c r="L140">
        <v>0</v>
      </c>
      <c r="M140">
        <v>0</v>
      </c>
      <c r="N140">
        <v>2400</v>
      </c>
    </row>
    <row r="141" spans="1:14" x14ac:dyDescent="0.25">
      <c r="A141">
        <v>8.5358680000000007</v>
      </c>
      <c r="B141" s="1">
        <f>DATE(2010,5,9) + TIME(12,51,39)</f>
        <v>40307.535868055558</v>
      </c>
      <c r="C141">
        <v>80</v>
      </c>
      <c r="D141">
        <v>79.896247864000003</v>
      </c>
      <c r="E141">
        <v>50</v>
      </c>
      <c r="F141">
        <v>14.985033035000001</v>
      </c>
      <c r="G141">
        <v>1401.5792236</v>
      </c>
      <c r="H141">
        <v>1387.1467285000001</v>
      </c>
      <c r="I141">
        <v>1250.3010254000001</v>
      </c>
      <c r="J141">
        <v>1210.8582764</v>
      </c>
      <c r="K141">
        <v>2400</v>
      </c>
      <c r="L141">
        <v>0</v>
      </c>
      <c r="M141">
        <v>0</v>
      </c>
      <c r="N141">
        <v>2400</v>
      </c>
    </row>
    <row r="142" spans="1:14" x14ac:dyDescent="0.25">
      <c r="A142">
        <v>8.7102850000000007</v>
      </c>
      <c r="B142" s="1">
        <f>DATE(2010,5,9) + TIME(17,2,48)</f>
        <v>40307.710277777776</v>
      </c>
      <c r="C142">
        <v>80</v>
      </c>
      <c r="D142">
        <v>79.896705627000003</v>
      </c>
      <c r="E142">
        <v>50</v>
      </c>
      <c r="F142">
        <v>14.985107422</v>
      </c>
      <c r="G142">
        <v>1401.4722899999999</v>
      </c>
      <c r="H142">
        <v>1387.0488281</v>
      </c>
      <c r="I142">
        <v>1250.3006591999999</v>
      </c>
      <c r="J142">
        <v>1210.8580322</v>
      </c>
      <c r="K142">
        <v>2400</v>
      </c>
      <c r="L142">
        <v>0</v>
      </c>
      <c r="M142">
        <v>0</v>
      </c>
      <c r="N142">
        <v>2400</v>
      </c>
    </row>
    <row r="143" spans="1:14" x14ac:dyDescent="0.25">
      <c r="A143">
        <v>8.8867910000000006</v>
      </c>
      <c r="B143" s="1">
        <f>DATE(2010,5,9) + TIME(21,16,58)</f>
        <v>40307.886782407404</v>
      </c>
      <c r="C143">
        <v>80</v>
      </c>
      <c r="D143">
        <v>79.897117614999999</v>
      </c>
      <c r="E143">
        <v>50</v>
      </c>
      <c r="F143">
        <v>14.985181808</v>
      </c>
      <c r="G143">
        <v>1401.3651123</v>
      </c>
      <c r="H143">
        <v>1386.9509277</v>
      </c>
      <c r="I143">
        <v>1250.3010254000001</v>
      </c>
      <c r="J143">
        <v>1210.8585204999999</v>
      </c>
      <c r="K143">
        <v>2400</v>
      </c>
      <c r="L143">
        <v>0</v>
      </c>
      <c r="M143">
        <v>0</v>
      </c>
      <c r="N143">
        <v>2400</v>
      </c>
    </row>
    <row r="144" spans="1:14" x14ac:dyDescent="0.25">
      <c r="A144">
        <v>9.065671</v>
      </c>
      <c r="B144" s="1">
        <f>DATE(2010,5,10) + TIME(1,34,33)</f>
        <v>40308.065659722219</v>
      </c>
      <c r="C144">
        <v>80</v>
      </c>
      <c r="D144">
        <v>79.897483825999998</v>
      </c>
      <c r="E144">
        <v>50</v>
      </c>
      <c r="F144">
        <v>14.985256195</v>
      </c>
      <c r="G144">
        <v>1401.2579346</v>
      </c>
      <c r="H144">
        <v>1386.8526611</v>
      </c>
      <c r="I144">
        <v>1250.302124</v>
      </c>
      <c r="J144">
        <v>1210.8597411999999</v>
      </c>
      <c r="K144">
        <v>2400</v>
      </c>
      <c r="L144">
        <v>0</v>
      </c>
      <c r="M144">
        <v>0</v>
      </c>
      <c r="N144">
        <v>2400</v>
      </c>
    </row>
    <row r="145" spans="1:14" x14ac:dyDescent="0.25">
      <c r="A145">
        <v>9.2472200000000004</v>
      </c>
      <c r="B145" s="1">
        <f>DATE(2010,5,10) + TIME(5,55,59)</f>
        <v>40308.247210648151</v>
      </c>
      <c r="C145">
        <v>80</v>
      </c>
      <c r="D145">
        <v>79.897804260000001</v>
      </c>
      <c r="E145">
        <v>50</v>
      </c>
      <c r="F145">
        <v>14.985330582</v>
      </c>
      <c r="G145">
        <v>1401.1502685999999</v>
      </c>
      <c r="H145">
        <v>1386.7542725000001</v>
      </c>
      <c r="I145">
        <v>1250.3038329999999</v>
      </c>
      <c r="J145">
        <v>1210.8614502</v>
      </c>
      <c r="K145">
        <v>2400</v>
      </c>
      <c r="L145">
        <v>0</v>
      </c>
      <c r="M145">
        <v>0</v>
      </c>
      <c r="N145">
        <v>2400</v>
      </c>
    </row>
    <row r="146" spans="1:14" x14ac:dyDescent="0.25">
      <c r="A146">
        <v>9.4317510000000002</v>
      </c>
      <c r="B146" s="1">
        <f>DATE(2010,5,10) + TIME(10,21,43)</f>
        <v>40308.431747685187</v>
      </c>
      <c r="C146">
        <v>80</v>
      </c>
      <c r="D146">
        <v>79.898101807000003</v>
      </c>
      <c r="E146">
        <v>50</v>
      </c>
      <c r="F146">
        <v>14.985404015</v>
      </c>
      <c r="G146">
        <v>1401.0422363</v>
      </c>
      <c r="H146">
        <v>1386.6555175999999</v>
      </c>
      <c r="I146">
        <v>1250.3060303</v>
      </c>
      <c r="J146">
        <v>1210.8637695</v>
      </c>
      <c r="K146">
        <v>2400</v>
      </c>
      <c r="L146">
        <v>0</v>
      </c>
      <c r="M146">
        <v>0</v>
      </c>
      <c r="N146">
        <v>2400</v>
      </c>
    </row>
    <row r="147" spans="1:14" x14ac:dyDescent="0.25">
      <c r="A147">
        <v>9.6195930000000001</v>
      </c>
      <c r="B147" s="1">
        <f>DATE(2010,5,10) + TIME(14,52,12)</f>
        <v>40308.619583333333</v>
      </c>
      <c r="C147">
        <v>80</v>
      </c>
      <c r="D147">
        <v>79.898361206000004</v>
      </c>
      <c r="E147">
        <v>50</v>
      </c>
      <c r="F147">
        <v>14.985479355000001</v>
      </c>
      <c r="G147">
        <v>1400.9335937999999</v>
      </c>
      <c r="H147">
        <v>1386.5561522999999</v>
      </c>
      <c r="I147">
        <v>1250.3088379000001</v>
      </c>
      <c r="J147">
        <v>1210.8665771000001</v>
      </c>
      <c r="K147">
        <v>2400</v>
      </c>
      <c r="L147">
        <v>0</v>
      </c>
      <c r="M147">
        <v>0</v>
      </c>
      <c r="N147">
        <v>2400</v>
      </c>
    </row>
    <row r="148" spans="1:14" x14ac:dyDescent="0.25">
      <c r="A148">
        <v>9.8111680000000003</v>
      </c>
      <c r="B148" s="1">
        <f>DATE(2010,5,10) + TIME(19,28,4)</f>
        <v>40308.811157407406</v>
      </c>
      <c r="C148">
        <v>80</v>
      </c>
      <c r="D148">
        <v>79.898597717000001</v>
      </c>
      <c r="E148">
        <v>50</v>
      </c>
      <c r="F148">
        <v>14.985553741</v>
      </c>
      <c r="G148">
        <v>1400.8243408000001</v>
      </c>
      <c r="H148">
        <v>1386.4561768000001</v>
      </c>
      <c r="I148">
        <v>1250.3120117000001</v>
      </c>
      <c r="J148">
        <v>1210.869751</v>
      </c>
      <c r="K148">
        <v>2400</v>
      </c>
      <c r="L148">
        <v>0</v>
      </c>
      <c r="M148">
        <v>0</v>
      </c>
      <c r="N148">
        <v>2400</v>
      </c>
    </row>
    <row r="149" spans="1:14" x14ac:dyDescent="0.25">
      <c r="A149">
        <v>10.006798</v>
      </c>
      <c r="B149" s="1">
        <f>DATE(2010,5,11) + TIME(0,9,47)</f>
        <v>40309.006793981483</v>
      </c>
      <c r="C149">
        <v>80</v>
      </c>
      <c r="D149">
        <v>79.898811339999995</v>
      </c>
      <c r="E149">
        <v>50</v>
      </c>
      <c r="F149">
        <v>14.985628128</v>
      </c>
      <c r="G149">
        <v>1400.7141113</v>
      </c>
      <c r="H149">
        <v>1386.3554687999999</v>
      </c>
      <c r="I149">
        <v>1250.3156738</v>
      </c>
      <c r="J149">
        <v>1210.8735352000001</v>
      </c>
      <c r="K149">
        <v>2400</v>
      </c>
      <c r="L149">
        <v>0</v>
      </c>
      <c r="M149">
        <v>0</v>
      </c>
      <c r="N149">
        <v>2400</v>
      </c>
    </row>
    <row r="150" spans="1:14" x14ac:dyDescent="0.25">
      <c r="A150">
        <v>10.205940999999999</v>
      </c>
      <c r="B150" s="1">
        <f>DATE(2010,5,11) + TIME(4,56,33)</f>
        <v>40309.205937500003</v>
      </c>
      <c r="C150">
        <v>80</v>
      </c>
      <c r="D150">
        <v>79.899009704999997</v>
      </c>
      <c r="E150">
        <v>50</v>
      </c>
      <c r="F150">
        <v>14.985703468000001</v>
      </c>
      <c r="G150">
        <v>1400.6030272999999</v>
      </c>
      <c r="H150">
        <v>1386.2540283000001</v>
      </c>
      <c r="I150">
        <v>1250.3195800999999</v>
      </c>
      <c r="J150">
        <v>1210.8775635</v>
      </c>
      <c r="K150">
        <v>2400</v>
      </c>
      <c r="L150">
        <v>0</v>
      </c>
      <c r="M150">
        <v>0</v>
      </c>
      <c r="N150">
        <v>2400</v>
      </c>
    </row>
    <row r="151" spans="1:14" x14ac:dyDescent="0.25">
      <c r="A151">
        <v>10.408702</v>
      </c>
      <c r="B151" s="1">
        <f>DATE(2010,5,11) + TIME(9,48,31)</f>
        <v>40309.408692129633</v>
      </c>
      <c r="C151">
        <v>80</v>
      </c>
      <c r="D151">
        <v>79.899177550999994</v>
      </c>
      <c r="E151">
        <v>50</v>
      </c>
      <c r="F151">
        <v>14.985778808999999</v>
      </c>
      <c r="G151">
        <v>1400.4913329999999</v>
      </c>
      <c r="H151">
        <v>1386.1519774999999</v>
      </c>
      <c r="I151">
        <v>1250.3239745999999</v>
      </c>
      <c r="J151">
        <v>1210.8819579999999</v>
      </c>
      <c r="K151">
        <v>2400</v>
      </c>
      <c r="L151">
        <v>0</v>
      </c>
      <c r="M151">
        <v>0</v>
      </c>
      <c r="N151">
        <v>2400</v>
      </c>
    </row>
    <row r="152" spans="1:14" x14ac:dyDescent="0.25">
      <c r="A152">
        <v>10.615349</v>
      </c>
      <c r="B152" s="1">
        <f>DATE(2010,5,11) + TIME(14,46,6)</f>
        <v>40309.615347222221</v>
      </c>
      <c r="C152">
        <v>80</v>
      </c>
      <c r="D152">
        <v>79.899337768999999</v>
      </c>
      <c r="E152">
        <v>50</v>
      </c>
      <c r="F152">
        <v>14.985854149</v>
      </c>
      <c r="G152">
        <v>1400.3790283000001</v>
      </c>
      <c r="H152">
        <v>1386.0493164</v>
      </c>
      <c r="I152">
        <v>1250.3286132999999</v>
      </c>
      <c r="J152">
        <v>1210.8867187999999</v>
      </c>
      <c r="K152">
        <v>2400</v>
      </c>
      <c r="L152">
        <v>0</v>
      </c>
      <c r="M152">
        <v>0</v>
      </c>
      <c r="N152">
        <v>2400</v>
      </c>
    </row>
    <row r="153" spans="1:14" x14ac:dyDescent="0.25">
      <c r="A153">
        <v>10.826340999999999</v>
      </c>
      <c r="B153" s="1">
        <f>DATE(2010,5,11) + TIME(19,49,55)</f>
        <v>40309.826331018521</v>
      </c>
      <c r="C153">
        <v>80</v>
      </c>
      <c r="D153">
        <v>79.899475097999996</v>
      </c>
      <c r="E153">
        <v>50</v>
      </c>
      <c r="F153">
        <v>14.985929489</v>
      </c>
      <c r="G153">
        <v>1400.2658690999999</v>
      </c>
      <c r="H153">
        <v>1385.9460449000001</v>
      </c>
      <c r="I153">
        <v>1250.3334961</v>
      </c>
      <c r="J153">
        <v>1210.8917236</v>
      </c>
      <c r="K153">
        <v>2400</v>
      </c>
      <c r="L153">
        <v>0</v>
      </c>
      <c r="M153">
        <v>0</v>
      </c>
      <c r="N153">
        <v>2400</v>
      </c>
    </row>
    <row r="154" spans="1:14" x14ac:dyDescent="0.25">
      <c r="A154">
        <v>11.042106</v>
      </c>
      <c r="B154" s="1">
        <f>DATE(2010,5,12) + TIME(1,0,37)</f>
        <v>40310.042094907411</v>
      </c>
      <c r="C154">
        <v>80</v>
      </c>
      <c r="D154">
        <v>79.899604796999995</v>
      </c>
      <c r="E154">
        <v>50</v>
      </c>
      <c r="F154">
        <v>14.986005783</v>
      </c>
      <c r="G154">
        <v>1400.1519774999999</v>
      </c>
      <c r="H154">
        <v>1385.8420410000001</v>
      </c>
      <c r="I154">
        <v>1250.3387451000001</v>
      </c>
      <c r="J154">
        <v>1210.8969727000001</v>
      </c>
      <c r="K154">
        <v>2400</v>
      </c>
      <c r="L154">
        <v>0</v>
      </c>
      <c r="M154">
        <v>0</v>
      </c>
      <c r="N154">
        <v>2400</v>
      </c>
    </row>
    <row r="155" spans="1:14" x14ac:dyDescent="0.25">
      <c r="A155">
        <v>11.263114</v>
      </c>
      <c r="B155" s="1">
        <f>DATE(2010,5,12) + TIME(6,18,53)</f>
        <v>40310.263113425928</v>
      </c>
      <c r="C155">
        <v>80</v>
      </c>
      <c r="D155">
        <v>79.899711608999993</v>
      </c>
      <c r="E155">
        <v>50</v>
      </c>
      <c r="F155">
        <v>14.986082077000001</v>
      </c>
      <c r="G155">
        <v>1400.0369873</v>
      </c>
      <c r="H155">
        <v>1385.7370605000001</v>
      </c>
      <c r="I155">
        <v>1250.3441161999999</v>
      </c>
      <c r="J155">
        <v>1210.9024658000001</v>
      </c>
      <c r="K155">
        <v>2400</v>
      </c>
      <c r="L155">
        <v>0</v>
      </c>
      <c r="M155">
        <v>0</v>
      </c>
      <c r="N155">
        <v>2400</v>
      </c>
    </row>
    <row r="156" spans="1:14" x14ac:dyDescent="0.25">
      <c r="A156">
        <v>11.375944</v>
      </c>
      <c r="B156" s="1">
        <f>DATE(2010,5,12) + TIME(9,1,21)</f>
        <v>40310.375937500001</v>
      </c>
      <c r="C156">
        <v>80</v>
      </c>
      <c r="D156">
        <v>79.899665833</v>
      </c>
      <c r="E156">
        <v>50</v>
      </c>
      <c r="F156">
        <v>14.986124992000001</v>
      </c>
      <c r="G156">
        <v>1399.9390868999999</v>
      </c>
      <c r="H156">
        <v>1385.6479492000001</v>
      </c>
      <c r="I156">
        <v>1250.3469238</v>
      </c>
      <c r="J156">
        <v>1210.9052733999999</v>
      </c>
      <c r="K156">
        <v>2400</v>
      </c>
      <c r="L156">
        <v>0</v>
      </c>
      <c r="M156">
        <v>0</v>
      </c>
      <c r="N156">
        <v>2400</v>
      </c>
    </row>
    <row r="157" spans="1:14" x14ac:dyDescent="0.25">
      <c r="A157">
        <v>11.488775</v>
      </c>
      <c r="B157" s="1">
        <f>DATE(2010,5,12) + TIME(11,43,50)</f>
        <v>40310.48877314815</v>
      </c>
      <c r="C157">
        <v>80</v>
      </c>
      <c r="D157">
        <v>79.899696349999999</v>
      </c>
      <c r="E157">
        <v>50</v>
      </c>
      <c r="F157">
        <v>14.986166954</v>
      </c>
      <c r="G157">
        <v>1399.8701172000001</v>
      </c>
      <c r="H157">
        <v>1385.5848389</v>
      </c>
      <c r="I157">
        <v>1250.3497314000001</v>
      </c>
      <c r="J157">
        <v>1210.9082031</v>
      </c>
      <c r="K157">
        <v>2400</v>
      </c>
      <c r="L157">
        <v>0</v>
      </c>
      <c r="M157">
        <v>0</v>
      </c>
      <c r="N157">
        <v>2400</v>
      </c>
    </row>
    <row r="158" spans="1:14" x14ac:dyDescent="0.25">
      <c r="A158">
        <v>11.601604999999999</v>
      </c>
      <c r="B158" s="1">
        <f>DATE(2010,5,12) + TIME(14,26,18)</f>
        <v>40310.601597222223</v>
      </c>
      <c r="C158">
        <v>80</v>
      </c>
      <c r="D158">
        <v>79.899742126000007</v>
      </c>
      <c r="E158">
        <v>50</v>
      </c>
      <c r="F158">
        <v>14.986208916000001</v>
      </c>
      <c r="G158">
        <v>1399.8081055</v>
      </c>
      <c r="H158">
        <v>1385.5279541</v>
      </c>
      <c r="I158">
        <v>1250.3526611</v>
      </c>
      <c r="J158">
        <v>1210.9111327999999</v>
      </c>
      <c r="K158">
        <v>2400</v>
      </c>
      <c r="L158">
        <v>0</v>
      </c>
      <c r="M158">
        <v>0</v>
      </c>
      <c r="N158">
        <v>2400</v>
      </c>
    </row>
    <row r="159" spans="1:14" x14ac:dyDescent="0.25">
      <c r="A159">
        <v>11.714435999999999</v>
      </c>
      <c r="B159" s="1">
        <f>DATE(2010,5,12) + TIME(17,8,47)</f>
        <v>40310.714432870373</v>
      </c>
      <c r="C159">
        <v>80</v>
      </c>
      <c r="D159">
        <v>79.899787903000004</v>
      </c>
      <c r="E159">
        <v>50</v>
      </c>
      <c r="F159">
        <v>14.98624897</v>
      </c>
      <c r="G159">
        <v>1399.7484131000001</v>
      </c>
      <c r="H159">
        <v>1385.4733887</v>
      </c>
      <c r="I159">
        <v>1250.3555908000001</v>
      </c>
      <c r="J159">
        <v>1210.9140625</v>
      </c>
      <c r="K159">
        <v>2400</v>
      </c>
      <c r="L159">
        <v>0</v>
      </c>
      <c r="M159">
        <v>0</v>
      </c>
      <c r="N159">
        <v>2400</v>
      </c>
    </row>
    <row r="160" spans="1:14" x14ac:dyDescent="0.25">
      <c r="A160">
        <v>11.940097</v>
      </c>
      <c r="B160" s="1">
        <f>DATE(2010,5,12) + TIME(22,33,44)</f>
        <v>40310.940092592595</v>
      </c>
      <c r="C160">
        <v>80</v>
      </c>
      <c r="D160">
        <v>79.899986267000003</v>
      </c>
      <c r="E160">
        <v>50</v>
      </c>
      <c r="F160">
        <v>14.986320495999999</v>
      </c>
      <c r="G160">
        <v>1399.6774902</v>
      </c>
      <c r="H160">
        <v>1385.4084473</v>
      </c>
      <c r="I160">
        <v>1250.3613281</v>
      </c>
      <c r="J160">
        <v>1210.9199219</v>
      </c>
      <c r="K160">
        <v>2400</v>
      </c>
      <c r="L160">
        <v>0</v>
      </c>
      <c r="M160">
        <v>0</v>
      </c>
      <c r="N160">
        <v>2400</v>
      </c>
    </row>
    <row r="161" spans="1:14" x14ac:dyDescent="0.25">
      <c r="A161">
        <v>12.165967</v>
      </c>
      <c r="B161" s="1">
        <f>DATE(2010,5,13) + TIME(3,58,59)</f>
        <v>40311.165960648148</v>
      </c>
      <c r="C161">
        <v>80</v>
      </c>
      <c r="D161">
        <v>79.900062560999999</v>
      </c>
      <c r="E161">
        <v>50</v>
      </c>
      <c r="F161">
        <v>14.986392021</v>
      </c>
      <c r="G161">
        <v>1399.5717772999999</v>
      </c>
      <c r="H161">
        <v>1385.3121338000001</v>
      </c>
      <c r="I161">
        <v>1250.3670654</v>
      </c>
      <c r="J161">
        <v>1210.9256591999999</v>
      </c>
      <c r="K161">
        <v>2400</v>
      </c>
      <c r="L161">
        <v>0</v>
      </c>
      <c r="M161">
        <v>0</v>
      </c>
      <c r="N161">
        <v>2400</v>
      </c>
    </row>
    <row r="162" spans="1:14" x14ac:dyDescent="0.25">
      <c r="A162">
        <v>12.392670000000001</v>
      </c>
      <c r="B162" s="1">
        <f>DATE(2010,5,13) + TIME(9,25,26)</f>
        <v>40311.39266203704</v>
      </c>
      <c r="C162">
        <v>80</v>
      </c>
      <c r="D162">
        <v>79.900115967000005</v>
      </c>
      <c r="E162">
        <v>50</v>
      </c>
      <c r="F162">
        <v>14.986462593000001</v>
      </c>
      <c r="G162">
        <v>1399.4619141000001</v>
      </c>
      <c r="H162">
        <v>1385.2120361</v>
      </c>
      <c r="I162">
        <v>1250.3728027</v>
      </c>
      <c r="J162">
        <v>1210.9315185999999</v>
      </c>
      <c r="K162">
        <v>2400</v>
      </c>
      <c r="L162">
        <v>0</v>
      </c>
      <c r="M162">
        <v>0</v>
      </c>
      <c r="N162">
        <v>2400</v>
      </c>
    </row>
    <row r="163" spans="1:14" x14ac:dyDescent="0.25">
      <c r="A163">
        <v>12.620654</v>
      </c>
      <c r="B163" s="1">
        <f>DATE(2010,5,13) + TIME(14,53,44)</f>
        <v>40311.620648148149</v>
      </c>
      <c r="C163">
        <v>80</v>
      </c>
      <c r="D163">
        <v>79.900161742999998</v>
      </c>
      <c r="E163">
        <v>50</v>
      </c>
      <c r="F163">
        <v>14.986533165000001</v>
      </c>
      <c r="G163">
        <v>1399.3518065999999</v>
      </c>
      <c r="H163">
        <v>1385.1116943</v>
      </c>
      <c r="I163">
        <v>1250.378418</v>
      </c>
      <c r="J163">
        <v>1210.9372559000001</v>
      </c>
      <c r="K163">
        <v>2400</v>
      </c>
      <c r="L163">
        <v>0</v>
      </c>
      <c r="M163">
        <v>0</v>
      </c>
      <c r="N163">
        <v>2400</v>
      </c>
    </row>
    <row r="164" spans="1:14" x14ac:dyDescent="0.25">
      <c r="A164">
        <v>12.850301</v>
      </c>
      <c r="B164" s="1">
        <f>DATE(2010,5,13) + TIME(20,24,26)</f>
        <v>40311.850300925929</v>
      </c>
      <c r="C164">
        <v>80</v>
      </c>
      <c r="D164">
        <v>79.900207519999995</v>
      </c>
      <c r="E164">
        <v>50</v>
      </c>
      <c r="F164">
        <v>14.986602783</v>
      </c>
      <c r="G164">
        <v>1399.2421875</v>
      </c>
      <c r="H164">
        <v>1385.0117187999999</v>
      </c>
      <c r="I164">
        <v>1250.3840332</v>
      </c>
      <c r="J164">
        <v>1210.9428711</v>
      </c>
      <c r="K164">
        <v>2400</v>
      </c>
      <c r="L164">
        <v>0</v>
      </c>
      <c r="M164">
        <v>0</v>
      </c>
      <c r="N164">
        <v>2400</v>
      </c>
    </row>
    <row r="165" spans="1:14" x14ac:dyDescent="0.25">
      <c r="A165">
        <v>13.081989</v>
      </c>
      <c r="B165" s="1">
        <f>DATE(2010,5,14) + TIME(1,58,3)</f>
        <v>40312.081979166665</v>
      </c>
      <c r="C165">
        <v>80</v>
      </c>
      <c r="D165">
        <v>79.900238036999994</v>
      </c>
      <c r="E165">
        <v>50</v>
      </c>
      <c r="F165">
        <v>14.986672401</v>
      </c>
      <c r="G165">
        <v>1399.1331786999999</v>
      </c>
      <c r="H165">
        <v>1384.9123535000001</v>
      </c>
      <c r="I165">
        <v>1250.3897704999999</v>
      </c>
      <c r="J165">
        <v>1210.9486084</v>
      </c>
      <c r="K165">
        <v>2400</v>
      </c>
      <c r="L165">
        <v>0</v>
      </c>
      <c r="M165">
        <v>0</v>
      </c>
      <c r="N165">
        <v>2400</v>
      </c>
    </row>
    <row r="166" spans="1:14" x14ac:dyDescent="0.25">
      <c r="A166">
        <v>13.316098</v>
      </c>
      <c r="B166" s="1">
        <f>DATE(2010,5,14) + TIME(7,35,10)</f>
        <v>40312.316087962965</v>
      </c>
      <c r="C166">
        <v>80</v>
      </c>
      <c r="D166">
        <v>79.900268554999997</v>
      </c>
      <c r="E166">
        <v>50</v>
      </c>
      <c r="F166">
        <v>14.986742019999999</v>
      </c>
      <c r="G166">
        <v>1399.0245361</v>
      </c>
      <c r="H166">
        <v>1384.8134766000001</v>
      </c>
      <c r="I166">
        <v>1250.3953856999999</v>
      </c>
      <c r="J166">
        <v>1210.9543457</v>
      </c>
      <c r="K166">
        <v>2400</v>
      </c>
      <c r="L166">
        <v>0</v>
      </c>
      <c r="M166">
        <v>0</v>
      </c>
      <c r="N166">
        <v>2400</v>
      </c>
    </row>
    <row r="167" spans="1:14" x14ac:dyDescent="0.25">
      <c r="A167">
        <v>13.55302</v>
      </c>
      <c r="B167" s="1">
        <f>DATE(2010,5,14) + TIME(13,16,20)</f>
        <v>40312.55300925926</v>
      </c>
      <c r="C167">
        <v>80</v>
      </c>
      <c r="D167">
        <v>79.900299071999996</v>
      </c>
      <c r="E167">
        <v>50</v>
      </c>
      <c r="F167">
        <v>14.986811638000001</v>
      </c>
      <c r="G167">
        <v>1398.9163818</v>
      </c>
      <c r="H167">
        <v>1384.7148437999999</v>
      </c>
      <c r="I167">
        <v>1250.401001</v>
      </c>
      <c r="J167">
        <v>1210.9599608999999</v>
      </c>
      <c r="K167">
        <v>2400</v>
      </c>
      <c r="L167">
        <v>0</v>
      </c>
      <c r="M167">
        <v>0</v>
      </c>
      <c r="N167">
        <v>2400</v>
      </c>
    </row>
    <row r="168" spans="1:14" x14ac:dyDescent="0.25">
      <c r="A168">
        <v>13.793163</v>
      </c>
      <c r="B168" s="1">
        <f>DATE(2010,5,14) + TIME(19,2,9)</f>
        <v>40312.79315972222</v>
      </c>
      <c r="C168">
        <v>80</v>
      </c>
      <c r="D168">
        <v>79.900321959999999</v>
      </c>
      <c r="E168">
        <v>50</v>
      </c>
      <c r="F168">
        <v>14.986881256</v>
      </c>
      <c r="G168">
        <v>1398.8083495999999</v>
      </c>
      <c r="H168">
        <v>1384.6164550999999</v>
      </c>
      <c r="I168">
        <v>1250.4064940999999</v>
      </c>
      <c r="J168">
        <v>1210.9656981999999</v>
      </c>
      <c r="K168">
        <v>2400</v>
      </c>
      <c r="L168">
        <v>0</v>
      </c>
      <c r="M168">
        <v>0</v>
      </c>
      <c r="N168">
        <v>2400</v>
      </c>
    </row>
    <row r="169" spans="1:14" x14ac:dyDescent="0.25">
      <c r="A169">
        <v>14.036949</v>
      </c>
      <c r="B169" s="1">
        <f>DATE(2010,5,15) + TIME(0,53,12)</f>
        <v>40313.036944444444</v>
      </c>
      <c r="C169">
        <v>80</v>
      </c>
      <c r="D169">
        <v>79.900344849000007</v>
      </c>
      <c r="E169">
        <v>50</v>
      </c>
      <c r="F169">
        <v>14.986949921000001</v>
      </c>
      <c r="G169">
        <v>1398.7004394999999</v>
      </c>
      <c r="H169">
        <v>1384.5181885</v>
      </c>
      <c r="I169">
        <v>1250.4121094</v>
      </c>
      <c r="J169">
        <v>1210.9713135</v>
      </c>
      <c r="K169">
        <v>2400</v>
      </c>
      <c r="L169">
        <v>0</v>
      </c>
      <c r="M169">
        <v>0</v>
      </c>
      <c r="N169">
        <v>2400</v>
      </c>
    </row>
    <row r="170" spans="1:14" x14ac:dyDescent="0.25">
      <c r="A170">
        <v>14.284826000000001</v>
      </c>
      <c r="B170" s="1">
        <f>DATE(2010,5,15) + TIME(6,50,8)</f>
        <v>40313.284814814811</v>
      </c>
      <c r="C170">
        <v>80</v>
      </c>
      <c r="D170">
        <v>79.900360106999997</v>
      </c>
      <c r="E170">
        <v>50</v>
      </c>
      <c r="F170">
        <v>14.987019539</v>
      </c>
      <c r="G170">
        <v>1398.5924072</v>
      </c>
      <c r="H170">
        <v>1384.4197998</v>
      </c>
      <c r="I170">
        <v>1250.4177245999999</v>
      </c>
      <c r="J170">
        <v>1210.9769286999999</v>
      </c>
      <c r="K170">
        <v>2400</v>
      </c>
      <c r="L170">
        <v>0</v>
      </c>
      <c r="M170">
        <v>0</v>
      </c>
      <c r="N170">
        <v>2400</v>
      </c>
    </row>
    <row r="171" spans="1:14" x14ac:dyDescent="0.25">
      <c r="A171">
        <v>14.537345999999999</v>
      </c>
      <c r="B171" s="1">
        <f>DATE(2010,5,15) + TIME(12,53,46)</f>
        <v>40313.53733796296</v>
      </c>
      <c r="C171">
        <v>80</v>
      </c>
      <c r="D171">
        <v>79.900375366000006</v>
      </c>
      <c r="E171">
        <v>50</v>
      </c>
      <c r="F171">
        <v>14.987088203000001</v>
      </c>
      <c r="G171">
        <v>1398.4840088000001</v>
      </c>
      <c r="H171">
        <v>1384.3212891000001</v>
      </c>
      <c r="I171">
        <v>1250.4233397999999</v>
      </c>
      <c r="J171">
        <v>1210.9825439000001</v>
      </c>
      <c r="K171">
        <v>2400</v>
      </c>
      <c r="L171">
        <v>0</v>
      </c>
      <c r="M171">
        <v>0</v>
      </c>
      <c r="N171">
        <v>2400</v>
      </c>
    </row>
    <row r="172" spans="1:14" x14ac:dyDescent="0.25">
      <c r="A172">
        <v>14.794453000000001</v>
      </c>
      <c r="B172" s="1">
        <f>DATE(2010,5,15) + TIME(19,4,0)</f>
        <v>40313.794444444444</v>
      </c>
      <c r="C172">
        <v>80</v>
      </c>
      <c r="D172">
        <v>79.900390625</v>
      </c>
      <c r="E172">
        <v>50</v>
      </c>
      <c r="F172">
        <v>14.987157822</v>
      </c>
      <c r="G172">
        <v>1398.3753661999999</v>
      </c>
      <c r="H172">
        <v>1384.2222899999999</v>
      </c>
      <c r="I172">
        <v>1250.4288329999999</v>
      </c>
      <c r="J172">
        <v>1210.9882812000001</v>
      </c>
      <c r="K172">
        <v>2400</v>
      </c>
      <c r="L172">
        <v>0</v>
      </c>
      <c r="M172">
        <v>0</v>
      </c>
      <c r="N172">
        <v>2400</v>
      </c>
    </row>
    <row r="173" spans="1:14" x14ac:dyDescent="0.25">
      <c r="A173">
        <v>15.054976999999999</v>
      </c>
      <c r="B173" s="1">
        <f>DATE(2010,5,16) + TIME(1,19,9)</f>
        <v>40314.054965277777</v>
      </c>
      <c r="C173">
        <v>80</v>
      </c>
      <c r="D173">
        <v>79.900398253999995</v>
      </c>
      <c r="E173">
        <v>50</v>
      </c>
      <c r="F173">
        <v>14.98722744</v>
      </c>
      <c r="G173">
        <v>1398.2664795000001</v>
      </c>
      <c r="H173">
        <v>1384.1232910000001</v>
      </c>
      <c r="I173">
        <v>1250.4344481999999</v>
      </c>
      <c r="J173">
        <v>1210.9937743999999</v>
      </c>
      <c r="K173">
        <v>2400</v>
      </c>
      <c r="L173">
        <v>0</v>
      </c>
      <c r="M173">
        <v>0</v>
      </c>
      <c r="N173">
        <v>2400</v>
      </c>
    </row>
    <row r="174" spans="1:14" x14ac:dyDescent="0.25">
      <c r="A174">
        <v>15.319376</v>
      </c>
      <c r="B174" s="1">
        <f>DATE(2010,5,16) + TIME(7,39,54)</f>
        <v>40314.319374999999</v>
      </c>
      <c r="C174">
        <v>80</v>
      </c>
      <c r="D174">
        <v>79.900405883999994</v>
      </c>
      <c r="E174">
        <v>50</v>
      </c>
      <c r="F174">
        <v>14.987296104</v>
      </c>
      <c r="G174">
        <v>1398.1575928</v>
      </c>
      <c r="H174">
        <v>1384.0242920000001</v>
      </c>
      <c r="I174">
        <v>1250.4399414</v>
      </c>
      <c r="J174">
        <v>1210.9993896000001</v>
      </c>
      <c r="K174">
        <v>2400</v>
      </c>
      <c r="L174">
        <v>0</v>
      </c>
      <c r="M174">
        <v>0</v>
      </c>
      <c r="N174">
        <v>2400</v>
      </c>
    </row>
    <row r="175" spans="1:14" x14ac:dyDescent="0.25">
      <c r="A175">
        <v>15.588187</v>
      </c>
      <c r="B175" s="1">
        <f>DATE(2010,5,16) + TIME(14,6,59)</f>
        <v>40314.588182870371</v>
      </c>
      <c r="C175">
        <v>80</v>
      </c>
      <c r="D175">
        <v>79.900413513000004</v>
      </c>
      <c r="E175">
        <v>50</v>
      </c>
      <c r="F175">
        <v>14.987365723</v>
      </c>
      <c r="G175">
        <v>1398.0485839999999</v>
      </c>
      <c r="H175">
        <v>1383.9251709</v>
      </c>
      <c r="I175">
        <v>1250.4454346</v>
      </c>
      <c r="J175">
        <v>1211.0048827999999</v>
      </c>
      <c r="K175">
        <v>2400</v>
      </c>
      <c r="L175">
        <v>0</v>
      </c>
      <c r="M175">
        <v>0</v>
      </c>
      <c r="N175">
        <v>2400</v>
      </c>
    </row>
    <row r="176" spans="1:14" x14ac:dyDescent="0.25">
      <c r="A176">
        <v>15.861659</v>
      </c>
      <c r="B176" s="1">
        <f>DATE(2010,5,16) + TIME(20,40,47)</f>
        <v>40314.861655092594</v>
      </c>
      <c r="C176">
        <v>80</v>
      </c>
      <c r="D176">
        <v>79.900421143000003</v>
      </c>
      <c r="E176">
        <v>50</v>
      </c>
      <c r="F176">
        <v>14.987434387</v>
      </c>
      <c r="G176">
        <v>1397.9395752</v>
      </c>
      <c r="H176">
        <v>1383.8260498</v>
      </c>
      <c r="I176">
        <v>1250.4508057</v>
      </c>
      <c r="J176">
        <v>1211.0104980000001</v>
      </c>
      <c r="K176">
        <v>2400</v>
      </c>
      <c r="L176">
        <v>0</v>
      </c>
      <c r="M176">
        <v>0</v>
      </c>
      <c r="N176">
        <v>2400</v>
      </c>
    </row>
    <row r="177" spans="1:14" x14ac:dyDescent="0.25">
      <c r="A177">
        <v>16.140370000000001</v>
      </c>
      <c r="B177" s="1">
        <f>DATE(2010,5,17) + TIME(3,22,7)</f>
        <v>40315.1403587963</v>
      </c>
      <c r="C177">
        <v>80</v>
      </c>
      <c r="D177">
        <v>79.900421143000003</v>
      </c>
      <c r="E177">
        <v>50</v>
      </c>
      <c r="F177">
        <v>14.987504005</v>
      </c>
      <c r="G177">
        <v>1397.8300781</v>
      </c>
      <c r="H177">
        <v>1383.7265625</v>
      </c>
      <c r="I177">
        <v>1250.4562988</v>
      </c>
      <c r="J177">
        <v>1211.0159911999999</v>
      </c>
      <c r="K177">
        <v>2400</v>
      </c>
      <c r="L177">
        <v>0</v>
      </c>
      <c r="M177">
        <v>0</v>
      </c>
      <c r="N177">
        <v>2400</v>
      </c>
    </row>
    <row r="178" spans="1:14" x14ac:dyDescent="0.25">
      <c r="A178">
        <v>16.282692999999998</v>
      </c>
      <c r="B178" s="1">
        <f>DATE(2010,5,17) + TIME(6,47,4)</f>
        <v>40315.282685185186</v>
      </c>
      <c r="C178">
        <v>80</v>
      </c>
      <c r="D178">
        <v>79.900337218999994</v>
      </c>
      <c r="E178">
        <v>50</v>
      </c>
      <c r="F178">
        <v>14.987544059999999</v>
      </c>
      <c r="G178">
        <v>1397.7403564000001</v>
      </c>
      <c r="H178">
        <v>1383.6456298999999</v>
      </c>
      <c r="I178">
        <v>1250.4591064000001</v>
      </c>
      <c r="J178">
        <v>1211.0187988</v>
      </c>
      <c r="K178">
        <v>2400</v>
      </c>
      <c r="L178">
        <v>0</v>
      </c>
      <c r="M178">
        <v>0</v>
      </c>
      <c r="N178">
        <v>2400</v>
      </c>
    </row>
    <row r="179" spans="1:14" x14ac:dyDescent="0.25">
      <c r="A179">
        <v>16.425014999999998</v>
      </c>
      <c r="B179" s="1">
        <f>DATE(2010,5,17) + TIME(10,12,1)</f>
        <v>40315.425011574072</v>
      </c>
      <c r="C179">
        <v>80</v>
      </c>
      <c r="D179">
        <v>79.900321959999999</v>
      </c>
      <c r="E179">
        <v>50</v>
      </c>
      <c r="F179">
        <v>14.987582207000001</v>
      </c>
      <c r="G179">
        <v>1397.675293</v>
      </c>
      <c r="H179">
        <v>1383.5863036999999</v>
      </c>
      <c r="I179">
        <v>1250.4619141000001</v>
      </c>
      <c r="J179">
        <v>1211.0216064000001</v>
      </c>
      <c r="K179">
        <v>2400</v>
      </c>
      <c r="L179">
        <v>0</v>
      </c>
      <c r="M179">
        <v>0</v>
      </c>
      <c r="N179">
        <v>2400</v>
      </c>
    </row>
    <row r="180" spans="1:14" x14ac:dyDescent="0.25">
      <c r="A180">
        <v>16.567337999999999</v>
      </c>
      <c r="B180" s="1">
        <f>DATE(2010,5,17) + TIME(13,36,58)</f>
        <v>40315.567337962966</v>
      </c>
      <c r="C180">
        <v>80</v>
      </c>
      <c r="D180">
        <v>79.900321959999999</v>
      </c>
      <c r="E180">
        <v>50</v>
      </c>
      <c r="F180">
        <v>14.987620354000001</v>
      </c>
      <c r="G180">
        <v>1397.6164550999999</v>
      </c>
      <c r="H180">
        <v>1383.5327147999999</v>
      </c>
      <c r="I180">
        <v>1250.4647216999999</v>
      </c>
      <c r="J180">
        <v>1211.0244141000001</v>
      </c>
      <c r="K180">
        <v>2400</v>
      </c>
      <c r="L180">
        <v>0</v>
      </c>
      <c r="M180">
        <v>0</v>
      </c>
      <c r="N180">
        <v>2400</v>
      </c>
    </row>
    <row r="181" spans="1:14" x14ac:dyDescent="0.25">
      <c r="A181">
        <v>16.851983000000001</v>
      </c>
      <c r="B181" s="1">
        <f>DATE(2010,5,17) + TIME(20,26,51)</f>
        <v>40315.851979166669</v>
      </c>
      <c r="C181">
        <v>80</v>
      </c>
      <c r="D181">
        <v>79.900421143000003</v>
      </c>
      <c r="E181">
        <v>50</v>
      </c>
      <c r="F181">
        <v>14.987685204</v>
      </c>
      <c r="G181">
        <v>1397.5452881000001</v>
      </c>
      <c r="H181">
        <v>1383.4671631000001</v>
      </c>
      <c r="I181">
        <v>1250.4700928</v>
      </c>
      <c r="J181">
        <v>1211.0299072</v>
      </c>
      <c r="K181">
        <v>2400</v>
      </c>
      <c r="L181">
        <v>0</v>
      </c>
      <c r="M181">
        <v>0</v>
      </c>
      <c r="N181">
        <v>2400</v>
      </c>
    </row>
    <row r="182" spans="1:14" x14ac:dyDescent="0.25">
      <c r="A182">
        <v>17.136651000000001</v>
      </c>
      <c r="B182" s="1">
        <f>DATE(2010,5,18) + TIME(3,16,46)</f>
        <v>40316.136643518519</v>
      </c>
      <c r="C182">
        <v>80</v>
      </c>
      <c r="D182">
        <v>79.900436400999993</v>
      </c>
      <c r="E182">
        <v>50</v>
      </c>
      <c r="F182">
        <v>14.987751007</v>
      </c>
      <c r="G182">
        <v>1397.4443358999999</v>
      </c>
      <c r="H182">
        <v>1383.3756103999999</v>
      </c>
      <c r="I182">
        <v>1250.4753418</v>
      </c>
      <c r="J182">
        <v>1211.0352783000001</v>
      </c>
      <c r="K182">
        <v>2400</v>
      </c>
      <c r="L182">
        <v>0</v>
      </c>
      <c r="M182">
        <v>0</v>
      </c>
      <c r="N182">
        <v>2400</v>
      </c>
    </row>
    <row r="183" spans="1:14" x14ac:dyDescent="0.25">
      <c r="A183">
        <v>17.422080999999999</v>
      </c>
      <c r="B183" s="1">
        <f>DATE(2010,5,18) + TIME(10,7,47)</f>
        <v>40316.422071759262</v>
      </c>
      <c r="C183">
        <v>80</v>
      </c>
      <c r="D183">
        <v>79.900428771999998</v>
      </c>
      <c r="E183">
        <v>50</v>
      </c>
      <c r="F183">
        <v>14.987814903</v>
      </c>
      <c r="G183">
        <v>1397.3398437999999</v>
      </c>
      <c r="H183">
        <v>1383.2808838000001</v>
      </c>
      <c r="I183">
        <v>1250.4804687999999</v>
      </c>
      <c r="J183">
        <v>1211.0404053</v>
      </c>
      <c r="K183">
        <v>2400</v>
      </c>
      <c r="L183">
        <v>0</v>
      </c>
      <c r="M183">
        <v>0</v>
      </c>
      <c r="N183">
        <v>2400</v>
      </c>
    </row>
    <row r="184" spans="1:14" x14ac:dyDescent="0.25">
      <c r="A184">
        <v>17.708867000000001</v>
      </c>
      <c r="B184" s="1">
        <f>DATE(2010,5,18) + TIME(17,0,46)</f>
        <v>40316.708865740744</v>
      </c>
      <c r="C184">
        <v>80</v>
      </c>
      <c r="D184">
        <v>79.900421143000003</v>
      </c>
      <c r="E184">
        <v>50</v>
      </c>
      <c r="F184">
        <v>14.987879753</v>
      </c>
      <c r="G184">
        <v>1397.2354736</v>
      </c>
      <c r="H184">
        <v>1383.1861572</v>
      </c>
      <c r="I184">
        <v>1250.4854736</v>
      </c>
      <c r="J184">
        <v>1211.0454102000001</v>
      </c>
      <c r="K184">
        <v>2400</v>
      </c>
      <c r="L184">
        <v>0</v>
      </c>
      <c r="M184">
        <v>0</v>
      </c>
      <c r="N184">
        <v>2400</v>
      </c>
    </row>
    <row r="185" spans="1:14" x14ac:dyDescent="0.25">
      <c r="A185">
        <v>17.997513999999999</v>
      </c>
      <c r="B185" s="1">
        <f>DATE(2010,5,18) + TIME(23,56,25)</f>
        <v>40316.997511574074</v>
      </c>
      <c r="C185">
        <v>80</v>
      </c>
      <c r="D185">
        <v>79.900421143000003</v>
      </c>
      <c r="E185">
        <v>50</v>
      </c>
      <c r="F185">
        <v>14.987944603000001</v>
      </c>
      <c r="G185">
        <v>1397.1317139</v>
      </c>
      <c r="H185">
        <v>1383.0919189000001</v>
      </c>
      <c r="I185">
        <v>1250.4903564000001</v>
      </c>
      <c r="J185">
        <v>1211.0504149999999</v>
      </c>
      <c r="K185">
        <v>2400</v>
      </c>
      <c r="L185">
        <v>0</v>
      </c>
      <c r="M185">
        <v>0</v>
      </c>
      <c r="N185">
        <v>2400</v>
      </c>
    </row>
    <row r="186" spans="1:14" x14ac:dyDescent="0.25">
      <c r="A186">
        <v>18.288518</v>
      </c>
      <c r="B186" s="1">
        <f>DATE(2010,5,19) + TIME(6,55,27)</f>
        <v>40317.288506944446</v>
      </c>
      <c r="C186">
        <v>80</v>
      </c>
      <c r="D186">
        <v>79.900413513000004</v>
      </c>
      <c r="E186">
        <v>50</v>
      </c>
      <c r="F186">
        <v>14.988008498999999</v>
      </c>
      <c r="G186">
        <v>1397.0285644999999</v>
      </c>
      <c r="H186">
        <v>1382.9982910000001</v>
      </c>
      <c r="I186">
        <v>1250.4952393000001</v>
      </c>
      <c r="J186">
        <v>1211.0554199000001</v>
      </c>
      <c r="K186">
        <v>2400</v>
      </c>
      <c r="L186">
        <v>0</v>
      </c>
      <c r="M186">
        <v>0</v>
      </c>
      <c r="N186">
        <v>2400</v>
      </c>
    </row>
    <row r="187" spans="1:14" x14ac:dyDescent="0.25">
      <c r="A187">
        <v>18.582379</v>
      </c>
      <c r="B187" s="1">
        <f>DATE(2010,5,19) + TIME(13,58,37)</f>
        <v>40317.582372685189</v>
      </c>
      <c r="C187">
        <v>80</v>
      </c>
      <c r="D187">
        <v>79.900405883999994</v>
      </c>
      <c r="E187">
        <v>50</v>
      </c>
      <c r="F187">
        <v>14.988072395</v>
      </c>
      <c r="G187">
        <v>1396.9260254000001</v>
      </c>
      <c r="H187">
        <v>1382.9051514</v>
      </c>
      <c r="I187">
        <v>1250.5001221</v>
      </c>
      <c r="J187">
        <v>1211.0603027</v>
      </c>
      <c r="K187">
        <v>2400</v>
      </c>
      <c r="L187">
        <v>0</v>
      </c>
      <c r="M187">
        <v>0</v>
      </c>
      <c r="N187">
        <v>2400</v>
      </c>
    </row>
    <row r="188" spans="1:14" x14ac:dyDescent="0.25">
      <c r="A188">
        <v>18.879612000000002</v>
      </c>
      <c r="B188" s="1">
        <f>DATE(2010,5,19) + TIME(21,6,38)</f>
        <v>40317.879606481481</v>
      </c>
      <c r="C188">
        <v>80</v>
      </c>
      <c r="D188">
        <v>79.900405883999994</v>
      </c>
      <c r="E188">
        <v>50</v>
      </c>
      <c r="F188">
        <v>14.988136292</v>
      </c>
      <c r="G188">
        <v>1396.8238524999999</v>
      </c>
      <c r="H188">
        <v>1382.8123779</v>
      </c>
      <c r="I188">
        <v>1250.5050048999999</v>
      </c>
      <c r="J188">
        <v>1211.0653076000001</v>
      </c>
      <c r="K188">
        <v>2400</v>
      </c>
      <c r="L188">
        <v>0</v>
      </c>
      <c r="M188">
        <v>0</v>
      </c>
      <c r="N188">
        <v>2400</v>
      </c>
    </row>
    <row r="189" spans="1:14" x14ac:dyDescent="0.25">
      <c r="A189">
        <v>19.180748999999999</v>
      </c>
      <c r="B189" s="1">
        <f>DATE(2010,5,20) + TIME(4,20,16)</f>
        <v>40318.18074074074</v>
      </c>
      <c r="C189">
        <v>80</v>
      </c>
      <c r="D189">
        <v>79.900405883999994</v>
      </c>
      <c r="E189">
        <v>50</v>
      </c>
      <c r="F189">
        <v>14.988200188</v>
      </c>
      <c r="G189">
        <v>1396.7219238</v>
      </c>
      <c r="H189">
        <v>1382.7198486</v>
      </c>
      <c r="I189">
        <v>1250.5098877</v>
      </c>
      <c r="J189">
        <v>1211.0701904</v>
      </c>
      <c r="K189">
        <v>2400</v>
      </c>
      <c r="L189">
        <v>0</v>
      </c>
      <c r="M189">
        <v>0</v>
      </c>
      <c r="N189">
        <v>2400</v>
      </c>
    </row>
    <row r="190" spans="1:14" x14ac:dyDescent="0.25">
      <c r="A190">
        <v>19.486343999999999</v>
      </c>
      <c r="B190" s="1">
        <f>DATE(2010,5,20) + TIME(11,40,20)</f>
        <v>40318.486342592594</v>
      </c>
      <c r="C190">
        <v>80</v>
      </c>
      <c r="D190">
        <v>79.900398253999995</v>
      </c>
      <c r="E190">
        <v>50</v>
      </c>
      <c r="F190">
        <v>14.98826313</v>
      </c>
      <c r="G190">
        <v>1396.6201172000001</v>
      </c>
      <c r="H190">
        <v>1382.6274414</v>
      </c>
      <c r="I190">
        <v>1250.5147704999999</v>
      </c>
      <c r="J190">
        <v>1211.0750731999999</v>
      </c>
      <c r="K190">
        <v>2400</v>
      </c>
      <c r="L190">
        <v>0</v>
      </c>
      <c r="M190">
        <v>0</v>
      </c>
      <c r="N190">
        <v>2400</v>
      </c>
    </row>
    <row r="191" spans="1:14" x14ac:dyDescent="0.25">
      <c r="A191">
        <v>19.796980999999999</v>
      </c>
      <c r="B191" s="1">
        <f>DATE(2010,5,20) + TIME(19,7,39)</f>
        <v>40318.796979166669</v>
      </c>
      <c r="C191">
        <v>80</v>
      </c>
      <c r="D191">
        <v>79.900398253999995</v>
      </c>
      <c r="E191">
        <v>50</v>
      </c>
      <c r="F191">
        <v>14.988327026</v>
      </c>
      <c r="G191">
        <v>1396.5181885</v>
      </c>
      <c r="H191">
        <v>1382.5349120999999</v>
      </c>
      <c r="I191">
        <v>1250.5196533000001</v>
      </c>
      <c r="J191">
        <v>1211.0800781</v>
      </c>
      <c r="K191">
        <v>2400</v>
      </c>
      <c r="L191">
        <v>0</v>
      </c>
      <c r="M191">
        <v>0</v>
      </c>
      <c r="N191">
        <v>2400</v>
      </c>
    </row>
    <row r="192" spans="1:14" x14ac:dyDescent="0.25">
      <c r="A192">
        <v>20.112817</v>
      </c>
      <c r="B192" s="1">
        <f>DATE(2010,5,21) + TIME(2,42,27)</f>
        <v>40319.112812500003</v>
      </c>
      <c r="C192">
        <v>80</v>
      </c>
      <c r="D192">
        <v>79.900398253999995</v>
      </c>
      <c r="E192">
        <v>50</v>
      </c>
      <c r="F192">
        <v>14.988390923000001</v>
      </c>
      <c r="G192">
        <v>1396.4161377</v>
      </c>
      <c r="H192">
        <v>1382.4422606999999</v>
      </c>
      <c r="I192">
        <v>1250.5245361</v>
      </c>
      <c r="J192">
        <v>1211.0849608999999</v>
      </c>
      <c r="K192">
        <v>2400</v>
      </c>
      <c r="L192">
        <v>0</v>
      </c>
      <c r="M192">
        <v>0</v>
      </c>
      <c r="N192">
        <v>2400</v>
      </c>
    </row>
    <row r="193" spans="1:14" x14ac:dyDescent="0.25">
      <c r="A193">
        <v>20.431740999999999</v>
      </c>
      <c r="B193" s="1">
        <f>DATE(2010,5,21) + TIME(10,21,42)</f>
        <v>40319.43173611111</v>
      </c>
      <c r="C193">
        <v>80</v>
      </c>
      <c r="D193">
        <v>79.900398253999995</v>
      </c>
      <c r="E193">
        <v>50</v>
      </c>
      <c r="F193">
        <v>14.988454818999999</v>
      </c>
      <c r="G193">
        <v>1396.3140868999999</v>
      </c>
      <c r="H193">
        <v>1382.3496094</v>
      </c>
      <c r="I193">
        <v>1250.5294189000001</v>
      </c>
      <c r="J193">
        <v>1211.0899658000001</v>
      </c>
      <c r="K193">
        <v>2400</v>
      </c>
      <c r="L193">
        <v>0</v>
      </c>
      <c r="M193">
        <v>0</v>
      </c>
      <c r="N193">
        <v>2400</v>
      </c>
    </row>
    <row r="194" spans="1:14" x14ac:dyDescent="0.25">
      <c r="A194">
        <v>20.754290000000001</v>
      </c>
      <c r="B194" s="1">
        <f>DATE(2010,5,21) + TIME(18,6,10)</f>
        <v>40319.754282407404</v>
      </c>
      <c r="C194">
        <v>80</v>
      </c>
      <c r="D194">
        <v>79.900390625</v>
      </c>
      <c r="E194">
        <v>50</v>
      </c>
      <c r="F194">
        <v>14.988517761000001</v>
      </c>
      <c r="G194">
        <v>1396.2122803</v>
      </c>
      <c r="H194">
        <v>1382.2572021000001</v>
      </c>
      <c r="I194">
        <v>1250.5343018000001</v>
      </c>
      <c r="J194">
        <v>1211.0948486</v>
      </c>
      <c r="K194">
        <v>2400</v>
      </c>
      <c r="L194">
        <v>0</v>
      </c>
      <c r="M194">
        <v>0</v>
      </c>
      <c r="N194">
        <v>2400</v>
      </c>
    </row>
    <row r="195" spans="1:14" x14ac:dyDescent="0.25">
      <c r="A195">
        <v>21.080998000000001</v>
      </c>
      <c r="B195" s="1">
        <f>DATE(2010,5,22) + TIME(1,56,38)</f>
        <v>40320.080995370372</v>
      </c>
      <c r="C195">
        <v>80</v>
      </c>
      <c r="D195">
        <v>79.900390625</v>
      </c>
      <c r="E195">
        <v>50</v>
      </c>
      <c r="F195">
        <v>14.988581656999999</v>
      </c>
      <c r="G195">
        <v>1396.1107178</v>
      </c>
      <c r="H195">
        <v>1382.1650391000001</v>
      </c>
      <c r="I195">
        <v>1250.5391846</v>
      </c>
      <c r="J195">
        <v>1211.0998535000001</v>
      </c>
      <c r="K195">
        <v>2400</v>
      </c>
      <c r="L195">
        <v>0</v>
      </c>
      <c r="M195">
        <v>0</v>
      </c>
      <c r="N195">
        <v>2400</v>
      </c>
    </row>
    <row r="196" spans="1:14" x14ac:dyDescent="0.25">
      <c r="A196">
        <v>21.412479999999999</v>
      </c>
      <c r="B196" s="1">
        <f>DATE(2010,5,22) + TIME(9,53,58)</f>
        <v>40320.412476851852</v>
      </c>
      <c r="C196">
        <v>80</v>
      </c>
      <c r="D196">
        <v>79.900390625</v>
      </c>
      <c r="E196">
        <v>50</v>
      </c>
      <c r="F196">
        <v>14.988644600000001</v>
      </c>
      <c r="G196">
        <v>1396.0092772999999</v>
      </c>
      <c r="H196">
        <v>1382.0731201000001</v>
      </c>
      <c r="I196">
        <v>1250.5440673999999</v>
      </c>
      <c r="J196">
        <v>1211.1047363</v>
      </c>
      <c r="K196">
        <v>2400</v>
      </c>
      <c r="L196">
        <v>0</v>
      </c>
      <c r="M196">
        <v>0</v>
      </c>
      <c r="N196">
        <v>2400</v>
      </c>
    </row>
    <row r="197" spans="1:14" x14ac:dyDescent="0.25">
      <c r="A197">
        <v>21.749282999999998</v>
      </c>
      <c r="B197" s="1">
        <f>DATE(2010,5,22) + TIME(17,58,58)</f>
        <v>40320.749282407407</v>
      </c>
      <c r="C197">
        <v>80</v>
      </c>
      <c r="D197">
        <v>79.900398253999995</v>
      </c>
      <c r="E197">
        <v>50</v>
      </c>
      <c r="F197">
        <v>14.988708495999999</v>
      </c>
      <c r="G197">
        <v>1395.9078368999999</v>
      </c>
      <c r="H197">
        <v>1381.980957</v>
      </c>
      <c r="I197">
        <v>1250.5489502</v>
      </c>
      <c r="J197">
        <v>1211.1097411999999</v>
      </c>
      <c r="K197">
        <v>2400</v>
      </c>
      <c r="L197">
        <v>0</v>
      </c>
      <c r="M197">
        <v>0</v>
      </c>
      <c r="N197">
        <v>2400</v>
      </c>
    </row>
    <row r="198" spans="1:14" x14ac:dyDescent="0.25">
      <c r="A198">
        <v>22.091747000000002</v>
      </c>
      <c r="B198" s="1">
        <f>DATE(2010,5,23) + TIME(2,12,6)</f>
        <v>40321.091736111113</v>
      </c>
      <c r="C198">
        <v>80</v>
      </c>
      <c r="D198">
        <v>79.900398253999995</v>
      </c>
      <c r="E198">
        <v>50</v>
      </c>
      <c r="F198">
        <v>14.988771439000001</v>
      </c>
      <c r="G198">
        <v>1395.8062743999999</v>
      </c>
      <c r="H198">
        <v>1381.8887939000001</v>
      </c>
      <c r="I198">
        <v>1250.5539550999999</v>
      </c>
      <c r="J198">
        <v>1211.1147461</v>
      </c>
      <c r="K198">
        <v>2400</v>
      </c>
      <c r="L198">
        <v>0</v>
      </c>
      <c r="M198">
        <v>0</v>
      </c>
      <c r="N198">
        <v>2400</v>
      </c>
    </row>
    <row r="199" spans="1:14" x14ac:dyDescent="0.25">
      <c r="A199">
        <v>22.437688999999999</v>
      </c>
      <c r="B199" s="1">
        <f>DATE(2010,5,23) + TIME(10,30,16)</f>
        <v>40321.437685185185</v>
      </c>
      <c r="C199">
        <v>80</v>
      </c>
      <c r="D199">
        <v>79.900398253999995</v>
      </c>
      <c r="E199">
        <v>50</v>
      </c>
      <c r="F199">
        <v>14.988835334999999</v>
      </c>
      <c r="G199">
        <v>1395.7045897999999</v>
      </c>
      <c r="H199">
        <v>1381.7966309000001</v>
      </c>
      <c r="I199">
        <v>1250.5589600000001</v>
      </c>
      <c r="J199">
        <v>1211.119751</v>
      </c>
      <c r="K199">
        <v>2400</v>
      </c>
      <c r="L199">
        <v>0</v>
      </c>
      <c r="M199">
        <v>0</v>
      </c>
      <c r="N199">
        <v>2400</v>
      </c>
    </row>
    <row r="200" spans="1:14" x14ac:dyDescent="0.25">
      <c r="A200">
        <v>22.783787</v>
      </c>
      <c r="B200" s="1">
        <f>DATE(2010,5,23) + TIME(18,48,39)</f>
        <v>40321.783784722225</v>
      </c>
      <c r="C200">
        <v>80</v>
      </c>
      <c r="D200">
        <v>79.900398253999995</v>
      </c>
      <c r="E200">
        <v>50</v>
      </c>
      <c r="F200">
        <v>14.988897324</v>
      </c>
      <c r="G200">
        <v>1395.6036377</v>
      </c>
      <c r="H200">
        <v>1381.7049560999999</v>
      </c>
      <c r="I200">
        <v>1250.5639647999999</v>
      </c>
      <c r="J200">
        <v>1211.1247559000001</v>
      </c>
      <c r="K200">
        <v>2400</v>
      </c>
      <c r="L200">
        <v>0</v>
      </c>
      <c r="M200">
        <v>0</v>
      </c>
      <c r="N200">
        <v>2400</v>
      </c>
    </row>
    <row r="201" spans="1:14" x14ac:dyDescent="0.25">
      <c r="A201">
        <v>23.130725000000002</v>
      </c>
      <c r="B201" s="1">
        <f>DATE(2010,5,24) + TIME(3,8,14)</f>
        <v>40322.13071759259</v>
      </c>
      <c r="C201">
        <v>80</v>
      </c>
      <c r="D201">
        <v>79.900398253999995</v>
      </c>
      <c r="E201">
        <v>50</v>
      </c>
      <c r="F201">
        <v>14.988959312</v>
      </c>
      <c r="G201">
        <v>1395.5036620999999</v>
      </c>
      <c r="H201">
        <v>1381.6142577999999</v>
      </c>
      <c r="I201">
        <v>1250.5688477000001</v>
      </c>
      <c r="J201">
        <v>1211.1297606999999</v>
      </c>
      <c r="K201">
        <v>2400</v>
      </c>
      <c r="L201">
        <v>0</v>
      </c>
      <c r="M201">
        <v>0</v>
      </c>
      <c r="N201">
        <v>2400</v>
      </c>
    </row>
    <row r="202" spans="1:14" x14ac:dyDescent="0.25">
      <c r="A202">
        <v>23.479168999999999</v>
      </c>
      <c r="B202" s="1">
        <f>DATE(2010,5,24) + TIME(11,30,0)</f>
        <v>40322.479166666664</v>
      </c>
      <c r="C202">
        <v>80</v>
      </c>
      <c r="D202">
        <v>79.900398253999995</v>
      </c>
      <c r="E202">
        <v>50</v>
      </c>
      <c r="F202">
        <v>14.989021300999999</v>
      </c>
      <c r="G202">
        <v>1395.4049072</v>
      </c>
      <c r="H202">
        <v>1381.5246582</v>
      </c>
      <c r="I202">
        <v>1250.5737305</v>
      </c>
      <c r="J202">
        <v>1211.1347656</v>
      </c>
      <c r="K202">
        <v>2400</v>
      </c>
      <c r="L202">
        <v>0</v>
      </c>
      <c r="M202">
        <v>0</v>
      </c>
      <c r="N202">
        <v>2400</v>
      </c>
    </row>
    <row r="203" spans="1:14" x14ac:dyDescent="0.25">
      <c r="A203">
        <v>23.829754999999999</v>
      </c>
      <c r="B203" s="1">
        <f>DATE(2010,5,24) + TIME(19,54,50)</f>
        <v>40322.829745370371</v>
      </c>
      <c r="C203">
        <v>80</v>
      </c>
      <c r="D203">
        <v>79.900405883999994</v>
      </c>
      <c r="E203">
        <v>50</v>
      </c>
      <c r="F203">
        <v>14.989082335999999</v>
      </c>
      <c r="G203">
        <v>1395.3068848</v>
      </c>
      <c r="H203">
        <v>1381.4357910000001</v>
      </c>
      <c r="I203">
        <v>1250.5787353999999</v>
      </c>
      <c r="J203">
        <v>1211.1397704999999</v>
      </c>
      <c r="K203">
        <v>2400</v>
      </c>
      <c r="L203">
        <v>0</v>
      </c>
      <c r="M203">
        <v>0</v>
      </c>
      <c r="N203">
        <v>2400</v>
      </c>
    </row>
    <row r="204" spans="1:14" x14ac:dyDescent="0.25">
      <c r="A204">
        <v>24.183112000000001</v>
      </c>
      <c r="B204" s="1">
        <f>DATE(2010,5,25) + TIME(4,23,40)</f>
        <v>40323.18310185185</v>
      </c>
      <c r="C204">
        <v>80</v>
      </c>
      <c r="D204">
        <v>79.900413513000004</v>
      </c>
      <c r="E204">
        <v>50</v>
      </c>
      <c r="F204">
        <v>14.989142418</v>
      </c>
      <c r="G204">
        <v>1395.2097168</v>
      </c>
      <c r="H204">
        <v>1381.3475341999999</v>
      </c>
      <c r="I204">
        <v>1250.5837402</v>
      </c>
      <c r="J204">
        <v>1211.1447754000001</v>
      </c>
      <c r="K204">
        <v>2400</v>
      </c>
      <c r="L204">
        <v>0</v>
      </c>
      <c r="M204">
        <v>0</v>
      </c>
      <c r="N204">
        <v>2400</v>
      </c>
    </row>
    <row r="205" spans="1:14" x14ac:dyDescent="0.25">
      <c r="A205">
        <v>24.539878000000002</v>
      </c>
      <c r="B205" s="1">
        <f>DATE(2010,5,25) + TIME(12,57,25)</f>
        <v>40323.539872685185</v>
      </c>
      <c r="C205">
        <v>80</v>
      </c>
      <c r="D205">
        <v>79.900413513000004</v>
      </c>
      <c r="E205">
        <v>50</v>
      </c>
      <c r="F205">
        <v>14.989203453</v>
      </c>
      <c r="G205">
        <v>1395.1130370999999</v>
      </c>
      <c r="H205">
        <v>1381.2597656</v>
      </c>
      <c r="I205">
        <v>1250.5886230000001</v>
      </c>
      <c r="J205">
        <v>1211.1497803</v>
      </c>
      <c r="K205">
        <v>2400</v>
      </c>
      <c r="L205">
        <v>0</v>
      </c>
      <c r="M205">
        <v>0</v>
      </c>
      <c r="N205">
        <v>2400</v>
      </c>
    </row>
    <row r="206" spans="1:14" x14ac:dyDescent="0.25">
      <c r="A206">
        <v>24.900573000000001</v>
      </c>
      <c r="B206" s="1">
        <f>DATE(2010,5,25) + TIME(21,36,49)</f>
        <v>40323.900567129633</v>
      </c>
      <c r="C206">
        <v>80</v>
      </c>
      <c r="D206">
        <v>79.900421143000003</v>
      </c>
      <c r="E206">
        <v>50</v>
      </c>
      <c r="F206">
        <v>14.989263534999999</v>
      </c>
      <c r="G206">
        <v>1395.0167236</v>
      </c>
      <c r="H206">
        <v>1381.1723632999999</v>
      </c>
      <c r="I206">
        <v>1250.5936279</v>
      </c>
      <c r="J206">
        <v>1211.1549072</v>
      </c>
      <c r="K206">
        <v>2400</v>
      </c>
      <c r="L206">
        <v>0</v>
      </c>
      <c r="M206">
        <v>0</v>
      </c>
      <c r="N206">
        <v>2400</v>
      </c>
    </row>
    <row r="207" spans="1:14" x14ac:dyDescent="0.25">
      <c r="A207">
        <v>25.265847000000001</v>
      </c>
      <c r="B207" s="1">
        <f>DATE(2010,5,26) + TIME(6,22,49)</f>
        <v>40324.265844907408</v>
      </c>
      <c r="C207">
        <v>80</v>
      </c>
      <c r="D207">
        <v>79.900428771999998</v>
      </c>
      <c r="E207">
        <v>50</v>
      </c>
      <c r="F207">
        <v>14.989323616</v>
      </c>
      <c r="G207">
        <v>1394.9206543</v>
      </c>
      <c r="H207">
        <v>1381.0852050999999</v>
      </c>
      <c r="I207">
        <v>1250.5987548999999</v>
      </c>
      <c r="J207">
        <v>1211.1599120999999</v>
      </c>
      <c r="K207">
        <v>2400</v>
      </c>
      <c r="L207">
        <v>0</v>
      </c>
      <c r="M207">
        <v>0</v>
      </c>
      <c r="N207">
        <v>2400</v>
      </c>
    </row>
    <row r="208" spans="1:14" x14ac:dyDescent="0.25">
      <c r="A208">
        <v>25.636396999999999</v>
      </c>
      <c r="B208" s="1">
        <f>DATE(2010,5,26) + TIME(15,16,24)</f>
        <v>40324.636388888888</v>
      </c>
      <c r="C208">
        <v>80</v>
      </c>
      <c r="D208">
        <v>79.900436400999993</v>
      </c>
      <c r="E208">
        <v>50</v>
      </c>
      <c r="F208">
        <v>14.989383697999999</v>
      </c>
      <c r="G208">
        <v>1394.824707</v>
      </c>
      <c r="H208">
        <v>1380.9980469</v>
      </c>
      <c r="I208">
        <v>1250.6037598</v>
      </c>
      <c r="J208">
        <v>1211.1651611</v>
      </c>
      <c r="K208">
        <v>2400</v>
      </c>
      <c r="L208">
        <v>0</v>
      </c>
      <c r="M208">
        <v>0</v>
      </c>
      <c r="N208">
        <v>2400</v>
      </c>
    </row>
    <row r="209" spans="1:14" x14ac:dyDescent="0.25">
      <c r="A209">
        <v>26.012957</v>
      </c>
      <c r="B209" s="1">
        <f>DATE(2010,5,27) + TIME(0,18,39)</f>
        <v>40325.01295138889</v>
      </c>
      <c r="C209">
        <v>80</v>
      </c>
      <c r="D209">
        <v>79.900451660000002</v>
      </c>
      <c r="E209">
        <v>50</v>
      </c>
      <c r="F209">
        <v>14.989443779</v>
      </c>
      <c r="G209">
        <v>1394.7286377</v>
      </c>
      <c r="H209">
        <v>1380.9108887</v>
      </c>
      <c r="I209">
        <v>1250.6090088000001</v>
      </c>
      <c r="J209">
        <v>1211.1702881000001</v>
      </c>
      <c r="K209">
        <v>2400</v>
      </c>
      <c r="L209">
        <v>0</v>
      </c>
      <c r="M209">
        <v>0</v>
      </c>
      <c r="N209">
        <v>2400</v>
      </c>
    </row>
    <row r="210" spans="1:14" x14ac:dyDescent="0.25">
      <c r="A210">
        <v>26.392422</v>
      </c>
      <c r="B210" s="1">
        <f>DATE(2010,5,27) + TIME(9,25,5)</f>
        <v>40325.392418981479</v>
      </c>
      <c r="C210">
        <v>80</v>
      </c>
      <c r="D210">
        <v>79.900459290000001</v>
      </c>
      <c r="E210">
        <v>50</v>
      </c>
      <c r="F210">
        <v>14.989502907</v>
      </c>
      <c r="G210">
        <v>1394.6326904</v>
      </c>
      <c r="H210">
        <v>1380.8237305</v>
      </c>
      <c r="I210">
        <v>1250.6141356999999</v>
      </c>
      <c r="J210">
        <v>1211.1755370999999</v>
      </c>
      <c r="K210">
        <v>2400</v>
      </c>
      <c r="L210">
        <v>0</v>
      </c>
      <c r="M210">
        <v>0</v>
      </c>
      <c r="N210">
        <v>2400</v>
      </c>
    </row>
    <row r="211" spans="1:14" x14ac:dyDescent="0.25">
      <c r="A211">
        <v>26.774947999999998</v>
      </c>
      <c r="B211" s="1">
        <f>DATE(2010,5,27) + TIME(18,35,55)</f>
        <v>40325.774942129632</v>
      </c>
      <c r="C211">
        <v>80</v>
      </c>
      <c r="D211">
        <v>79.900466918999996</v>
      </c>
      <c r="E211">
        <v>50</v>
      </c>
      <c r="F211">
        <v>14.989562987999999</v>
      </c>
      <c r="G211">
        <v>1394.5371094</v>
      </c>
      <c r="H211">
        <v>1380.7369385</v>
      </c>
      <c r="I211">
        <v>1250.6193848</v>
      </c>
      <c r="J211">
        <v>1211.1807861</v>
      </c>
      <c r="K211">
        <v>2400</v>
      </c>
      <c r="L211">
        <v>0</v>
      </c>
      <c r="M211">
        <v>0</v>
      </c>
      <c r="N211">
        <v>2400</v>
      </c>
    </row>
    <row r="212" spans="1:14" x14ac:dyDescent="0.25">
      <c r="A212">
        <v>27.161159000000001</v>
      </c>
      <c r="B212" s="1">
        <f>DATE(2010,5,28) + TIME(3,52,4)</f>
        <v>40326.161157407405</v>
      </c>
      <c r="C212">
        <v>80</v>
      </c>
      <c r="D212">
        <v>79.900482178000004</v>
      </c>
      <c r="E212">
        <v>50</v>
      </c>
      <c r="F212">
        <v>14.989622116</v>
      </c>
      <c r="G212">
        <v>1394.4420166</v>
      </c>
      <c r="H212">
        <v>1380.6506348</v>
      </c>
      <c r="I212">
        <v>1250.6246338000001</v>
      </c>
      <c r="J212">
        <v>1211.1861572</v>
      </c>
      <c r="K212">
        <v>2400</v>
      </c>
      <c r="L212">
        <v>0</v>
      </c>
      <c r="M212">
        <v>0</v>
      </c>
      <c r="N212">
        <v>2400</v>
      </c>
    </row>
    <row r="213" spans="1:14" x14ac:dyDescent="0.25">
      <c r="A213">
        <v>27.551697000000001</v>
      </c>
      <c r="B213" s="1">
        <f>DATE(2010,5,28) + TIME(13,14,26)</f>
        <v>40326.551689814813</v>
      </c>
      <c r="C213">
        <v>80</v>
      </c>
      <c r="D213">
        <v>79.900497436999999</v>
      </c>
      <c r="E213">
        <v>50</v>
      </c>
      <c r="F213">
        <v>14.989681244</v>
      </c>
      <c r="G213">
        <v>1394.347168</v>
      </c>
      <c r="H213">
        <v>1380.5644531</v>
      </c>
      <c r="I213">
        <v>1250.6300048999999</v>
      </c>
      <c r="J213">
        <v>1211.1915283000001</v>
      </c>
      <c r="K213">
        <v>2400</v>
      </c>
      <c r="L213">
        <v>0</v>
      </c>
      <c r="M213">
        <v>0</v>
      </c>
      <c r="N213">
        <v>2400</v>
      </c>
    </row>
    <row r="214" spans="1:14" x14ac:dyDescent="0.25">
      <c r="A214">
        <v>27.947222</v>
      </c>
      <c r="B214" s="1">
        <f>DATE(2010,5,28) + TIME(22,43,59)</f>
        <v>40326.947210648148</v>
      </c>
      <c r="C214">
        <v>80</v>
      </c>
      <c r="D214">
        <v>79.900505065999994</v>
      </c>
      <c r="E214">
        <v>50</v>
      </c>
      <c r="F214">
        <v>14.989740372</v>
      </c>
      <c r="G214">
        <v>1394.2525635</v>
      </c>
      <c r="H214">
        <v>1380.4785156</v>
      </c>
      <c r="I214">
        <v>1250.635376</v>
      </c>
      <c r="J214">
        <v>1211.1968993999999</v>
      </c>
      <c r="K214">
        <v>2400</v>
      </c>
      <c r="L214">
        <v>0</v>
      </c>
      <c r="M214">
        <v>0</v>
      </c>
      <c r="N214">
        <v>2400</v>
      </c>
    </row>
    <row r="215" spans="1:14" x14ac:dyDescent="0.25">
      <c r="A215">
        <v>28.348516</v>
      </c>
      <c r="B215" s="1">
        <f>DATE(2010,5,29) + TIME(8,21,51)</f>
        <v>40327.348506944443</v>
      </c>
      <c r="C215">
        <v>80</v>
      </c>
      <c r="D215">
        <v>79.900520325000002</v>
      </c>
      <c r="E215">
        <v>50</v>
      </c>
      <c r="F215">
        <v>14.9897995</v>
      </c>
      <c r="G215">
        <v>1394.1579589999999</v>
      </c>
      <c r="H215">
        <v>1380.3927002</v>
      </c>
      <c r="I215">
        <v>1250.6408690999999</v>
      </c>
      <c r="J215">
        <v>1211.2025146000001</v>
      </c>
      <c r="K215">
        <v>2400</v>
      </c>
      <c r="L215">
        <v>0</v>
      </c>
      <c r="M215">
        <v>0</v>
      </c>
      <c r="N215">
        <v>2400</v>
      </c>
    </row>
    <row r="216" spans="1:14" x14ac:dyDescent="0.25">
      <c r="A216">
        <v>28.750297</v>
      </c>
      <c r="B216" s="1">
        <f>DATE(2010,5,29) + TIME(18,0,25)</f>
        <v>40327.750289351854</v>
      </c>
      <c r="C216">
        <v>80</v>
      </c>
      <c r="D216">
        <v>79.900535583000007</v>
      </c>
      <c r="E216">
        <v>50</v>
      </c>
      <c r="F216">
        <v>14.989858627</v>
      </c>
      <c r="G216">
        <v>1394.0637207</v>
      </c>
      <c r="H216">
        <v>1380.3070068</v>
      </c>
      <c r="I216">
        <v>1250.6462402</v>
      </c>
      <c r="J216">
        <v>1211.2080077999999</v>
      </c>
      <c r="K216">
        <v>2400</v>
      </c>
      <c r="L216">
        <v>0</v>
      </c>
      <c r="M216">
        <v>0</v>
      </c>
      <c r="N216">
        <v>2400</v>
      </c>
    </row>
    <row r="217" spans="1:14" x14ac:dyDescent="0.25">
      <c r="A217">
        <v>29.15268</v>
      </c>
      <c r="B217" s="1">
        <f>DATE(2010,5,30) + TIME(3,39,51)</f>
        <v>40328.152673611112</v>
      </c>
      <c r="C217">
        <v>80</v>
      </c>
      <c r="D217">
        <v>79.900550842000001</v>
      </c>
      <c r="E217">
        <v>50</v>
      </c>
      <c r="F217">
        <v>14.989916801</v>
      </c>
      <c r="G217">
        <v>1393.9703368999999</v>
      </c>
      <c r="H217">
        <v>1380.222168</v>
      </c>
      <c r="I217">
        <v>1250.6517334</v>
      </c>
      <c r="J217">
        <v>1211.213501</v>
      </c>
      <c r="K217">
        <v>2400</v>
      </c>
      <c r="L217">
        <v>0</v>
      </c>
      <c r="M217">
        <v>0</v>
      </c>
      <c r="N217">
        <v>2400</v>
      </c>
    </row>
    <row r="218" spans="1:14" x14ac:dyDescent="0.25">
      <c r="A218">
        <v>29.556507</v>
      </c>
      <c r="B218" s="1">
        <f>DATE(2010,5,30) + TIME(13,21,22)</f>
        <v>40328.556504629632</v>
      </c>
      <c r="C218">
        <v>80</v>
      </c>
      <c r="D218">
        <v>79.900566100999995</v>
      </c>
      <c r="E218">
        <v>50</v>
      </c>
      <c r="F218">
        <v>14.989974022</v>
      </c>
      <c r="G218">
        <v>1393.8779297000001</v>
      </c>
      <c r="H218">
        <v>1380.1383057</v>
      </c>
      <c r="I218">
        <v>1250.6573486</v>
      </c>
      <c r="J218">
        <v>1211.2189940999999</v>
      </c>
      <c r="K218">
        <v>2400</v>
      </c>
      <c r="L218">
        <v>0</v>
      </c>
      <c r="M218">
        <v>0</v>
      </c>
      <c r="N218">
        <v>2400</v>
      </c>
    </row>
    <row r="219" spans="1:14" x14ac:dyDescent="0.25">
      <c r="A219">
        <v>29.962555999999999</v>
      </c>
      <c r="B219" s="1">
        <f>DATE(2010,5,30) + TIME(23,6,4)</f>
        <v>40328.962546296294</v>
      </c>
      <c r="C219">
        <v>80</v>
      </c>
      <c r="D219">
        <v>79.900588988999999</v>
      </c>
      <c r="E219">
        <v>50</v>
      </c>
      <c r="F219">
        <v>14.990031242000001</v>
      </c>
      <c r="G219">
        <v>1393.7863769999999</v>
      </c>
      <c r="H219">
        <v>1380.0550536999999</v>
      </c>
      <c r="I219">
        <v>1250.6628418</v>
      </c>
      <c r="J219">
        <v>1211.2246094</v>
      </c>
      <c r="K219">
        <v>2400</v>
      </c>
      <c r="L219">
        <v>0</v>
      </c>
      <c r="M219">
        <v>0</v>
      </c>
      <c r="N219">
        <v>2400</v>
      </c>
    </row>
    <row r="220" spans="1:14" x14ac:dyDescent="0.25">
      <c r="A220">
        <v>30.371600999999998</v>
      </c>
      <c r="B220" s="1">
        <f>DATE(2010,5,31) + TIME(8,55,6)</f>
        <v>40329.37159722222</v>
      </c>
      <c r="C220">
        <v>80</v>
      </c>
      <c r="D220">
        <v>79.900604247999993</v>
      </c>
      <c r="E220">
        <v>50</v>
      </c>
      <c r="F220">
        <v>14.990088462999999</v>
      </c>
      <c r="G220">
        <v>1393.6954346</v>
      </c>
      <c r="H220">
        <v>1379.9724120999999</v>
      </c>
      <c r="I220">
        <v>1250.668457</v>
      </c>
      <c r="J220">
        <v>1211.2302245999999</v>
      </c>
      <c r="K220">
        <v>2400</v>
      </c>
      <c r="L220">
        <v>0</v>
      </c>
      <c r="M220">
        <v>0</v>
      </c>
      <c r="N220">
        <v>2400</v>
      </c>
    </row>
    <row r="221" spans="1:14" x14ac:dyDescent="0.25">
      <c r="A221">
        <v>30.784417999999999</v>
      </c>
      <c r="B221" s="1">
        <f>DATE(2010,5,31) + TIME(18,49,33)</f>
        <v>40329.784409722219</v>
      </c>
      <c r="C221">
        <v>80</v>
      </c>
      <c r="D221">
        <v>79.900627135999997</v>
      </c>
      <c r="E221">
        <v>50</v>
      </c>
      <c r="F221">
        <v>14.990144730000001</v>
      </c>
      <c r="G221">
        <v>1393.6049805</v>
      </c>
      <c r="H221">
        <v>1379.8901367000001</v>
      </c>
      <c r="I221">
        <v>1250.6740723</v>
      </c>
      <c r="J221">
        <v>1211.2359618999999</v>
      </c>
      <c r="K221">
        <v>2400</v>
      </c>
      <c r="L221">
        <v>0</v>
      </c>
      <c r="M221">
        <v>0</v>
      </c>
      <c r="N221">
        <v>2400</v>
      </c>
    </row>
    <row r="222" spans="1:14" x14ac:dyDescent="0.25">
      <c r="A222">
        <v>31</v>
      </c>
      <c r="B222" s="1">
        <f>DATE(2010,6,1) + TIME(0,0,0)</f>
        <v>40330</v>
      </c>
      <c r="C222">
        <v>80</v>
      </c>
      <c r="D222">
        <v>79.900573730000005</v>
      </c>
      <c r="E222">
        <v>50</v>
      </c>
      <c r="F222">
        <v>14.990180016</v>
      </c>
      <c r="G222">
        <v>1393.5329589999999</v>
      </c>
      <c r="H222">
        <v>1379.8255615</v>
      </c>
      <c r="I222">
        <v>1250.677124</v>
      </c>
      <c r="J222">
        <v>1211.2391356999999</v>
      </c>
      <c r="K222">
        <v>2400</v>
      </c>
      <c r="L222">
        <v>0</v>
      </c>
      <c r="M222">
        <v>0</v>
      </c>
      <c r="N222">
        <v>2400</v>
      </c>
    </row>
    <row r="223" spans="1:14" x14ac:dyDescent="0.25">
      <c r="A223">
        <v>31.417370999999999</v>
      </c>
      <c r="B223" s="1">
        <f>DATE(2010,6,1) + TIME(10,1,0)</f>
        <v>40330.417361111111</v>
      </c>
      <c r="C223">
        <v>80</v>
      </c>
      <c r="D223">
        <v>79.900650024000001</v>
      </c>
      <c r="E223">
        <v>50</v>
      </c>
      <c r="F223">
        <v>14.990234375</v>
      </c>
      <c r="G223">
        <v>1393.4630127</v>
      </c>
      <c r="H223">
        <v>1379.7607422000001</v>
      </c>
      <c r="I223">
        <v>1250.6829834</v>
      </c>
      <c r="J223">
        <v>1211.2449951000001</v>
      </c>
      <c r="K223">
        <v>2400</v>
      </c>
      <c r="L223">
        <v>0</v>
      </c>
      <c r="M223">
        <v>0</v>
      </c>
      <c r="N223">
        <v>2400</v>
      </c>
    </row>
    <row r="224" spans="1:14" x14ac:dyDescent="0.25">
      <c r="A224">
        <v>31.843394</v>
      </c>
      <c r="B224" s="1">
        <f>DATE(2010,6,1) + TIME(20,14,29)</f>
        <v>40330.843391203707</v>
      </c>
      <c r="C224">
        <v>80</v>
      </c>
      <c r="D224">
        <v>79.900688170999999</v>
      </c>
      <c r="E224">
        <v>50</v>
      </c>
      <c r="F224">
        <v>14.990289688000001</v>
      </c>
      <c r="G224">
        <v>1393.3769531</v>
      </c>
      <c r="H224">
        <v>1379.6824951000001</v>
      </c>
      <c r="I224">
        <v>1250.6888428</v>
      </c>
      <c r="J224">
        <v>1211.2508545000001</v>
      </c>
      <c r="K224">
        <v>2400</v>
      </c>
      <c r="L224">
        <v>0</v>
      </c>
      <c r="M224">
        <v>0</v>
      </c>
      <c r="N224">
        <v>2400</v>
      </c>
    </row>
    <row r="225" spans="1:14" x14ac:dyDescent="0.25">
      <c r="A225">
        <v>32.275922000000001</v>
      </c>
      <c r="B225" s="1">
        <f>DATE(2010,6,2) + TIME(6,37,19)</f>
        <v>40331.275914351849</v>
      </c>
      <c r="C225">
        <v>80</v>
      </c>
      <c r="D225">
        <v>79.900711060000006</v>
      </c>
      <c r="E225">
        <v>50</v>
      </c>
      <c r="F225">
        <v>14.990345001</v>
      </c>
      <c r="G225">
        <v>1393.2877197</v>
      </c>
      <c r="H225">
        <v>1379.6014404</v>
      </c>
      <c r="I225">
        <v>1250.6947021000001</v>
      </c>
      <c r="J225">
        <v>1211.2567139</v>
      </c>
      <c r="K225">
        <v>2400</v>
      </c>
      <c r="L225">
        <v>0</v>
      </c>
      <c r="M225">
        <v>0</v>
      </c>
      <c r="N225">
        <v>2400</v>
      </c>
    </row>
    <row r="226" spans="1:14" x14ac:dyDescent="0.25">
      <c r="A226">
        <v>32.711227000000001</v>
      </c>
      <c r="B226" s="1">
        <f>DATE(2010,6,2) + TIME(17,4,9)</f>
        <v>40331.711215277777</v>
      </c>
      <c r="C226">
        <v>80</v>
      </c>
      <c r="D226">
        <v>79.900733947999996</v>
      </c>
      <c r="E226">
        <v>50</v>
      </c>
      <c r="F226">
        <v>14.990401267999999</v>
      </c>
      <c r="G226">
        <v>1393.1979980000001</v>
      </c>
      <c r="H226">
        <v>1379.5198975000001</v>
      </c>
      <c r="I226">
        <v>1250.7006836</v>
      </c>
      <c r="J226">
        <v>1211.2626952999999</v>
      </c>
      <c r="K226">
        <v>2400</v>
      </c>
      <c r="L226">
        <v>0</v>
      </c>
      <c r="M226">
        <v>0</v>
      </c>
      <c r="N226">
        <v>2400</v>
      </c>
    </row>
    <row r="227" spans="1:14" x14ac:dyDescent="0.25">
      <c r="A227">
        <v>33.148943000000003</v>
      </c>
      <c r="B227" s="1">
        <f>DATE(2010,6,3) + TIME(3,34,28)</f>
        <v>40332.148935185185</v>
      </c>
      <c r="C227">
        <v>80</v>
      </c>
      <c r="D227">
        <v>79.900756835999999</v>
      </c>
      <c r="E227">
        <v>50</v>
      </c>
      <c r="F227">
        <v>14.990456581</v>
      </c>
      <c r="G227">
        <v>1393.1085204999999</v>
      </c>
      <c r="H227">
        <v>1379.4384766000001</v>
      </c>
      <c r="I227">
        <v>1250.7066649999999</v>
      </c>
      <c r="J227">
        <v>1211.2686768000001</v>
      </c>
      <c r="K227">
        <v>2400</v>
      </c>
      <c r="L227">
        <v>0</v>
      </c>
      <c r="M227">
        <v>0</v>
      </c>
      <c r="N227">
        <v>2400</v>
      </c>
    </row>
    <row r="228" spans="1:14" x14ac:dyDescent="0.25">
      <c r="A228">
        <v>33.589793999999998</v>
      </c>
      <c r="B228" s="1">
        <f>DATE(2010,6,3) + TIME(14,9,18)</f>
        <v>40332.589791666665</v>
      </c>
      <c r="C228">
        <v>80</v>
      </c>
      <c r="D228">
        <v>79.900779724000003</v>
      </c>
      <c r="E228">
        <v>50</v>
      </c>
      <c r="F228">
        <v>14.990511894000001</v>
      </c>
      <c r="G228">
        <v>1393.0195312000001</v>
      </c>
      <c r="H228">
        <v>1379.3575439000001</v>
      </c>
      <c r="I228">
        <v>1250.7126464999999</v>
      </c>
      <c r="J228">
        <v>1211.2747803</v>
      </c>
      <c r="K228">
        <v>2400</v>
      </c>
      <c r="L228">
        <v>0</v>
      </c>
      <c r="M228">
        <v>0</v>
      </c>
      <c r="N228">
        <v>2400</v>
      </c>
    </row>
    <row r="229" spans="1:14" x14ac:dyDescent="0.25">
      <c r="A229">
        <v>34.034520000000001</v>
      </c>
      <c r="B229" s="1">
        <f>DATE(2010,6,4) + TIME(0,49,42)</f>
        <v>40333.034513888888</v>
      </c>
      <c r="C229">
        <v>80</v>
      </c>
      <c r="D229">
        <v>79.900810242000006</v>
      </c>
      <c r="E229">
        <v>50</v>
      </c>
      <c r="F229">
        <v>14.990567207</v>
      </c>
      <c r="G229">
        <v>1392.9309082</v>
      </c>
      <c r="H229">
        <v>1379.2768555</v>
      </c>
      <c r="I229">
        <v>1250.71875</v>
      </c>
      <c r="J229">
        <v>1211.2810059000001</v>
      </c>
      <c r="K229">
        <v>2400</v>
      </c>
      <c r="L229">
        <v>0</v>
      </c>
      <c r="M229">
        <v>0</v>
      </c>
      <c r="N229">
        <v>2400</v>
      </c>
    </row>
    <row r="230" spans="1:14" x14ac:dyDescent="0.25">
      <c r="A230">
        <v>34.483871000000001</v>
      </c>
      <c r="B230" s="1">
        <f>DATE(2010,6,4) + TIME(11,36,46)</f>
        <v>40333.483865740738</v>
      </c>
      <c r="C230">
        <v>80</v>
      </c>
      <c r="D230">
        <v>79.900833129999995</v>
      </c>
      <c r="E230">
        <v>50</v>
      </c>
      <c r="F230">
        <v>14.990623474</v>
      </c>
      <c r="G230">
        <v>1392.8426514</v>
      </c>
      <c r="H230">
        <v>1379.1964111</v>
      </c>
      <c r="I230">
        <v>1250.7249756000001</v>
      </c>
      <c r="J230">
        <v>1211.2872314000001</v>
      </c>
      <c r="K230">
        <v>2400</v>
      </c>
      <c r="L230">
        <v>0</v>
      </c>
      <c r="M230">
        <v>0</v>
      </c>
      <c r="N230">
        <v>2400</v>
      </c>
    </row>
    <row r="231" spans="1:14" x14ac:dyDescent="0.25">
      <c r="A231">
        <v>34.938622000000002</v>
      </c>
      <c r="B231" s="1">
        <f>DATE(2010,6,4) + TIME(22,31,36)</f>
        <v>40333.938611111109</v>
      </c>
      <c r="C231">
        <v>80</v>
      </c>
      <c r="D231">
        <v>79.900863646999994</v>
      </c>
      <c r="E231">
        <v>50</v>
      </c>
      <c r="F231">
        <v>14.990678787</v>
      </c>
      <c r="G231">
        <v>1392.7543945</v>
      </c>
      <c r="H231">
        <v>1379.1160889</v>
      </c>
      <c r="I231">
        <v>1250.7313231999999</v>
      </c>
      <c r="J231">
        <v>1211.2935791</v>
      </c>
      <c r="K231">
        <v>2400</v>
      </c>
      <c r="L231">
        <v>0</v>
      </c>
      <c r="M231">
        <v>0</v>
      </c>
      <c r="N231">
        <v>2400</v>
      </c>
    </row>
    <row r="232" spans="1:14" x14ac:dyDescent="0.25">
      <c r="A232">
        <v>35.398905999999997</v>
      </c>
      <c r="B232" s="1">
        <f>DATE(2010,6,5) + TIME(9,34,25)</f>
        <v>40334.398900462962</v>
      </c>
      <c r="C232">
        <v>80</v>
      </c>
      <c r="D232">
        <v>79.900894164999997</v>
      </c>
      <c r="E232">
        <v>50</v>
      </c>
      <c r="F232">
        <v>14.990734099999999</v>
      </c>
      <c r="G232">
        <v>1392.6662598</v>
      </c>
      <c r="H232">
        <v>1379.0357666</v>
      </c>
      <c r="I232">
        <v>1250.7376709</v>
      </c>
      <c r="J232">
        <v>1211.2999268000001</v>
      </c>
      <c r="K232">
        <v>2400</v>
      </c>
      <c r="L232">
        <v>0</v>
      </c>
      <c r="M232">
        <v>0</v>
      </c>
      <c r="N232">
        <v>2400</v>
      </c>
    </row>
    <row r="233" spans="1:14" x14ac:dyDescent="0.25">
      <c r="A233">
        <v>35.859676</v>
      </c>
      <c r="B233" s="1">
        <f>DATE(2010,6,5) + TIME(20,37,56)</f>
        <v>40334.859675925924</v>
      </c>
      <c r="C233">
        <v>80</v>
      </c>
      <c r="D233">
        <v>79.900924683</v>
      </c>
      <c r="E233">
        <v>50</v>
      </c>
      <c r="F233">
        <v>14.990788459999999</v>
      </c>
      <c r="G233">
        <v>1392.5784911999999</v>
      </c>
      <c r="H233">
        <v>1378.9558105000001</v>
      </c>
      <c r="I233">
        <v>1250.7441406</v>
      </c>
      <c r="J233">
        <v>1211.3063964999999</v>
      </c>
      <c r="K233">
        <v>2400</v>
      </c>
      <c r="L233">
        <v>0</v>
      </c>
      <c r="M233">
        <v>0</v>
      </c>
      <c r="N233">
        <v>2400</v>
      </c>
    </row>
    <row r="234" spans="1:14" x14ac:dyDescent="0.25">
      <c r="A234">
        <v>36.321919999999999</v>
      </c>
      <c r="B234" s="1">
        <f>DATE(2010,6,6) + TIME(7,43,33)</f>
        <v>40335.321909722225</v>
      </c>
      <c r="C234">
        <v>80</v>
      </c>
      <c r="D234">
        <v>79.900955199999999</v>
      </c>
      <c r="E234">
        <v>50</v>
      </c>
      <c r="F234">
        <v>14.990843773</v>
      </c>
      <c r="G234">
        <v>1392.4914550999999</v>
      </c>
      <c r="H234">
        <v>1378.8764647999999</v>
      </c>
      <c r="I234">
        <v>1250.7506103999999</v>
      </c>
      <c r="J234">
        <v>1211.3129882999999</v>
      </c>
      <c r="K234">
        <v>2400</v>
      </c>
      <c r="L234">
        <v>0</v>
      </c>
      <c r="M234">
        <v>0</v>
      </c>
      <c r="N234">
        <v>2400</v>
      </c>
    </row>
    <row r="235" spans="1:14" x14ac:dyDescent="0.25">
      <c r="A235">
        <v>36.786571000000002</v>
      </c>
      <c r="B235" s="1">
        <f>DATE(2010,6,6) + TIME(18,52,39)</f>
        <v>40335.786562499998</v>
      </c>
      <c r="C235">
        <v>80</v>
      </c>
      <c r="D235">
        <v>79.900985718000001</v>
      </c>
      <c r="E235">
        <v>50</v>
      </c>
      <c r="F235">
        <v>14.990898132</v>
      </c>
      <c r="G235">
        <v>1392.4050293</v>
      </c>
      <c r="H235">
        <v>1378.7977295000001</v>
      </c>
      <c r="I235">
        <v>1250.7572021000001</v>
      </c>
      <c r="J235">
        <v>1211.3195800999999</v>
      </c>
      <c r="K235">
        <v>2400</v>
      </c>
      <c r="L235">
        <v>0</v>
      </c>
      <c r="M235">
        <v>0</v>
      </c>
      <c r="N235">
        <v>2400</v>
      </c>
    </row>
    <row r="236" spans="1:14" x14ac:dyDescent="0.25">
      <c r="A236">
        <v>37.254558000000003</v>
      </c>
      <c r="B236" s="1">
        <f>DATE(2010,6,7) + TIME(6,6,33)</f>
        <v>40336.254548611112</v>
      </c>
      <c r="C236">
        <v>80</v>
      </c>
      <c r="D236">
        <v>79.901023864999999</v>
      </c>
      <c r="E236">
        <v>50</v>
      </c>
      <c r="F236">
        <v>14.990951537999999</v>
      </c>
      <c r="G236">
        <v>1392.3192139</v>
      </c>
      <c r="H236">
        <v>1378.7194824000001</v>
      </c>
      <c r="I236">
        <v>1250.7637939000001</v>
      </c>
      <c r="J236">
        <v>1211.3261719</v>
      </c>
      <c r="K236">
        <v>2400</v>
      </c>
      <c r="L236">
        <v>0</v>
      </c>
      <c r="M236">
        <v>0</v>
      </c>
      <c r="N236">
        <v>2400</v>
      </c>
    </row>
    <row r="237" spans="1:14" x14ac:dyDescent="0.25">
      <c r="A237">
        <v>37.726815999999999</v>
      </c>
      <c r="B237" s="1">
        <f>DATE(2010,6,7) + TIME(17,26,36)</f>
        <v>40336.726805555554</v>
      </c>
      <c r="C237">
        <v>80</v>
      </c>
      <c r="D237">
        <v>79.901054381999998</v>
      </c>
      <c r="E237">
        <v>50</v>
      </c>
      <c r="F237">
        <v>14.991005897999999</v>
      </c>
      <c r="G237">
        <v>1392.2337646000001</v>
      </c>
      <c r="H237">
        <v>1378.6414795000001</v>
      </c>
      <c r="I237">
        <v>1250.7705077999999</v>
      </c>
      <c r="J237">
        <v>1211.3328856999999</v>
      </c>
      <c r="K237">
        <v>2400</v>
      </c>
      <c r="L237">
        <v>0</v>
      </c>
      <c r="M237">
        <v>0</v>
      </c>
      <c r="N237">
        <v>2400</v>
      </c>
    </row>
    <row r="238" spans="1:14" x14ac:dyDescent="0.25">
      <c r="A238">
        <v>38.204287000000001</v>
      </c>
      <c r="B238" s="1">
        <f>DATE(2010,6,8) + TIME(4,54,10)</f>
        <v>40337.204282407409</v>
      </c>
      <c r="C238">
        <v>80</v>
      </c>
      <c r="D238">
        <v>79.901092528999996</v>
      </c>
      <c r="E238">
        <v>50</v>
      </c>
      <c r="F238">
        <v>14.991059303</v>
      </c>
      <c r="G238">
        <v>1392.1485596</v>
      </c>
      <c r="H238">
        <v>1378.5637207</v>
      </c>
      <c r="I238">
        <v>1250.7772216999999</v>
      </c>
      <c r="J238">
        <v>1211.3397216999999</v>
      </c>
      <c r="K238">
        <v>2400</v>
      </c>
      <c r="L238">
        <v>0</v>
      </c>
      <c r="M238">
        <v>0</v>
      </c>
      <c r="N238">
        <v>2400</v>
      </c>
    </row>
    <row r="239" spans="1:14" x14ac:dyDescent="0.25">
      <c r="A239">
        <v>38.687942</v>
      </c>
      <c r="B239" s="1">
        <f>DATE(2010,6,8) + TIME(16,30,38)</f>
        <v>40337.687939814816</v>
      </c>
      <c r="C239">
        <v>80</v>
      </c>
      <c r="D239">
        <v>79.901130675999994</v>
      </c>
      <c r="E239">
        <v>50</v>
      </c>
      <c r="F239">
        <v>14.991112708999999</v>
      </c>
      <c r="G239">
        <v>1392.0633545000001</v>
      </c>
      <c r="H239">
        <v>1378.4859618999999</v>
      </c>
      <c r="I239">
        <v>1250.7840576000001</v>
      </c>
      <c r="J239">
        <v>1211.3465576000001</v>
      </c>
      <c r="K239">
        <v>2400</v>
      </c>
      <c r="L239">
        <v>0</v>
      </c>
      <c r="M239">
        <v>0</v>
      </c>
      <c r="N239">
        <v>2400</v>
      </c>
    </row>
    <row r="240" spans="1:14" x14ac:dyDescent="0.25">
      <c r="A240">
        <v>39.178783000000003</v>
      </c>
      <c r="B240" s="1">
        <f>DATE(2010,6,9) + TIME(4,17,26)</f>
        <v>40338.178773148145</v>
      </c>
      <c r="C240">
        <v>80</v>
      </c>
      <c r="D240">
        <v>79.901168823000006</v>
      </c>
      <c r="E240">
        <v>50</v>
      </c>
      <c r="F240">
        <v>14.991167067999999</v>
      </c>
      <c r="G240">
        <v>1391.9780272999999</v>
      </c>
      <c r="H240">
        <v>1378.4082031</v>
      </c>
      <c r="I240">
        <v>1250.7911377</v>
      </c>
      <c r="J240">
        <v>1211.3536377</v>
      </c>
      <c r="K240">
        <v>2400</v>
      </c>
      <c r="L240">
        <v>0</v>
      </c>
      <c r="M240">
        <v>0</v>
      </c>
      <c r="N240">
        <v>2400</v>
      </c>
    </row>
    <row r="241" spans="1:14" x14ac:dyDescent="0.25">
      <c r="A241">
        <v>39.671717999999998</v>
      </c>
      <c r="B241" s="1">
        <f>DATE(2010,6,9) + TIME(16,7,16)</f>
        <v>40338.671712962961</v>
      </c>
      <c r="C241">
        <v>80</v>
      </c>
      <c r="D241">
        <v>79.901206970000004</v>
      </c>
      <c r="E241">
        <v>50</v>
      </c>
      <c r="F241">
        <v>14.991220474</v>
      </c>
      <c r="G241">
        <v>1391.8928223</v>
      </c>
      <c r="H241">
        <v>1378.3303223</v>
      </c>
      <c r="I241">
        <v>1250.7980957</v>
      </c>
      <c r="J241">
        <v>1211.3607178</v>
      </c>
      <c r="K241">
        <v>2400</v>
      </c>
      <c r="L241">
        <v>0</v>
      </c>
      <c r="M241">
        <v>0</v>
      </c>
      <c r="N241">
        <v>2400</v>
      </c>
    </row>
    <row r="242" spans="1:14" x14ac:dyDescent="0.25">
      <c r="A242">
        <v>40.166342</v>
      </c>
      <c r="B242" s="1">
        <f>DATE(2010,6,10) + TIME(3,59,31)</f>
        <v>40339.166331018518</v>
      </c>
      <c r="C242">
        <v>80</v>
      </c>
      <c r="D242">
        <v>79.901245117000002</v>
      </c>
      <c r="E242">
        <v>50</v>
      </c>
      <c r="F242">
        <v>14.99127388</v>
      </c>
      <c r="G242">
        <v>1391.8082274999999</v>
      </c>
      <c r="H242">
        <v>1378.2530518000001</v>
      </c>
      <c r="I242">
        <v>1250.8052978999999</v>
      </c>
      <c r="J242">
        <v>1211.3677978999999</v>
      </c>
      <c r="K242">
        <v>2400</v>
      </c>
      <c r="L242">
        <v>0</v>
      </c>
      <c r="M242">
        <v>0</v>
      </c>
      <c r="N242">
        <v>2400</v>
      </c>
    </row>
    <row r="243" spans="1:14" x14ac:dyDescent="0.25">
      <c r="A243">
        <v>40.663522</v>
      </c>
      <c r="B243" s="1">
        <f>DATE(2010,6,10) + TIME(15,55,28)</f>
        <v>40339.663518518515</v>
      </c>
      <c r="C243">
        <v>80</v>
      </c>
      <c r="D243">
        <v>79.901283264</v>
      </c>
      <c r="E243">
        <v>50</v>
      </c>
      <c r="F243">
        <v>14.991327286000001</v>
      </c>
      <c r="G243">
        <v>1391.7241211</v>
      </c>
      <c r="H243">
        <v>1378.1762695</v>
      </c>
      <c r="I243">
        <v>1250.8123779</v>
      </c>
      <c r="J243">
        <v>1211.375</v>
      </c>
      <c r="K243">
        <v>2400</v>
      </c>
      <c r="L243">
        <v>0</v>
      </c>
      <c r="M243">
        <v>0</v>
      </c>
      <c r="N243">
        <v>2400</v>
      </c>
    </row>
    <row r="244" spans="1:14" x14ac:dyDescent="0.25">
      <c r="A244">
        <v>41.164110000000001</v>
      </c>
      <c r="B244" s="1">
        <f>DATE(2010,6,11) + TIME(3,56,19)</f>
        <v>40340.1641087963</v>
      </c>
      <c r="C244">
        <v>80</v>
      </c>
      <c r="D244">
        <v>79.901329040999997</v>
      </c>
      <c r="E244">
        <v>50</v>
      </c>
      <c r="F244">
        <v>14.991379737999999</v>
      </c>
      <c r="G244">
        <v>1391.6405029</v>
      </c>
      <c r="H244">
        <v>1378.0998535000001</v>
      </c>
      <c r="I244">
        <v>1250.8197021000001</v>
      </c>
      <c r="J244">
        <v>1211.3823242000001</v>
      </c>
      <c r="K244">
        <v>2400</v>
      </c>
      <c r="L244">
        <v>0</v>
      </c>
      <c r="M244">
        <v>0</v>
      </c>
      <c r="N244">
        <v>2400</v>
      </c>
    </row>
    <row r="245" spans="1:14" x14ac:dyDescent="0.25">
      <c r="A245">
        <v>41.668956999999999</v>
      </c>
      <c r="B245" s="1">
        <f>DATE(2010,6,11) + TIME(16,3,17)</f>
        <v>40340.668946759259</v>
      </c>
      <c r="C245">
        <v>80</v>
      </c>
      <c r="D245">
        <v>79.901367187999995</v>
      </c>
      <c r="E245">
        <v>50</v>
      </c>
      <c r="F245">
        <v>14.991432189999999</v>
      </c>
      <c r="G245">
        <v>1391.557251</v>
      </c>
      <c r="H245">
        <v>1378.0238036999999</v>
      </c>
      <c r="I245">
        <v>1250.8270264</v>
      </c>
      <c r="J245">
        <v>1211.3896483999999</v>
      </c>
      <c r="K245">
        <v>2400</v>
      </c>
      <c r="L245">
        <v>0</v>
      </c>
      <c r="M245">
        <v>0</v>
      </c>
      <c r="N245">
        <v>2400</v>
      </c>
    </row>
    <row r="246" spans="1:14" x14ac:dyDescent="0.25">
      <c r="A246">
        <v>42.178933999999998</v>
      </c>
      <c r="B246" s="1">
        <f>DATE(2010,6,12) + TIME(4,17,39)</f>
        <v>40341.178923611114</v>
      </c>
      <c r="C246">
        <v>80</v>
      </c>
      <c r="D246">
        <v>79.901412964000002</v>
      </c>
      <c r="E246">
        <v>50</v>
      </c>
      <c r="F246">
        <v>14.991484642</v>
      </c>
      <c r="G246">
        <v>1391.4742432</v>
      </c>
      <c r="H246">
        <v>1377.947876</v>
      </c>
      <c r="I246">
        <v>1250.8344727000001</v>
      </c>
      <c r="J246">
        <v>1211.3970947</v>
      </c>
      <c r="K246">
        <v>2400</v>
      </c>
      <c r="L246">
        <v>0</v>
      </c>
      <c r="M246">
        <v>0</v>
      </c>
      <c r="N246">
        <v>2400</v>
      </c>
    </row>
    <row r="247" spans="1:14" x14ac:dyDescent="0.25">
      <c r="A247">
        <v>42.694938</v>
      </c>
      <c r="B247" s="1">
        <f>DATE(2010,6,12) + TIME(16,40,42)</f>
        <v>40341.694930555554</v>
      </c>
      <c r="C247">
        <v>80</v>
      </c>
      <c r="D247">
        <v>79.901458739999995</v>
      </c>
      <c r="E247">
        <v>50</v>
      </c>
      <c r="F247">
        <v>14.991537094</v>
      </c>
      <c r="G247">
        <v>1391.3913574000001</v>
      </c>
      <c r="H247">
        <v>1377.8719481999999</v>
      </c>
      <c r="I247">
        <v>1250.8420410000001</v>
      </c>
      <c r="J247">
        <v>1211.4046631000001</v>
      </c>
      <c r="K247">
        <v>2400</v>
      </c>
      <c r="L247">
        <v>0</v>
      </c>
      <c r="M247">
        <v>0</v>
      </c>
      <c r="N247">
        <v>2400</v>
      </c>
    </row>
    <row r="248" spans="1:14" x14ac:dyDescent="0.25">
      <c r="A248">
        <v>43.214832999999999</v>
      </c>
      <c r="B248" s="1">
        <f>DATE(2010,6,13) + TIME(5,9,21)</f>
        <v>40342.214826388888</v>
      </c>
      <c r="C248">
        <v>80</v>
      </c>
      <c r="D248">
        <v>79.901504517000006</v>
      </c>
      <c r="E248">
        <v>50</v>
      </c>
      <c r="F248">
        <v>14.991589546</v>
      </c>
      <c r="G248">
        <v>1391.3084716999999</v>
      </c>
      <c r="H248">
        <v>1377.7962646000001</v>
      </c>
      <c r="I248">
        <v>1250.8496094</v>
      </c>
      <c r="J248">
        <v>1211.4123535000001</v>
      </c>
      <c r="K248">
        <v>2400</v>
      </c>
      <c r="L248">
        <v>0</v>
      </c>
      <c r="M248">
        <v>0</v>
      </c>
      <c r="N248">
        <v>2400</v>
      </c>
    </row>
    <row r="249" spans="1:14" x14ac:dyDescent="0.25">
      <c r="A249">
        <v>43.736668000000002</v>
      </c>
      <c r="B249" s="1">
        <f>DATE(2010,6,13) + TIME(17,40,48)</f>
        <v>40342.736666666664</v>
      </c>
      <c r="C249">
        <v>80</v>
      </c>
      <c r="D249">
        <v>79.901550293</v>
      </c>
      <c r="E249">
        <v>50</v>
      </c>
      <c r="F249">
        <v>14.991641998</v>
      </c>
      <c r="G249">
        <v>1391.2260742000001</v>
      </c>
      <c r="H249">
        <v>1377.7208252</v>
      </c>
      <c r="I249">
        <v>1250.8572998</v>
      </c>
      <c r="J249">
        <v>1211.4200439000001</v>
      </c>
      <c r="K249">
        <v>2400</v>
      </c>
      <c r="L249">
        <v>0</v>
      </c>
      <c r="M249">
        <v>0</v>
      </c>
      <c r="N249">
        <v>2400</v>
      </c>
    </row>
    <row r="250" spans="1:14" x14ac:dyDescent="0.25">
      <c r="A250">
        <v>44.261496999999999</v>
      </c>
      <c r="B250" s="1">
        <f>DATE(2010,6,14) + TIME(6,16,33)</f>
        <v>40343.261493055557</v>
      </c>
      <c r="C250">
        <v>80</v>
      </c>
      <c r="D250">
        <v>79.901596068999993</v>
      </c>
      <c r="E250">
        <v>50</v>
      </c>
      <c r="F250">
        <v>14.991693497</v>
      </c>
      <c r="G250">
        <v>1391.144043</v>
      </c>
      <c r="H250">
        <v>1377.6457519999999</v>
      </c>
      <c r="I250">
        <v>1250.8651123</v>
      </c>
      <c r="J250">
        <v>1211.4278564000001</v>
      </c>
      <c r="K250">
        <v>2400</v>
      </c>
      <c r="L250">
        <v>0</v>
      </c>
      <c r="M250">
        <v>0</v>
      </c>
      <c r="N250">
        <v>2400</v>
      </c>
    </row>
    <row r="251" spans="1:14" x14ac:dyDescent="0.25">
      <c r="A251">
        <v>44.790388999999998</v>
      </c>
      <c r="B251" s="1">
        <f>DATE(2010,6,14) + TIME(18,58,9)</f>
        <v>40343.790381944447</v>
      </c>
      <c r="C251">
        <v>80</v>
      </c>
      <c r="D251">
        <v>79.901641846000004</v>
      </c>
      <c r="E251">
        <v>50</v>
      </c>
      <c r="F251">
        <v>14.991745949</v>
      </c>
      <c r="G251">
        <v>1391.0625</v>
      </c>
      <c r="H251">
        <v>1377.5710449000001</v>
      </c>
      <c r="I251">
        <v>1250.8729248</v>
      </c>
      <c r="J251">
        <v>1211.4357910000001</v>
      </c>
      <c r="K251">
        <v>2400</v>
      </c>
      <c r="L251">
        <v>0</v>
      </c>
      <c r="M251">
        <v>0</v>
      </c>
      <c r="N251">
        <v>2400</v>
      </c>
    </row>
    <row r="252" spans="1:14" x14ac:dyDescent="0.25">
      <c r="A252">
        <v>45.324370999999999</v>
      </c>
      <c r="B252" s="1">
        <f>DATE(2010,6,15) + TIME(7,47,5)</f>
        <v>40344.324363425927</v>
      </c>
      <c r="C252">
        <v>80</v>
      </c>
      <c r="D252">
        <v>79.901695251000007</v>
      </c>
      <c r="E252">
        <v>50</v>
      </c>
      <c r="F252">
        <v>14.991797447</v>
      </c>
      <c r="G252">
        <v>1390.9812012</v>
      </c>
      <c r="H252">
        <v>1377.496582</v>
      </c>
      <c r="I252">
        <v>1250.8809814000001</v>
      </c>
      <c r="J252">
        <v>1211.4437256000001</v>
      </c>
      <c r="K252">
        <v>2400</v>
      </c>
      <c r="L252">
        <v>0</v>
      </c>
      <c r="M252">
        <v>0</v>
      </c>
      <c r="N252">
        <v>2400</v>
      </c>
    </row>
    <row r="253" spans="1:14" x14ac:dyDescent="0.25">
      <c r="A253">
        <v>45.864379</v>
      </c>
      <c r="B253" s="1">
        <f>DATE(2010,6,15) + TIME(20,44,42)</f>
        <v>40344.864374999997</v>
      </c>
      <c r="C253">
        <v>80</v>
      </c>
      <c r="D253">
        <v>79.901748656999999</v>
      </c>
      <c r="E253">
        <v>50</v>
      </c>
      <c r="F253">
        <v>14.991848945999999</v>
      </c>
      <c r="G253">
        <v>1390.9000243999999</v>
      </c>
      <c r="H253">
        <v>1377.4222411999999</v>
      </c>
      <c r="I253">
        <v>1250.8890381000001</v>
      </c>
      <c r="J253">
        <v>1211.4517822</v>
      </c>
      <c r="K253">
        <v>2400</v>
      </c>
      <c r="L253">
        <v>0</v>
      </c>
      <c r="M253">
        <v>0</v>
      </c>
      <c r="N253">
        <v>2400</v>
      </c>
    </row>
    <row r="254" spans="1:14" x14ac:dyDescent="0.25">
      <c r="A254">
        <v>46.411565000000003</v>
      </c>
      <c r="B254" s="1">
        <f>DATE(2010,6,16) + TIME(9,52,39)</f>
        <v>40345.411562499998</v>
      </c>
      <c r="C254">
        <v>80</v>
      </c>
      <c r="D254">
        <v>79.901794433999996</v>
      </c>
      <c r="E254">
        <v>50</v>
      </c>
      <c r="F254">
        <v>14.991900444000001</v>
      </c>
      <c r="G254">
        <v>1390.8187256000001</v>
      </c>
      <c r="H254">
        <v>1377.3476562000001</v>
      </c>
      <c r="I254">
        <v>1250.8972168</v>
      </c>
      <c r="J254">
        <v>1211.4600829999999</v>
      </c>
      <c r="K254">
        <v>2400</v>
      </c>
      <c r="L254">
        <v>0</v>
      </c>
      <c r="M254">
        <v>0</v>
      </c>
      <c r="N254">
        <v>2400</v>
      </c>
    </row>
    <row r="255" spans="1:14" x14ac:dyDescent="0.25">
      <c r="A255">
        <v>46.963414999999998</v>
      </c>
      <c r="B255" s="1">
        <f>DATE(2010,6,16) + TIME(23,7,19)</f>
        <v>40345.963414351849</v>
      </c>
      <c r="C255">
        <v>80</v>
      </c>
      <c r="D255">
        <v>79.901847838999998</v>
      </c>
      <c r="E255">
        <v>50</v>
      </c>
      <c r="F255">
        <v>14.991951942</v>
      </c>
      <c r="G255">
        <v>1390.7375488</v>
      </c>
      <c r="H255">
        <v>1377.2731934000001</v>
      </c>
      <c r="I255">
        <v>1250.9055175999999</v>
      </c>
      <c r="J255">
        <v>1211.4683838000001</v>
      </c>
      <c r="K255">
        <v>2400</v>
      </c>
      <c r="L255">
        <v>0</v>
      </c>
      <c r="M255">
        <v>0</v>
      </c>
      <c r="N255">
        <v>2400</v>
      </c>
    </row>
    <row r="256" spans="1:14" x14ac:dyDescent="0.25">
      <c r="A256">
        <v>47.515597</v>
      </c>
      <c r="B256" s="1">
        <f>DATE(2010,6,17) + TIME(12,22,27)</f>
        <v>40346.515590277777</v>
      </c>
      <c r="C256">
        <v>80</v>
      </c>
      <c r="D256">
        <v>79.901901245000005</v>
      </c>
      <c r="E256">
        <v>50</v>
      </c>
      <c r="F256">
        <v>14.992003441</v>
      </c>
      <c r="G256">
        <v>1390.6566161999999</v>
      </c>
      <c r="H256">
        <v>1377.1989745999999</v>
      </c>
      <c r="I256">
        <v>1250.9139404</v>
      </c>
      <c r="J256">
        <v>1211.4768065999999</v>
      </c>
      <c r="K256">
        <v>2400</v>
      </c>
      <c r="L256">
        <v>0</v>
      </c>
      <c r="M256">
        <v>0</v>
      </c>
      <c r="N256">
        <v>2400</v>
      </c>
    </row>
    <row r="257" spans="1:14" x14ac:dyDescent="0.25">
      <c r="A257">
        <v>48.069139</v>
      </c>
      <c r="B257" s="1">
        <f>DATE(2010,6,18) + TIME(1,39,33)</f>
        <v>40347.069131944445</v>
      </c>
      <c r="C257">
        <v>80</v>
      </c>
      <c r="D257">
        <v>79.901954650999997</v>
      </c>
      <c r="E257">
        <v>50</v>
      </c>
      <c r="F257">
        <v>14.992053986</v>
      </c>
      <c r="G257">
        <v>1390.5764160000001</v>
      </c>
      <c r="H257">
        <v>1377.1253661999999</v>
      </c>
      <c r="I257">
        <v>1250.9223632999999</v>
      </c>
      <c r="J257">
        <v>1211.4852295000001</v>
      </c>
      <c r="K257">
        <v>2400</v>
      </c>
      <c r="L257">
        <v>0</v>
      </c>
      <c r="M257">
        <v>0</v>
      </c>
      <c r="N257">
        <v>2400</v>
      </c>
    </row>
    <row r="258" spans="1:14" x14ac:dyDescent="0.25">
      <c r="A258">
        <v>48.625061000000002</v>
      </c>
      <c r="B258" s="1">
        <f>DATE(2010,6,18) + TIME(15,0,5)</f>
        <v>40347.625057870369</v>
      </c>
      <c r="C258">
        <v>80</v>
      </c>
      <c r="D258">
        <v>79.902008057000003</v>
      </c>
      <c r="E258">
        <v>50</v>
      </c>
      <c r="F258">
        <v>14.992104530000001</v>
      </c>
      <c r="G258">
        <v>1390.4968262</v>
      </c>
      <c r="H258">
        <v>1377.0523682</v>
      </c>
      <c r="I258">
        <v>1250.9309082</v>
      </c>
      <c r="J258">
        <v>1211.4937743999999</v>
      </c>
      <c r="K258">
        <v>2400</v>
      </c>
      <c r="L258">
        <v>0</v>
      </c>
      <c r="M258">
        <v>0</v>
      </c>
      <c r="N258">
        <v>2400</v>
      </c>
    </row>
    <row r="259" spans="1:14" x14ac:dyDescent="0.25">
      <c r="A259">
        <v>49.184362999999998</v>
      </c>
      <c r="B259" s="1">
        <f>DATE(2010,6,19) + TIME(4,25,29)</f>
        <v>40348.184363425928</v>
      </c>
      <c r="C259">
        <v>80</v>
      </c>
      <c r="D259">
        <v>79.902069092000005</v>
      </c>
      <c r="E259">
        <v>50</v>
      </c>
      <c r="F259">
        <v>14.992155074999999</v>
      </c>
      <c r="G259">
        <v>1390.4176024999999</v>
      </c>
      <c r="H259">
        <v>1376.9796143000001</v>
      </c>
      <c r="I259">
        <v>1250.9395752</v>
      </c>
      <c r="J259">
        <v>1211.5024414</v>
      </c>
      <c r="K259">
        <v>2400</v>
      </c>
      <c r="L259">
        <v>0</v>
      </c>
      <c r="M259">
        <v>0</v>
      </c>
      <c r="N259">
        <v>2400</v>
      </c>
    </row>
    <row r="260" spans="1:14" x14ac:dyDescent="0.25">
      <c r="A260">
        <v>49.748038999999999</v>
      </c>
      <c r="B260" s="1">
        <f>DATE(2010,6,19) + TIME(17,57,10)</f>
        <v>40348.748032407406</v>
      </c>
      <c r="C260">
        <v>80</v>
      </c>
      <c r="D260">
        <v>79.902122497999997</v>
      </c>
      <c r="E260">
        <v>50</v>
      </c>
      <c r="F260">
        <v>14.99220562</v>
      </c>
      <c r="G260">
        <v>1390.3387451000001</v>
      </c>
      <c r="H260">
        <v>1376.9072266000001</v>
      </c>
      <c r="I260">
        <v>1250.9482422000001</v>
      </c>
      <c r="J260">
        <v>1211.5111084</v>
      </c>
      <c r="K260">
        <v>2400</v>
      </c>
      <c r="L260">
        <v>0</v>
      </c>
      <c r="M260">
        <v>0</v>
      </c>
      <c r="N260">
        <v>2400</v>
      </c>
    </row>
    <row r="261" spans="1:14" x14ac:dyDescent="0.25">
      <c r="A261">
        <v>50.317087999999998</v>
      </c>
      <c r="B261" s="1">
        <f>DATE(2010,6,20) + TIME(7,36,36)</f>
        <v>40349.317083333335</v>
      </c>
      <c r="C261">
        <v>80</v>
      </c>
      <c r="D261">
        <v>79.902183532999999</v>
      </c>
      <c r="E261">
        <v>50</v>
      </c>
      <c r="F261">
        <v>14.992255211</v>
      </c>
      <c r="G261">
        <v>1390.2601318</v>
      </c>
      <c r="H261">
        <v>1376.8349608999999</v>
      </c>
      <c r="I261">
        <v>1250.9571533000001</v>
      </c>
      <c r="J261">
        <v>1211.5198975000001</v>
      </c>
      <c r="K261">
        <v>2400</v>
      </c>
      <c r="L261">
        <v>0</v>
      </c>
      <c r="M261">
        <v>0</v>
      </c>
      <c r="N261">
        <v>2400</v>
      </c>
    </row>
    <row r="262" spans="1:14" x14ac:dyDescent="0.25">
      <c r="A262">
        <v>50.892513000000001</v>
      </c>
      <c r="B262" s="1">
        <f>DATE(2010,6,20) + TIME(21,25,13)</f>
        <v>40349.892511574071</v>
      </c>
      <c r="C262">
        <v>80</v>
      </c>
      <c r="D262">
        <v>79.902244568</v>
      </c>
      <c r="E262">
        <v>50</v>
      </c>
      <c r="F262">
        <v>14.992305756</v>
      </c>
      <c r="G262">
        <v>1390.1816406</v>
      </c>
      <c r="H262">
        <v>1376.7628173999999</v>
      </c>
      <c r="I262">
        <v>1250.9660644999999</v>
      </c>
      <c r="J262">
        <v>1211.5289307</v>
      </c>
      <c r="K262">
        <v>2400</v>
      </c>
      <c r="L262">
        <v>0</v>
      </c>
      <c r="M262">
        <v>0</v>
      </c>
      <c r="N262">
        <v>2400</v>
      </c>
    </row>
    <row r="263" spans="1:14" x14ac:dyDescent="0.25">
      <c r="A263">
        <v>51.470371</v>
      </c>
      <c r="B263" s="1">
        <f>DATE(2010,6,21) + TIME(11,17,20)</f>
        <v>40350.470370370371</v>
      </c>
      <c r="C263">
        <v>80</v>
      </c>
      <c r="D263">
        <v>79.902297974000007</v>
      </c>
      <c r="E263">
        <v>50</v>
      </c>
      <c r="F263">
        <v>14.992355347</v>
      </c>
      <c r="G263">
        <v>1390.1032714999999</v>
      </c>
      <c r="H263">
        <v>1376.6907959</v>
      </c>
      <c r="I263">
        <v>1250.9750977000001</v>
      </c>
      <c r="J263">
        <v>1211.5379639</v>
      </c>
      <c r="K263">
        <v>2400</v>
      </c>
      <c r="L263">
        <v>0</v>
      </c>
      <c r="M263">
        <v>0</v>
      </c>
      <c r="N263">
        <v>2400</v>
      </c>
    </row>
    <row r="264" spans="1:14" x14ac:dyDescent="0.25">
      <c r="A264">
        <v>52.051859999999998</v>
      </c>
      <c r="B264" s="1">
        <f>DATE(2010,6,22) + TIME(1,14,40)</f>
        <v>40351.051851851851</v>
      </c>
      <c r="C264">
        <v>80</v>
      </c>
      <c r="D264">
        <v>79.902359008999994</v>
      </c>
      <c r="E264">
        <v>50</v>
      </c>
      <c r="F264">
        <v>14.992404938</v>
      </c>
      <c r="G264">
        <v>1390.0252685999999</v>
      </c>
      <c r="H264">
        <v>1376.6190185999999</v>
      </c>
      <c r="I264">
        <v>1250.9842529</v>
      </c>
      <c r="J264">
        <v>1211.5471190999999</v>
      </c>
      <c r="K264">
        <v>2400</v>
      </c>
      <c r="L264">
        <v>0</v>
      </c>
      <c r="M264">
        <v>0</v>
      </c>
      <c r="N264">
        <v>2400</v>
      </c>
    </row>
    <row r="265" spans="1:14" x14ac:dyDescent="0.25">
      <c r="A265">
        <v>52.638179000000001</v>
      </c>
      <c r="B265" s="1">
        <f>DATE(2010,6,22) + TIME(15,18,58)</f>
        <v>40351.638171296298</v>
      </c>
      <c r="C265">
        <v>80</v>
      </c>
      <c r="D265">
        <v>79.902427673000005</v>
      </c>
      <c r="E265">
        <v>50</v>
      </c>
      <c r="F265">
        <v>14.992454529</v>
      </c>
      <c r="G265">
        <v>1389.9475098</v>
      </c>
      <c r="H265">
        <v>1376.5474853999999</v>
      </c>
      <c r="I265">
        <v>1250.9935303</v>
      </c>
      <c r="J265">
        <v>1211.5563964999999</v>
      </c>
      <c r="K265">
        <v>2400</v>
      </c>
      <c r="L265">
        <v>0</v>
      </c>
      <c r="M265">
        <v>0</v>
      </c>
      <c r="N265">
        <v>2400</v>
      </c>
    </row>
    <row r="266" spans="1:14" x14ac:dyDescent="0.25">
      <c r="A266">
        <v>53.230549000000003</v>
      </c>
      <c r="B266" s="1">
        <f>DATE(2010,6,23) + TIME(5,31,59)</f>
        <v>40352.230543981481</v>
      </c>
      <c r="C266">
        <v>80</v>
      </c>
      <c r="D266">
        <v>79.902488708000007</v>
      </c>
      <c r="E266">
        <v>50</v>
      </c>
      <c r="F266">
        <v>14.99250412</v>
      </c>
      <c r="G266">
        <v>1389.8698730000001</v>
      </c>
      <c r="H266">
        <v>1376.4759521000001</v>
      </c>
      <c r="I266">
        <v>1251.0029297000001</v>
      </c>
      <c r="J266">
        <v>1211.5657959</v>
      </c>
      <c r="K266">
        <v>2400</v>
      </c>
      <c r="L266">
        <v>0</v>
      </c>
      <c r="M266">
        <v>0</v>
      </c>
      <c r="N266">
        <v>2400</v>
      </c>
    </row>
    <row r="267" spans="1:14" x14ac:dyDescent="0.25">
      <c r="A267">
        <v>53.830261</v>
      </c>
      <c r="B267" s="1">
        <f>DATE(2010,6,23) + TIME(19,55,34)</f>
        <v>40352.830254629633</v>
      </c>
      <c r="C267">
        <v>80</v>
      </c>
      <c r="D267">
        <v>79.902549743999998</v>
      </c>
      <c r="E267">
        <v>50</v>
      </c>
      <c r="F267">
        <v>14.992553710999999</v>
      </c>
      <c r="G267">
        <v>1389.7922363</v>
      </c>
      <c r="H267">
        <v>1376.4045410000001</v>
      </c>
      <c r="I267">
        <v>1251.0124512</v>
      </c>
      <c r="J267">
        <v>1211.5753173999999</v>
      </c>
      <c r="K267">
        <v>2400</v>
      </c>
      <c r="L267">
        <v>0</v>
      </c>
      <c r="M267">
        <v>0</v>
      </c>
      <c r="N267">
        <v>2400</v>
      </c>
    </row>
    <row r="268" spans="1:14" x14ac:dyDescent="0.25">
      <c r="A268">
        <v>54.134352</v>
      </c>
      <c r="B268" s="1">
        <f>DATE(2010,6,24) + TIME(3,13,28)</f>
        <v>40353.134351851855</v>
      </c>
      <c r="C268">
        <v>80</v>
      </c>
      <c r="D268">
        <v>79.902534485000004</v>
      </c>
      <c r="E268">
        <v>50</v>
      </c>
      <c r="F268">
        <v>14.992586136</v>
      </c>
      <c r="G268">
        <v>1389.7321777</v>
      </c>
      <c r="H268">
        <v>1376.3500977000001</v>
      </c>
      <c r="I268">
        <v>1251.0178223</v>
      </c>
      <c r="J268">
        <v>1211.5806885</v>
      </c>
      <c r="K268">
        <v>2400</v>
      </c>
      <c r="L268">
        <v>0</v>
      </c>
      <c r="M268">
        <v>0</v>
      </c>
      <c r="N268">
        <v>2400</v>
      </c>
    </row>
    <row r="269" spans="1:14" x14ac:dyDescent="0.25">
      <c r="A269">
        <v>54.438443999999997</v>
      </c>
      <c r="B269" s="1">
        <f>DATE(2010,6,24) + TIME(10,31,21)</f>
        <v>40353.438437500001</v>
      </c>
      <c r="C269">
        <v>80</v>
      </c>
      <c r="D269">
        <v>79.902557372999993</v>
      </c>
      <c r="E269">
        <v>50</v>
      </c>
      <c r="F269">
        <v>14.9926157</v>
      </c>
      <c r="G269">
        <v>1389.6856689000001</v>
      </c>
      <c r="H269">
        <v>1376.3070068</v>
      </c>
      <c r="I269">
        <v>1251.0235596</v>
      </c>
      <c r="J269">
        <v>1211.5863036999999</v>
      </c>
      <c r="K269">
        <v>2400</v>
      </c>
      <c r="L269">
        <v>0</v>
      </c>
      <c r="M269">
        <v>0</v>
      </c>
      <c r="N269">
        <v>2400</v>
      </c>
    </row>
    <row r="270" spans="1:14" x14ac:dyDescent="0.25">
      <c r="A270">
        <v>54.742534999999997</v>
      </c>
      <c r="B270" s="1">
        <f>DATE(2010,6,24) + TIME(17,49,15)</f>
        <v>40353.742534722223</v>
      </c>
      <c r="C270">
        <v>80</v>
      </c>
      <c r="D270">
        <v>79.902595520000006</v>
      </c>
      <c r="E270">
        <v>50</v>
      </c>
      <c r="F270">
        <v>14.992644309999999</v>
      </c>
      <c r="G270">
        <v>1389.6434326000001</v>
      </c>
      <c r="H270">
        <v>1376.2679443</v>
      </c>
      <c r="I270">
        <v>1251.0291748</v>
      </c>
      <c r="J270">
        <v>1211.5920410000001</v>
      </c>
      <c r="K270">
        <v>2400</v>
      </c>
      <c r="L270">
        <v>0</v>
      </c>
      <c r="M270">
        <v>0</v>
      </c>
      <c r="N270">
        <v>2400</v>
      </c>
    </row>
    <row r="271" spans="1:14" x14ac:dyDescent="0.25">
      <c r="A271">
        <v>55.046626000000003</v>
      </c>
      <c r="B271" s="1">
        <f>DATE(2010,6,25) + TIME(1,7,8)</f>
        <v>40354.046620370369</v>
      </c>
      <c r="C271">
        <v>80</v>
      </c>
      <c r="D271">
        <v>79.902633667000003</v>
      </c>
      <c r="E271">
        <v>50</v>
      </c>
      <c r="F271">
        <v>14.992671967</v>
      </c>
      <c r="G271">
        <v>1389.6030272999999</v>
      </c>
      <c r="H271">
        <v>1376.2304687999999</v>
      </c>
      <c r="I271">
        <v>1251.0347899999999</v>
      </c>
      <c r="J271">
        <v>1211.5976562000001</v>
      </c>
      <c r="K271">
        <v>2400</v>
      </c>
      <c r="L271">
        <v>0</v>
      </c>
      <c r="M271">
        <v>0</v>
      </c>
      <c r="N271">
        <v>2400</v>
      </c>
    </row>
    <row r="272" spans="1:14" x14ac:dyDescent="0.25">
      <c r="A272">
        <v>55.350717000000003</v>
      </c>
      <c r="B272" s="1">
        <f>DATE(2010,6,25) + TIME(8,25,1)</f>
        <v>40354.350706018522</v>
      </c>
      <c r="C272">
        <v>80</v>
      </c>
      <c r="D272">
        <v>79.902671814000001</v>
      </c>
      <c r="E272">
        <v>50</v>
      </c>
      <c r="F272">
        <v>14.992698668999999</v>
      </c>
      <c r="G272">
        <v>1389.5633545000001</v>
      </c>
      <c r="H272">
        <v>1376.1938477000001</v>
      </c>
      <c r="I272">
        <v>1251.0402832</v>
      </c>
      <c r="J272">
        <v>1211.6031493999999</v>
      </c>
      <c r="K272">
        <v>2400</v>
      </c>
      <c r="L272">
        <v>0</v>
      </c>
      <c r="M272">
        <v>0</v>
      </c>
      <c r="N272">
        <v>2400</v>
      </c>
    </row>
    <row r="273" spans="1:14" x14ac:dyDescent="0.25">
      <c r="A273">
        <v>55.654809</v>
      </c>
      <c r="B273" s="1">
        <f>DATE(2010,6,25) + TIME(15,42,55)</f>
        <v>40354.654803240737</v>
      </c>
      <c r="C273">
        <v>80</v>
      </c>
      <c r="D273">
        <v>79.902709960999999</v>
      </c>
      <c r="E273">
        <v>50</v>
      </c>
      <c r="F273">
        <v>14.992724419</v>
      </c>
      <c r="G273">
        <v>1389.5242920000001</v>
      </c>
      <c r="H273">
        <v>1376.1577147999999</v>
      </c>
      <c r="I273">
        <v>1251.0456543</v>
      </c>
      <c r="J273">
        <v>1211.6085204999999</v>
      </c>
      <c r="K273">
        <v>2400</v>
      </c>
      <c r="L273">
        <v>0</v>
      </c>
      <c r="M273">
        <v>0</v>
      </c>
      <c r="N273">
        <v>2400</v>
      </c>
    </row>
    <row r="274" spans="1:14" x14ac:dyDescent="0.25">
      <c r="A274">
        <v>55.9589</v>
      </c>
      <c r="B274" s="1">
        <f>DATE(2010,6,25) + TIME(23,0,48)</f>
        <v>40354.95888888889</v>
      </c>
      <c r="C274">
        <v>80</v>
      </c>
      <c r="D274">
        <v>79.902748107999997</v>
      </c>
      <c r="E274">
        <v>50</v>
      </c>
      <c r="F274">
        <v>14.992750168000001</v>
      </c>
      <c r="G274">
        <v>1389.4855957</v>
      </c>
      <c r="H274">
        <v>1376.1219481999999</v>
      </c>
      <c r="I274">
        <v>1251.0510254000001</v>
      </c>
      <c r="J274">
        <v>1211.6137695</v>
      </c>
      <c r="K274">
        <v>2400</v>
      </c>
      <c r="L274">
        <v>0</v>
      </c>
      <c r="M274">
        <v>0</v>
      </c>
      <c r="N274">
        <v>2400</v>
      </c>
    </row>
    <row r="275" spans="1:14" x14ac:dyDescent="0.25">
      <c r="A275">
        <v>56.567081999999999</v>
      </c>
      <c r="B275" s="1">
        <f>DATE(2010,6,26) + TIME(13,36,35)</f>
        <v>40355.567071759258</v>
      </c>
      <c r="C275">
        <v>80</v>
      </c>
      <c r="D275">
        <v>79.902870178000001</v>
      </c>
      <c r="E275">
        <v>50</v>
      </c>
      <c r="F275">
        <v>14.992789267999999</v>
      </c>
      <c r="G275">
        <v>1389.4342041</v>
      </c>
      <c r="H275">
        <v>1376.0738524999999</v>
      </c>
      <c r="I275">
        <v>1251.0600586</v>
      </c>
      <c r="J275">
        <v>1211.6228027</v>
      </c>
      <c r="K275">
        <v>2400</v>
      </c>
      <c r="L275">
        <v>0</v>
      </c>
      <c r="M275">
        <v>0</v>
      </c>
      <c r="N275">
        <v>2400</v>
      </c>
    </row>
    <row r="276" spans="1:14" x14ac:dyDescent="0.25">
      <c r="A276">
        <v>57.175742</v>
      </c>
      <c r="B276" s="1">
        <f>DATE(2010,6,27) + TIME(4,13,4)</f>
        <v>40356.175740740742</v>
      </c>
      <c r="C276">
        <v>80</v>
      </c>
      <c r="D276">
        <v>79.902938843000001</v>
      </c>
      <c r="E276">
        <v>50</v>
      </c>
      <c r="F276">
        <v>14.992832183999999</v>
      </c>
      <c r="G276">
        <v>1389.3651123</v>
      </c>
      <c r="H276">
        <v>1376.0102539</v>
      </c>
      <c r="I276">
        <v>1251.0689697</v>
      </c>
      <c r="J276">
        <v>1211.6318358999999</v>
      </c>
      <c r="K276">
        <v>2400</v>
      </c>
      <c r="L276">
        <v>0</v>
      </c>
      <c r="M276">
        <v>0</v>
      </c>
      <c r="N276">
        <v>2400</v>
      </c>
    </row>
    <row r="277" spans="1:14" x14ac:dyDescent="0.25">
      <c r="A277">
        <v>57.788311</v>
      </c>
      <c r="B277" s="1">
        <f>DATE(2010,6,27) + TIME(18,55,10)</f>
        <v>40356.788310185184</v>
      </c>
      <c r="C277">
        <v>80</v>
      </c>
      <c r="D277">
        <v>79.902999878000003</v>
      </c>
      <c r="E277">
        <v>50</v>
      </c>
      <c r="F277">
        <v>14.992877007000001</v>
      </c>
      <c r="G277">
        <v>1389.2926024999999</v>
      </c>
      <c r="H277">
        <v>1375.9433594</v>
      </c>
      <c r="I277">
        <v>1251.0783690999999</v>
      </c>
      <c r="J277">
        <v>1211.6411132999999</v>
      </c>
      <c r="K277">
        <v>2400</v>
      </c>
      <c r="L277">
        <v>0</v>
      </c>
      <c r="M277">
        <v>0</v>
      </c>
      <c r="N277">
        <v>2400</v>
      </c>
    </row>
    <row r="278" spans="1:14" x14ac:dyDescent="0.25">
      <c r="A278">
        <v>58.406064999999998</v>
      </c>
      <c r="B278" s="1">
        <f>DATE(2010,6,28) + TIME(9,44,43)</f>
        <v>40357.406053240738</v>
      </c>
      <c r="C278">
        <v>80</v>
      </c>
      <c r="D278">
        <v>79.903068542</v>
      </c>
      <c r="E278">
        <v>50</v>
      </c>
      <c r="F278">
        <v>14.992922782999999</v>
      </c>
      <c r="G278">
        <v>1389.2191161999999</v>
      </c>
      <c r="H278">
        <v>1375.8756103999999</v>
      </c>
      <c r="I278">
        <v>1251.0881348</v>
      </c>
      <c r="J278">
        <v>1211.6508789</v>
      </c>
      <c r="K278">
        <v>2400</v>
      </c>
      <c r="L278">
        <v>0</v>
      </c>
      <c r="M278">
        <v>0</v>
      </c>
      <c r="N278">
        <v>2400</v>
      </c>
    </row>
    <row r="279" spans="1:14" x14ac:dyDescent="0.25">
      <c r="A279">
        <v>59.030155000000001</v>
      </c>
      <c r="B279" s="1">
        <f>DATE(2010,6,29) + TIME(0,43,25)</f>
        <v>40358.030150462961</v>
      </c>
      <c r="C279">
        <v>80</v>
      </c>
      <c r="D279">
        <v>79.903129578000005</v>
      </c>
      <c r="E279">
        <v>50</v>
      </c>
      <c r="F279">
        <v>14.992969513</v>
      </c>
      <c r="G279">
        <v>1389.1452637</v>
      </c>
      <c r="H279">
        <v>1375.8074951000001</v>
      </c>
      <c r="I279">
        <v>1251.0982666</v>
      </c>
      <c r="J279">
        <v>1211.6608887</v>
      </c>
      <c r="K279">
        <v>2400</v>
      </c>
      <c r="L279">
        <v>0</v>
      </c>
      <c r="M279">
        <v>0</v>
      </c>
      <c r="N279">
        <v>2400</v>
      </c>
    </row>
    <row r="280" spans="1:14" x14ac:dyDescent="0.25">
      <c r="A280">
        <v>59.661731000000003</v>
      </c>
      <c r="B280" s="1">
        <f>DATE(2010,6,29) + TIME(15,52,53)</f>
        <v>40358.661724537036</v>
      </c>
      <c r="C280">
        <v>80</v>
      </c>
      <c r="D280">
        <v>79.903205872000001</v>
      </c>
      <c r="E280">
        <v>50</v>
      </c>
      <c r="F280">
        <v>14.993016243</v>
      </c>
      <c r="G280">
        <v>1389.0712891000001</v>
      </c>
      <c r="H280">
        <v>1375.7391356999999</v>
      </c>
      <c r="I280">
        <v>1251.1085204999999</v>
      </c>
      <c r="J280">
        <v>1211.6712646000001</v>
      </c>
      <c r="K280">
        <v>2400</v>
      </c>
      <c r="L280">
        <v>0</v>
      </c>
      <c r="M280">
        <v>0</v>
      </c>
      <c r="N280">
        <v>2400</v>
      </c>
    </row>
    <row r="281" spans="1:14" x14ac:dyDescent="0.25">
      <c r="A281">
        <v>60.301955</v>
      </c>
      <c r="B281" s="1">
        <f>DATE(2010,6,30) + TIME(7,14,48)</f>
        <v>40359.301944444444</v>
      </c>
      <c r="C281">
        <v>80</v>
      </c>
      <c r="D281">
        <v>79.903274535999998</v>
      </c>
      <c r="E281">
        <v>50</v>
      </c>
      <c r="F281">
        <v>14.993063927</v>
      </c>
      <c r="G281">
        <v>1388.9969481999999</v>
      </c>
      <c r="H281">
        <v>1375.6705322</v>
      </c>
      <c r="I281">
        <v>1251.1191406</v>
      </c>
      <c r="J281">
        <v>1211.6818848</v>
      </c>
      <c r="K281">
        <v>2400</v>
      </c>
      <c r="L281">
        <v>0</v>
      </c>
      <c r="M281">
        <v>0</v>
      </c>
      <c r="N281">
        <v>2400</v>
      </c>
    </row>
    <row r="282" spans="1:14" x14ac:dyDescent="0.25">
      <c r="A282">
        <v>60.947648000000001</v>
      </c>
      <c r="B282" s="1">
        <f>DATE(2010,6,30) + TIME(22,44,36)</f>
        <v>40359.947638888887</v>
      </c>
      <c r="C282">
        <v>80</v>
      </c>
      <c r="D282">
        <v>79.903350829999994</v>
      </c>
      <c r="E282">
        <v>50</v>
      </c>
      <c r="F282">
        <v>14.99311161</v>
      </c>
      <c r="G282">
        <v>1388.9224853999999</v>
      </c>
      <c r="H282">
        <v>1375.6016846</v>
      </c>
      <c r="I282">
        <v>1251.1300048999999</v>
      </c>
      <c r="J282">
        <v>1211.6926269999999</v>
      </c>
      <c r="K282">
        <v>2400</v>
      </c>
      <c r="L282">
        <v>0</v>
      </c>
      <c r="M282">
        <v>0</v>
      </c>
      <c r="N282">
        <v>2400</v>
      </c>
    </row>
    <row r="283" spans="1:14" x14ac:dyDescent="0.25">
      <c r="A283">
        <v>61</v>
      </c>
      <c r="B283" s="1">
        <f>DATE(2010,7,1) + TIME(0,0,0)</f>
        <v>40360</v>
      </c>
      <c r="C283">
        <v>80</v>
      </c>
      <c r="D283">
        <v>79.903327942000004</v>
      </c>
      <c r="E283">
        <v>50</v>
      </c>
      <c r="F283">
        <v>14.993118286</v>
      </c>
      <c r="G283">
        <v>1388.9044189000001</v>
      </c>
      <c r="H283">
        <v>1375.5864257999999</v>
      </c>
      <c r="I283">
        <v>1251.1309814000001</v>
      </c>
      <c r="J283">
        <v>1211.6936035000001</v>
      </c>
      <c r="K283">
        <v>2400</v>
      </c>
      <c r="L283">
        <v>0</v>
      </c>
      <c r="M283">
        <v>0</v>
      </c>
      <c r="N283">
        <v>2400</v>
      </c>
    </row>
    <row r="284" spans="1:14" x14ac:dyDescent="0.25">
      <c r="A284">
        <v>61.652568000000002</v>
      </c>
      <c r="B284" s="1">
        <f>DATE(2010,7,1) + TIME(15,39,41)</f>
        <v>40360.652557870373</v>
      </c>
      <c r="C284">
        <v>80</v>
      </c>
      <c r="D284">
        <v>79.903427124000004</v>
      </c>
      <c r="E284">
        <v>50</v>
      </c>
      <c r="F284">
        <v>14.993165016000001</v>
      </c>
      <c r="G284">
        <v>1388.8391113</v>
      </c>
      <c r="H284">
        <v>1375.5244141000001</v>
      </c>
      <c r="I284">
        <v>1251.1422118999999</v>
      </c>
      <c r="J284">
        <v>1211.7048339999999</v>
      </c>
      <c r="K284">
        <v>2400</v>
      </c>
      <c r="L284">
        <v>0</v>
      </c>
      <c r="M284">
        <v>0</v>
      </c>
      <c r="N284">
        <v>2400</v>
      </c>
    </row>
    <row r="285" spans="1:14" x14ac:dyDescent="0.25">
      <c r="A285">
        <v>62.314397999999997</v>
      </c>
      <c r="B285" s="1">
        <f>DATE(2010,7,2) + TIME(7,32,43)</f>
        <v>40361.314386574071</v>
      </c>
      <c r="C285">
        <v>80</v>
      </c>
      <c r="D285">
        <v>79.903511046999995</v>
      </c>
      <c r="E285">
        <v>50</v>
      </c>
      <c r="F285">
        <v>14.993212700000001</v>
      </c>
      <c r="G285">
        <v>1388.7666016000001</v>
      </c>
      <c r="H285">
        <v>1375.4572754000001</v>
      </c>
      <c r="I285">
        <v>1251.1534423999999</v>
      </c>
      <c r="J285">
        <v>1211.7159423999999</v>
      </c>
      <c r="K285">
        <v>2400</v>
      </c>
      <c r="L285">
        <v>0</v>
      </c>
      <c r="M285">
        <v>0</v>
      </c>
      <c r="N285">
        <v>2400</v>
      </c>
    </row>
    <row r="286" spans="1:14" x14ac:dyDescent="0.25">
      <c r="A286">
        <v>62.647511000000002</v>
      </c>
      <c r="B286" s="1">
        <f>DATE(2010,7,2) + TIME(15,32,24)</f>
        <v>40361.647499999999</v>
      </c>
      <c r="C286">
        <v>80</v>
      </c>
      <c r="D286">
        <v>79.903503418</v>
      </c>
      <c r="E286">
        <v>50</v>
      </c>
      <c r="F286">
        <v>14.993243217</v>
      </c>
      <c r="G286">
        <v>1388.7097168</v>
      </c>
      <c r="H286">
        <v>1375.4055175999999</v>
      </c>
      <c r="I286">
        <v>1251.1599120999999</v>
      </c>
      <c r="J286">
        <v>1211.7224120999999</v>
      </c>
      <c r="K286">
        <v>2400</v>
      </c>
      <c r="L286">
        <v>0</v>
      </c>
      <c r="M286">
        <v>0</v>
      </c>
      <c r="N286">
        <v>2400</v>
      </c>
    </row>
    <row r="287" spans="1:14" x14ac:dyDescent="0.25">
      <c r="A287">
        <v>62.980623999999999</v>
      </c>
      <c r="B287" s="1">
        <f>DATE(2010,7,2) + TIME(23,32,5)</f>
        <v>40361.980613425927</v>
      </c>
      <c r="C287">
        <v>80</v>
      </c>
      <c r="D287">
        <v>79.903533936000002</v>
      </c>
      <c r="E287">
        <v>50</v>
      </c>
      <c r="F287">
        <v>14.993272781</v>
      </c>
      <c r="G287">
        <v>1388.6650391000001</v>
      </c>
      <c r="H287">
        <v>1375.3640137</v>
      </c>
      <c r="I287">
        <v>1251.166626</v>
      </c>
      <c r="J287">
        <v>1211.729126</v>
      </c>
      <c r="K287">
        <v>2400</v>
      </c>
      <c r="L287">
        <v>0</v>
      </c>
      <c r="M287">
        <v>0</v>
      </c>
      <c r="N287">
        <v>2400</v>
      </c>
    </row>
    <row r="288" spans="1:14" x14ac:dyDescent="0.25">
      <c r="A288">
        <v>63.313738000000001</v>
      </c>
      <c r="B288" s="1">
        <f>DATE(2010,7,3) + TIME(7,31,46)</f>
        <v>40362.313726851855</v>
      </c>
      <c r="C288">
        <v>80</v>
      </c>
      <c r="D288">
        <v>79.903572083</v>
      </c>
      <c r="E288">
        <v>50</v>
      </c>
      <c r="F288">
        <v>14.993300438</v>
      </c>
      <c r="G288">
        <v>1388.6246338000001</v>
      </c>
      <c r="H288">
        <v>1375.3262939000001</v>
      </c>
      <c r="I288">
        <v>1251.1734618999999</v>
      </c>
      <c r="J288">
        <v>1211.7358397999999</v>
      </c>
      <c r="K288">
        <v>2400</v>
      </c>
      <c r="L288">
        <v>0</v>
      </c>
      <c r="M288">
        <v>0</v>
      </c>
      <c r="N288">
        <v>2400</v>
      </c>
    </row>
    <row r="289" spans="1:14" x14ac:dyDescent="0.25">
      <c r="A289">
        <v>63.646850999999998</v>
      </c>
      <c r="B289" s="1">
        <f>DATE(2010,7,3) + TIME(15,31,27)</f>
        <v>40362.646840277775</v>
      </c>
      <c r="C289">
        <v>80</v>
      </c>
      <c r="D289">
        <v>79.903617858999993</v>
      </c>
      <c r="E289">
        <v>50</v>
      </c>
      <c r="F289">
        <v>14.993327141</v>
      </c>
      <c r="G289">
        <v>1388.5858154</v>
      </c>
      <c r="H289">
        <v>1375.2902832</v>
      </c>
      <c r="I289">
        <v>1251.1799315999999</v>
      </c>
      <c r="J289">
        <v>1211.7424315999999</v>
      </c>
      <c r="K289">
        <v>2400</v>
      </c>
      <c r="L289">
        <v>0</v>
      </c>
      <c r="M289">
        <v>0</v>
      </c>
      <c r="N289">
        <v>2400</v>
      </c>
    </row>
    <row r="290" spans="1:14" x14ac:dyDescent="0.25">
      <c r="A290">
        <v>63.979964000000002</v>
      </c>
      <c r="B290" s="1">
        <f>DATE(2010,7,3) + TIME(23,31,8)</f>
        <v>40362.979953703703</v>
      </c>
      <c r="C290">
        <v>80</v>
      </c>
      <c r="D290">
        <v>79.903663635000001</v>
      </c>
      <c r="E290">
        <v>50</v>
      </c>
      <c r="F290">
        <v>14.993352890000001</v>
      </c>
      <c r="G290">
        <v>1388.5478516000001</v>
      </c>
      <c r="H290">
        <v>1375.2548827999999</v>
      </c>
      <c r="I290">
        <v>1251.1864014</v>
      </c>
      <c r="J290">
        <v>1211.7487793</v>
      </c>
      <c r="K290">
        <v>2400</v>
      </c>
      <c r="L290">
        <v>0</v>
      </c>
      <c r="M290">
        <v>0</v>
      </c>
      <c r="N290">
        <v>2400</v>
      </c>
    </row>
    <row r="291" spans="1:14" x14ac:dyDescent="0.25">
      <c r="A291">
        <v>64.313077000000007</v>
      </c>
      <c r="B291" s="1">
        <f>DATE(2010,7,4) + TIME(7,30,49)</f>
        <v>40363.313067129631</v>
      </c>
      <c r="C291">
        <v>80</v>
      </c>
      <c r="D291">
        <v>79.903709411999998</v>
      </c>
      <c r="E291">
        <v>50</v>
      </c>
      <c r="F291">
        <v>14.993377686000001</v>
      </c>
      <c r="G291">
        <v>1388.510376</v>
      </c>
      <c r="H291">
        <v>1375.2200928</v>
      </c>
      <c r="I291">
        <v>1251.192749</v>
      </c>
      <c r="J291">
        <v>1211.7551269999999</v>
      </c>
      <c r="K291">
        <v>2400</v>
      </c>
      <c r="L291">
        <v>0</v>
      </c>
      <c r="M291">
        <v>0</v>
      </c>
      <c r="N291">
        <v>2400</v>
      </c>
    </row>
    <row r="292" spans="1:14" x14ac:dyDescent="0.25">
      <c r="A292">
        <v>64.646190000000004</v>
      </c>
      <c r="B292" s="1">
        <f>DATE(2010,7,4) + TIME(15,30,30)</f>
        <v>40363.646180555559</v>
      </c>
      <c r="C292">
        <v>80</v>
      </c>
      <c r="D292">
        <v>79.903747558999996</v>
      </c>
      <c r="E292">
        <v>50</v>
      </c>
      <c r="F292">
        <v>14.993402481</v>
      </c>
      <c r="G292">
        <v>1388.4732666</v>
      </c>
      <c r="H292">
        <v>1375.1856689000001</v>
      </c>
      <c r="I292">
        <v>1251.1989745999999</v>
      </c>
      <c r="J292">
        <v>1211.7613524999999</v>
      </c>
      <c r="K292">
        <v>2400</v>
      </c>
      <c r="L292">
        <v>0</v>
      </c>
      <c r="M292">
        <v>0</v>
      </c>
      <c r="N292">
        <v>2400</v>
      </c>
    </row>
    <row r="293" spans="1:14" x14ac:dyDescent="0.25">
      <c r="A293">
        <v>64.979303999999999</v>
      </c>
      <c r="B293" s="1">
        <f>DATE(2010,7,4) + TIME(23,30,11)</f>
        <v>40363.97929398148</v>
      </c>
      <c r="C293">
        <v>80</v>
      </c>
      <c r="D293">
        <v>79.903793335000003</v>
      </c>
      <c r="E293">
        <v>50</v>
      </c>
      <c r="F293">
        <v>14.993426323</v>
      </c>
      <c r="G293">
        <v>1388.4364014</v>
      </c>
      <c r="H293">
        <v>1375.1514893000001</v>
      </c>
      <c r="I293">
        <v>1251.2050781</v>
      </c>
      <c r="J293">
        <v>1211.7674560999999</v>
      </c>
      <c r="K293">
        <v>2400</v>
      </c>
      <c r="L293">
        <v>0</v>
      </c>
      <c r="M293">
        <v>0</v>
      </c>
      <c r="N293">
        <v>2400</v>
      </c>
    </row>
    <row r="294" spans="1:14" x14ac:dyDescent="0.25">
      <c r="A294">
        <v>65.312416999999996</v>
      </c>
      <c r="B294" s="1">
        <f>DATE(2010,7,5) + TIME(7,29,52)</f>
        <v>40364.312407407408</v>
      </c>
      <c r="C294">
        <v>80</v>
      </c>
      <c r="D294">
        <v>79.903831482000001</v>
      </c>
      <c r="E294">
        <v>50</v>
      </c>
      <c r="F294">
        <v>14.993451117999999</v>
      </c>
      <c r="G294">
        <v>1388.3999022999999</v>
      </c>
      <c r="H294">
        <v>1375.1175536999999</v>
      </c>
      <c r="I294">
        <v>1251.2111815999999</v>
      </c>
      <c r="J294">
        <v>1211.7735596</v>
      </c>
      <c r="K294">
        <v>2400</v>
      </c>
      <c r="L294">
        <v>0</v>
      </c>
      <c r="M294">
        <v>0</v>
      </c>
      <c r="N294">
        <v>2400</v>
      </c>
    </row>
    <row r="295" spans="1:14" x14ac:dyDescent="0.25">
      <c r="A295">
        <v>65.978643000000005</v>
      </c>
      <c r="B295" s="1">
        <f>DATE(2010,7,5) + TIME(23,29,14)</f>
        <v>40364.978634259256</v>
      </c>
      <c r="C295">
        <v>80</v>
      </c>
      <c r="D295">
        <v>79.903961182000003</v>
      </c>
      <c r="E295">
        <v>50</v>
      </c>
      <c r="F295">
        <v>14.993487357999999</v>
      </c>
      <c r="G295">
        <v>1388.3508300999999</v>
      </c>
      <c r="H295">
        <v>1375.0712891000001</v>
      </c>
      <c r="I295">
        <v>1251.2215576000001</v>
      </c>
      <c r="J295">
        <v>1211.7838135</v>
      </c>
      <c r="K295">
        <v>2400</v>
      </c>
      <c r="L295">
        <v>0</v>
      </c>
      <c r="M295">
        <v>0</v>
      </c>
      <c r="N295">
        <v>2400</v>
      </c>
    </row>
    <row r="296" spans="1:14" x14ac:dyDescent="0.25">
      <c r="A296">
        <v>66.644900000000007</v>
      </c>
      <c r="B296" s="1">
        <f>DATE(2010,7,6) + TIME(15,28,39)</f>
        <v>40365.644895833335</v>
      </c>
      <c r="C296">
        <v>80</v>
      </c>
      <c r="D296">
        <v>79.904037475999999</v>
      </c>
      <c r="E296">
        <v>50</v>
      </c>
      <c r="F296">
        <v>14.993527412000001</v>
      </c>
      <c r="G296">
        <v>1388.2854004000001</v>
      </c>
      <c r="H296">
        <v>1375.0107422000001</v>
      </c>
      <c r="I296">
        <v>1251.2319336</v>
      </c>
      <c r="J296">
        <v>1211.7941894999999</v>
      </c>
      <c r="K296">
        <v>2400</v>
      </c>
      <c r="L296">
        <v>0</v>
      </c>
      <c r="M296">
        <v>0</v>
      </c>
      <c r="N296">
        <v>2400</v>
      </c>
    </row>
    <row r="297" spans="1:14" x14ac:dyDescent="0.25">
      <c r="A297">
        <v>67.316283999999996</v>
      </c>
      <c r="B297" s="1">
        <f>DATE(2010,7,7) + TIME(7,35,26)</f>
        <v>40366.31627314815</v>
      </c>
      <c r="C297">
        <v>80</v>
      </c>
      <c r="D297">
        <v>79.904113769999995</v>
      </c>
      <c r="E297">
        <v>50</v>
      </c>
      <c r="F297">
        <v>14.993570328000001</v>
      </c>
      <c r="G297">
        <v>1388.2164307</v>
      </c>
      <c r="H297">
        <v>1374.9470214999999</v>
      </c>
      <c r="I297">
        <v>1251.2430420000001</v>
      </c>
      <c r="J297">
        <v>1211.8051757999999</v>
      </c>
      <c r="K297">
        <v>2400</v>
      </c>
      <c r="L297">
        <v>0</v>
      </c>
      <c r="M297">
        <v>0</v>
      </c>
      <c r="N297">
        <v>2400</v>
      </c>
    </row>
    <row r="298" spans="1:14" x14ac:dyDescent="0.25">
      <c r="A298">
        <v>67.994258000000002</v>
      </c>
      <c r="B298" s="1">
        <f>DATE(2010,7,7) + TIME(23,51,43)</f>
        <v>40366.994247685187</v>
      </c>
      <c r="C298">
        <v>80</v>
      </c>
      <c r="D298">
        <v>79.904190063000001</v>
      </c>
      <c r="E298">
        <v>50</v>
      </c>
      <c r="F298">
        <v>14.99361515</v>
      </c>
      <c r="G298">
        <v>1388.1466064000001</v>
      </c>
      <c r="H298">
        <v>1374.8820800999999</v>
      </c>
      <c r="I298">
        <v>1251.2546387</v>
      </c>
      <c r="J298">
        <v>1211.8167725000001</v>
      </c>
      <c r="K298">
        <v>2400</v>
      </c>
      <c r="L298">
        <v>0</v>
      </c>
      <c r="M298">
        <v>0</v>
      </c>
      <c r="N298">
        <v>2400</v>
      </c>
    </row>
    <row r="299" spans="1:14" x14ac:dyDescent="0.25">
      <c r="A299">
        <v>68.680160000000001</v>
      </c>
      <c r="B299" s="1">
        <f>DATE(2010,7,8) + TIME(16,19,25)</f>
        <v>40367.680150462962</v>
      </c>
      <c r="C299">
        <v>80</v>
      </c>
      <c r="D299">
        <v>79.904273986999996</v>
      </c>
      <c r="E299">
        <v>50</v>
      </c>
      <c r="F299">
        <v>14.993659973</v>
      </c>
      <c r="G299">
        <v>1388.0761719</v>
      </c>
      <c r="H299">
        <v>1374.8167725000001</v>
      </c>
      <c r="I299">
        <v>1251.2667236</v>
      </c>
      <c r="J299">
        <v>1211.8288574000001</v>
      </c>
      <c r="K299">
        <v>2400</v>
      </c>
      <c r="L299">
        <v>0</v>
      </c>
      <c r="M299">
        <v>0</v>
      </c>
      <c r="N299">
        <v>2400</v>
      </c>
    </row>
    <row r="300" spans="1:14" x14ac:dyDescent="0.25">
      <c r="A300">
        <v>69.375342000000003</v>
      </c>
      <c r="B300" s="1">
        <f>DATE(2010,7,9) + TIME(9,0,29)</f>
        <v>40368.375335648147</v>
      </c>
      <c r="C300">
        <v>80</v>
      </c>
      <c r="D300">
        <v>79.904357910000002</v>
      </c>
      <c r="E300">
        <v>50</v>
      </c>
      <c r="F300">
        <v>14.99370575</v>
      </c>
      <c r="G300">
        <v>1388.0053711</v>
      </c>
      <c r="H300">
        <v>1374.7509766000001</v>
      </c>
      <c r="I300">
        <v>1251.2791748</v>
      </c>
      <c r="J300">
        <v>1211.8411865</v>
      </c>
      <c r="K300">
        <v>2400</v>
      </c>
      <c r="L300">
        <v>0</v>
      </c>
      <c r="M300">
        <v>0</v>
      </c>
      <c r="N300">
        <v>2400</v>
      </c>
    </row>
    <row r="301" spans="1:14" x14ac:dyDescent="0.25">
      <c r="A301">
        <v>70.081479000000002</v>
      </c>
      <c r="B301" s="1">
        <f>DATE(2010,7,10) + TIME(1,57,19)</f>
        <v>40369.081469907411</v>
      </c>
      <c r="C301">
        <v>80</v>
      </c>
      <c r="D301">
        <v>79.904441833000007</v>
      </c>
      <c r="E301">
        <v>50</v>
      </c>
      <c r="F301">
        <v>14.993752479999999</v>
      </c>
      <c r="G301">
        <v>1387.934082</v>
      </c>
      <c r="H301">
        <v>1374.6848144999999</v>
      </c>
      <c r="I301">
        <v>1251.2919922000001</v>
      </c>
      <c r="J301">
        <v>1211.8538818</v>
      </c>
      <c r="K301">
        <v>2400</v>
      </c>
      <c r="L301">
        <v>0</v>
      </c>
      <c r="M301">
        <v>0</v>
      </c>
      <c r="N301">
        <v>2400</v>
      </c>
    </row>
    <row r="302" spans="1:14" x14ac:dyDescent="0.25">
      <c r="A302">
        <v>70.795665</v>
      </c>
      <c r="B302" s="1">
        <f>DATE(2010,7,10) + TIME(19,5,45)</f>
        <v>40369.795659722222</v>
      </c>
      <c r="C302">
        <v>80</v>
      </c>
      <c r="D302">
        <v>79.904525757000002</v>
      </c>
      <c r="E302">
        <v>50</v>
      </c>
      <c r="F302">
        <v>14.993799210000001</v>
      </c>
      <c r="G302">
        <v>1387.8625488</v>
      </c>
      <c r="H302">
        <v>1374.6181641000001</v>
      </c>
      <c r="I302">
        <v>1251.3050536999999</v>
      </c>
      <c r="J302">
        <v>1211.8668213000001</v>
      </c>
      <c r="K302">
        <v>2400</v>
      </c>
      <c r="L302">
        <v>0</v>
      </c>
      <c r="M302">
        <v>0</v>
      </c>
      <c r="N302">
        <v>2400</v>
      </c>
    </row>
    <row r="303" spans="1:14" x14ac:dyDescent="0.25">
      <c r="A303">
        <v>71.157084999999995</v>
      </c>
      <c r="B303" s="1">
        <f>DATE(2010,7,11) + TIME(3,46,12)</f>
        <v>40370.157083333332</v>
      </c>
      <c r="C303">
        <v>80</v>
      </c>
      <c r="D303">
        <v>79.904533385999997</v>
      </c>
      <c r="E303">
        <v>50</v>
      </c>
      <c r="F303">
        <v>14.993829727</v>
      </c>
      <c r="G303">
        <v>1387.8078613</v>
      </c>
      <c r="H303">
        <v>1374.5681152</v>
      </c>
      <c r="I303">
        <v>1251.3128661999999</v>
      </c>
      <c r="J303">
        <v>1211.8746338000001</v>
      </c>
      <c r="K303">
        <v>2400</v>
      </c>
      <c r="L303">
        <v>0</v>
      </c>
      <c r="M303">
        <v>0</v>
      </c>
      <c r="N303">
        <v>2400</v>
      </c>
    </row>
    <row r="304" spans="1:14" x14ac:dyDescent="0.25">
      <c r="A304">
        <v>71.518505000000005</v>
      </c>
      <c r="B304" s="1">
        <f>DATE(2010,7,11) + TIME(12,26,38)</f>
        <v>40370.518495370372</v>
      </c>
      <c r="C304">
        <v>80</v>
      </c>
      <c r="D304">
        <v>79.904563904</v>
      </c>
      <c r="E304">
        <v>50</v>
      </c>
      <c r="F304">
        <v>14.993858337000001</v>
      </c>
      <c r="G304">
        <v>1387.7646483999999</v>
      </c>
      <c r="H304">
        <v>1374.5277100000001</v>
      </c>
      <c r="I304">
        <v>1251.3209228999999</v>
      </c>
      <c r="J304">
        <v>1211.8826904</v>
      </c>
      <c r="K304">
        <v>2400</v>
      </c>
      <c r="L304">
        <v>0</v>
      </c>
      <c r="M304">
        <v>0</v>
      </c>
      <c r="N304">
        <v>2400</v>
      </c>
    </row>
    <row r="305" spans="1:14" x14ac:dyDescent="0.25">
      <c r="A305">
        <v>71.879925999999998</v>
      </c>
      <c r="B305" s="1">
        <f>DATE(2010,7,11) + TIME(21,7,5)</f>
        <v>40370.879918981482</v>
      </c>
      <c r="C305">
        <v>80</v>
      </c>
      <c r="D305">
        <v>79.904609679999993</v>
      </c>
      <c r="E305">
        <v>50</v>
      </c>
      <c r="F305">
        <v>14.993885993999999</v>
      </c>
      <c r="G305">
        <v>1387.7254639</v>
      </c>
      <c r="H305">
        <v>1374.4910889</v>
      </c>
      <c r="I305">
        <v>1251.3289795000001</v>
      </c>
      <c r="J305">
        <v>1211.8905029</v>
      </c>
      <c r="K305">
        <v>2400</v>
      </c>
      <c r="L305">
        <v>0</v>
      </c>
      <c r="M305">
        <v>0</v>
      </c>
      <c r="N305">
        <v>2400</v>
      </c>
    </row>
    <row r="306" spans="1:14" x14ac:dyDescent="0.25">
      <c r="A306">
        <v>72.241345999999993</v>
      </c>
      <c r="B306" s="1">
        <f>DATE(2010,7,12) + TIME(5,47,32)</f>
        <v>40371.241342592592</v>
      </c>
      <c r="C306">
        <v>80</v>
      </c>
      <c r="D306">
        <v>79.904663085999999</v>
      </c>
      <c r="E306">
        <v>50</v>
      </c>
      <c r="F306">
        <v>14.993911743</v>
      </c>
      <c r="G306">
        <v>1387.6878661999999</v>
      </c>
      <c r="H306">
        <v>1374.4559326000001</v>
      </c>
      <c r="I306">
        <v>1251.3366699000001</v>
      </c>
      <c r="J306">
        <v>1211.8981934000001</v>
      </c>
      <c r="K306">
        <v>2400</v>
      </c>
      <c r="L306">
        <v>0</v>
      </c>
      <c r="M306">
        <v>0</v>
      </c>
      <c r="N306">
        <v>2400</v>
      </c>
    </row>
    <row r="307" spans="1:14" x14ac:dyDescent="0.25">
      <c r="A307">
        <v>72.602767</v>
      </c>
      <c r="B307" s="1">
        <f>DATE(2010,7,12) + TIME(14,27,59)</f>
        <v>40371.602766203701</v>
      </c>
      <c r="C307">
        <v>80</v>
      </c>
      <c r="D307">
        <v>79.904708862000007</v>
      </c>
      <c r="E307">
        <v>50</v>
      </c>
      <c r="F307">
        <v>14.993937492000001</v>
      </c>
      <c r="G307">
        <v>1387.6511230000001</v>
      </c>
      <c r="H307">
        <v>1374.4215088000001</v>
      </c>
      <c r="I307">
        <v>1251.3442382999999</v>
      </c>
      <c r="J307">
        <v>1211.9057617000001</v>
      </c>
      <c r="K307">
        <v>2400</v>
      </c>
      <c r="L307">
        <v>0</v>
      </c>
      <c r="M307">
        <v>0</v>
      </c>
      <c r="N307">
        <v>2400</v>
      </c>
    </row>
    <row r="308" spans="1:14" x14ac:dyDescent="0.25">
      <c r="A308">
        <v>72.964186999999995</v>
      </c>
      <c r="B308" s="1">
        <f>DATE(2010,7,12) + TIME(23,8,25)</f>
        <v>40371.964178240742</v>
      </c>
      <c r="C308">
        <v>80</v>
      </c>
      <c r="D308">
        <v>79.904762267999999</v>
      </c>
      <c r="E308">
        <v>50</v>
      </c>
      <c r="F308">
        <v>14.993962288000001</v>
      </c>
      <c r="G308">
        <v>1387.6148682</v>
      </c>
      <c r="H308">
        <v>1374.3876952999999</v>
      </c>
      <c r="I308">
        <v>1251.3515625</v>
      </c>
      <c r="J308">
        <v>1211.9130858999999</v>
      </c>
      <c r="K308">
        <v>2400</v>
      </c>
      <c r="L308">
        <v>0</v>
      </c>
      <c r="M308">
        <v>0</v>
      </c>
      <c r="N308">
        <v>2400</v>
      </c>
    </row>
    <row r="309" spans="1:14" x14ac:dyDescent="0.25">
      <c r="A309">
        <v>73.325607000000005</v>
      </c>
      <c r="B309" s="1">
        <f>DATE(2010,7,13) + TIME(7,48,52)</f>
        <v>40372.325601851851</v>
      </c>
      <c r="C309">
        <v>80</v>
      </c>
      <c r="D309">
        <v>79.904808044000006</v>
      </c>
      <c r="E309">
        <v>50</v>
      </c>
      <c r="F309">
        <v>14.99398613</v>
      </c>
      <c r="G309">
        <v>1387.5788574000001</v>
      </c>
      <c r="H309">
        <v>1374.354126</v>
      </c>
      <c r="I309">
        <v>1251.3588867000001</v>
      </c>
      <c r="J309">
        <v>1211.9202881000001</v>
      </c>
      <c r="K309">
        <v>2400</v>
      </c>
      <c r="L309">
        <v>0</v>
      </c>
      <c r="M309">
        <v>0</v>
      </c>
      <c r="N309">
        <v>2400</v>
      </c>
    </row>
    <row r="310" spans="1:14" x14ac:dyDescent="0.25">
      <c r="A310">
        <v>73.687027999999998</v>
      </c>
      <c r="B310" s="1">
        <f>DATE(2010,7,13) + TIME(16,29,19)</f>
        <v>40372.687025462961</v>
      </c>
      <c r="C310">
        <v>80</v>
      </c>
      <c r="D310">
        <v>79.904853821000003</v>
      </c>
      <c r="E310">
        <v>50</v>
      </c>
      <c r="F310">
        <v>14.994009972000001</v>
      </c>
      <c r="G310">
        <v>1387.5432129000001</v>
      </c>
      <c r="H310">
        <v>1374.3209228999999</v>
      </c>
      <c r="I310">
        <v>1251.3660889</v>
      </c>
      <c r="J310">
        <v>1211.9274902</v>
      </c>
      <c r="K310">
        <v>2400</v>
      </c>
      <c r="L310">
        <v>0</v>
      </c>
      <c r="M310">
        <v>0</v>
      </c>
      <c r="N310">
        <v>2400</v>
      </c>
    </row>
    <row r="311" spans="1:14" x14ac:dyDescent="0.25">
      <c r="A311">
        <v>74.048447999999993</v>
      </c>
      <c r="B311" s="1">
        <f>DATE(2010,7,14) + TIME(1,9,45)</f>
        <v>40373.048437500001</v>
      </c>
      <c r="C311">
        <v>80</v>
      </c>
      <c r="D311">
        <v>79.904899596999996</v>
      </c>
      <c r="E311">
        <v>50</v>
      </c>
      <c r="F311">
        <v>14.994033813</v>
      </c>
      <c r="G311">
        <v>1387.5078125</v>
      </c>
      <c r="H311">
        <v>1374.2878418</v>
      </c>
      <c r="I311">
        <v>1251.3732910000001</v>
      </c>
      <c r="J311">
        <v>1211.9345702999999</v>
      </c>
      <c r="K311">
        <v>2400</v>
      </c>
      <c r="L311">
        <v>0</v>
      </c>
      <c r="M311">
        <v>0</v>
      </c>
      <c r="N311">
        <v>2400</v>
      </c>
    </row>
    <row r="312" spans="1:14" x14ac:dyDescent="0.25">
      <c r="A312">
        <v>74.409868000000003</v>
      </c>
      <c r="B312" s="1">
        <f>DATE(2010,7,14) + TIME(9,50,12)</f>
        <v>40373.409861111111</v>
      </c>
      <c r="C312">
        <v>80</v>
      </c>
      <c r="D312">
        <v>79.904945373999993</v>
      </c>
      <c r="E312">
        <v>50</v>
      </c>
      <c r="F312">
        <v>14.994056702</v>
      </c>
      <c r="G312">
        <v>1387.4726562000001</v>
      </c>
      <c r="H312">
        <v>1374.2550048999999</v>
      </c>
      <c r="I312">
        <v>1251.3803711</v>
      </c>
      <c r="J312">
        <v>1211.9416504000001</v>
      </c>
      <c r="K312">
        <v>2400</v>
      </c>
      <c r="L312">
        <v>0</v>
      </c>
      <c r="M312">
        <v>0</v>
      </c>
      <c r="N312">
        <v>2400</v>
      </c>
    </row>
    <row r="313" spans="1:14" x14ac:dyDescent="0.25">
      <c r="A313">
        <v>74.771288999999996</v>
      </c>
      <c r="B313" s="1">
        <f>DATE(2010,7,14) + TIME(18,30,39)</f>
        <v>40373.771284722221</v>
      </c>
      <c r="C313">
        <v>80</v>
      </c>
      <c r="D313">
        <v>79.904991150000001</v>
      </c>
      <c r="E313">
        <v>50</v>
      </c>
      <c r="F313">
        <v>14.99407959</v>
      </c>
      <c r="G313">
        <v>1387.4376221</v>
      </c>
      <c r="H313">
        <v>1374.2222899999999</v>
      </c>
      <c r="I313">
        <v>1251.3875731999999</v>
      </c>
      <c r="J313">
        <v>1211.9487305</v>
      </c>
      <c r="K313">
        <v>2400</v>
      </c>
      <c r="L313">
        <v>0</v>
      </c>
      <c r="M313">
        <v>0</v>
      </c>
      <c r="N313">
        <v>2400</v>
      </c>
    </row>
    <row r="314" spans="1:14" x14ac:dyDescent="0.25">
      <c r="A314">
        <v>75.132709000000006</v>
      </c>
      <c r="B314" s="1">
        <f>DATE(2010,7,15) + TIME(3,11,6)</f>
        <v>40374.132708333331</v>
      </c>
      <c r="C314">
        <v>80</v>
      </c>
      <c r="D314">
        <v>79.905044556000007</v>
      </c>
      <c r="E314">
        <v>50</v>
      </c>
      <c r="F314">
        <v>14.994103431999999</v>
      </c>
      <c r="G314">
        <v>1387.402832</v>
      </c>
      <c r="H314">
        <v>1374.1898193</v>
      </c>
      <c r="I314">
        <v>1251.3947754000001</v>
      </c>
      <c r="J314">
        <v>1211.9558105000001</v>
      </c>
      <c r="K314">
        <v>2400</v>
      </c>
      <c r="L314">
        <v>0</v>
      </c>
      <c r="M314">
        <v>0</v>
      </c>
      <c r="N314">
        <v>2400</v>
      </c>
    </row>
    <row r="315" spans="1:14" x14ac:dyDescent="0.25">
      <c r="A315">
        <v>75.855549999999994</v>
      </c>
      <c r="B315" s="1">
        <f>DATE(2010,7,15) + TIME(20,31,59)</f>
        <v>40374.855543981481</v>
      </c>
      <c r="C315">
        <v>80</v>
      </c>
      <c r="D315">
        <v>79.905174255000006</v>
      </c>
      <c r="E315">
        <v>50</v>
      </c>
      <c r="F315">
        <v>14.994137764</v>
      </c>
      <c r="G315">
        <v>1387.3557129000001</v>
      </c>
      <c r="H315">
        <v>1374.1452637</v>
      </c>
      <c r="I315">
        <v>1251.4064940999999</v>
      </c>
      <c r="J315">
        <v>1211.9675293</v>
      </c>
      <c r="K315">
        <v>2400</v>
      </c>
      <c r="L315">
        <v>0</v>
      </c>
      <c r="M315">
        <v>0</v>
      </c>
      <c r="N315">
        <v>2400</v>
      </c>
    </row>
    <row r="316" spans="1:14" x14ac:dyDescent="0.25">
      <c r="A316">
        <v>76.578637000000001</v>
      </c>
      <c r="B316" s="1">
        <f>DATE(2010,7,16) + TIME(13,53,14)</f>
        <v>40375.578634259262</v>
      </c>
      <c r="C316">
        <v>80</v>
      </c>
      <c r="D316">
        <v>79.905265807999996</v>
      </c>
      <c r="E316">
        <v>50</v>
      </c>
      <c r="F316">
        <v>14.994176865</v>
      </c>
      <c r="G316">
        <v>1387.293457</v>
      </c>
      <c r="H316">
        <v>1374.0872803</v>
      </c>
      <c r="I316">
        <v>1251.4188231999999</v>
      </c>
      <c r="J316">
        <v>1211.9797363</v>
      </c>
      <c r="K316">
        <v>2400</v>
      </c>
      <c r="L316">
        <v>0</v>
      </c>
      <c r="M316">
        <v>0</v>
      </c>
      <c r="N316">
        <v>2400</v>
      </c>
    </row>
    <row r="317" spans="1:14" x14ac:dyDescent="0.25">
      <c r="A317">
        <v>77.308254000000005</v>
      </c>
      <c r="B317" s="1">
        <f>DATE(2010,7,17) + TIME(7,23,53)</f>
        <v>40376.308252314811</v>
      </c>
      <c r="C317">
        <v>80</v>
      </c>
      <c r="D317">
        <v>79.905349731000001</v>
      </c>
      <c r="E317">
        <v>50</v>
      </c>
      <c r="F317">
        <v>14.994218826000001</v>
      </c>
      <c r="G317">
        <v>1387.2276611</v>
      </c>
      <c r="H317">
        <v>1374.026001</v>
      </c>
      <c r="I317">
        <v>1251.4320068</v>
      </c>
      <c r="J317">
        <v>1211.9929199000001</v>
      </c>
      <c r="K317">
        <v>2400</v>
      </c>
      <c r="L317">
        <v>0</v>
      </c>
      <c r="M317">
        <v>0</v>
      </c>
      <c r="N317">
        <v>2400</v>
      </c>
    </row>
    <row r="318" spans="1:14" x14ac:dyDescent="0.25">
      <c r="A318">
        <v>78.045942999999994</v>
      </c>
      <c r="B318" s="1">
        <f>DATE(2010,7,18) + TIME(1,6,9)</f>
        <v>40377.045937499999</v>
      </c>
      <c r="C318">
        <v>80</v>
      </c>
      <c r="D318">
        <v>79.905433654999996</v>
      </c>
      <c r="E318">
        <v>50</v>
      </c>
      <c r="F318">
        <v>14.994261742000001</v>
      </c>
      <c r="G318">
        <v>1387.1607666</v>
      </c>
      <c r="H318">
        <v>1373.963501</v>
      </c>
      <c r="I318">
        <v>1251.4460449000001</v>
      </c>
      <c r="J318">
        <v>1212.0067139</v>
      </c>
      <c r="K318">
        <v>2400</v>
      </c>
      <c r="L318">
        <v>0</v>
      </c>
      <c r="M318">
        <v>0</v>
      </c>
      <c r="N318">
        <v>2400</v>
      </c>
    </row>
    <row r="319" spans="1:14" x14ac:dyDescent="0.25">
      <c r="A319">
        <v>78.793242000000006</v>
      </c>
      <c r="B319" s="1">
        <f>DATE(2010,7,18) + TIME(19,2,16)</f>
        <v>40377.793240740742</v>
      </c>
      <c r="C319">
        <v>80</v>
      </c>
      <c r="D319">
        <v>79.905525208</v>
      </c>
      <c r="E319">
        <v>50</v>
      </c>
      <c r="F319">
        <v>14.994306564</v>
      </c>
      <c r="G319">
        <v>1387.0931396000001</v>
      </c>
      <c r="H319">
        <v>1373.9005127</v>
      </c>
      <c r="I319">
        <v>1251.4605713000001</v>
      </c>
      <c r="J319">
        <v>1212.0211182</v>
      </c>
      <c r="K319">
        <v>2400</v>
      </c>
      <c r="L319">
        <v>0</v>
      </c>
      <c r="M319">
        <v>0</v>
      </c>
      <c r="N319">
        <v>2400</v>
      </c>
    </row>
    <row r="320" spans="1:14" x14ac:dyDescent="0.25">
      <c r="A320">
        <v>79.551182999999995</v>
      </c>
      <c r="B320" s="1">
        <f>DATE(2010,7,19) + TIME(13,13,42)</f>
        <v>40378.551180555558</v>
      </c>
      <c r="C320">
        <v>80</v>
      </c>
      <c r="D320">
        <v>79.90562439</v>
      </c>
      <c r="E320">
        <v>50</v>
      </c>
      <c r="F320">
        <v>14.994351387</v>
      </c>
      <c r="G320">
        <v>1387.0251464999999</v>
      </c>
      <c r="H320">
        <v>1373.8369141000001</v>
      </c>
      <c r="I320">
        <v>1251.4755858999999</v>
      </c>
      <c r="J320">
        <v>1212.0358887</v>
      </c>
      <c r="K320">
        <v>2400</v>
      </c>
      <c r="L320">
        <v>0</v>
      </c>
      <c r="M320">
        <v>0</v>
      </c>
      <c r="N320">
        <v>2400</v>
      </c>
    </row>
    <row r="321" spans="1:14" x14ac:dyDescent="0.25">
      <c r="A321">
        <v>80.316362999999996</v>
      </c>
      <c r="B321" s="1">
        <f>DATE(2010,7,20) + TIME(7,35,33)</f>
        <v>40379.316354166665</v>
      </c>
      <c r="C321">
        <v>80</v>
      </c>
      <c r="D321">
        <v>79.905715942</v>
      </c>
      <c r="E321">
        <v>50</v>
      </c>
      <c r="F321">
        <v>14.994397163</v>
      </c>
      <c r="G321">
        <v>1386.9566649999999</v>
      </c>
      <c r="H321">
        <v>1373.7729492000001</v>
      </c>
      <c r="I321">
        <v>1251.4909668</v>
      </c>
      <c r="J321">
        <v>1212.0511475000001</v>
      </c>
      <c r="K321">
        <v>2400</v>
      </c>
      <c r="L321">
        <v>0</v>
      </c>
      <c r="M321">
        <v>0</v>
      </c>
      <c r="N321">
        <v>2400</v>
      </c>
    </row>
    <row r="322" spans="1:14" x14ac:dyDescent="0.25">
      <c r="A322">
        <v>81.087046999999998</v>
      </c>
      <c r="B322" s="1">
        <f>DATE(2010,7,21) + TIME(2,5,20)</f>
        <v>40380.087037037039</v>
      </c>
      <c r="C322">
        <v>80</v>
      </c>
      <c r="D322">
        <v>79.905815125000004</v>
      </c>
      <c r="E322">
        <v>50</v>
      </c>
      <c r="F322">
        <v>14.994443893</v>
      </c>
      <c r="G322">
        <v>1386.8880615</v>
      </c>
      <c r="H322">
        <v>1373.7087402</v>
      </c>
      <c r="I322">
        <v>1251.5065918</v>
      </c>
      <c r="J322">
        <v>1212.0666504000001</v>
      </c>
      <c r="K322">
        <v>2400</v>
      </c>
      <c r="L322">
        <v>0</v>
      </c>
      <c r="M322">
        <v>0</v>
      </c>
      <c r="N322">
        <v>2400</v>
      </c>
    </row>
    <row r="323" spans="1:14" x14ac:dyDescent="0.25">
      <c r="A323">
        <v>81.862637000000007</v>
      </c>
      <c r="B323" s="1">
        <f>DATE(2010,7,21) + TIME(20,42,11)</f>
        <v>40380.862627314818</v>
      </c>
      <c r="C323">
        <v>80</v>
      </c>
      <c r="D323">
        <v>79.905914307000003</v>
      </c>
      <c r="E323">
        <v>50</v>
      </c>
      <c r="F323">
        <v>14.99448967</v>
      </c>
      <c r="G323">
        <v>1386.8195800999999</v>
      </c>
      <c r="H323">
        <v>1373.6446533000001</v>
      </c>
      <c r="I323">
        <v>1251.5225829999999</v>
      </c>
      <c r="J323">
        <v>1212.0825195</v>
      </c>
      <c r="K323">
        <v>2400</v>
      </c>
      <c r="L323">
        <v>0</v>
      </c>
      <c r="M323">
        <v>0</v>
      </c>
      <c r="N323">
        <v>2400</v>
      </c>
    </row>
    <row r="324" spans="1:14" x14ac:dyDescent="0.25">
      <c r="A324">
        <v>82.250730000000004</v>
      </c>
      <c r="B324" s="1">
        <f>DATE(2010,7,22) + TIME(6,1,3)</f>
        <v>40381.25072916667</v>
      </c>
      <c r="C324">
        <v>80</v>
      </c>
      <c r="D324">
        <v>79.905921935999999</v>
      </c>
      <c r="E324">
        <v>50</v>
      </c>
      <c r="F324">
        <v>14.994521141</v>
      </c>
      <c r="G324">
        <v>1386.7681885</v>
      </c>
      <c r="H324">
        <v>1373.5972899999999</v>
      </c>
      <c r="I324">
        <v>1251.5323486</v>
      </c>
      <c r="J324">
        <v>1212.0920410000001</v>
      </c>
      <c r="K324">
        <v>2400</v>
      </c>
      <c r="L324">
        <v>0</v>
      </c>
      <c r="M324">
        <v>0</v>
      </c>
      <c r="N324">
        <v>2400</v>
      </c>
    </row>
    <row r="325" spans="1:14" x14ac:dyDescent="0.25">
      <c r="A325">
        <v>82.638615999999999</v>
      </c>
      <c r="B325" s="1">
        <f>DATE(2010,7,22) + TIME(15,19,36)</f>
        <v>40381.638611111113</v>
      </c>
      <c r="C325">
        <v>80</v>
      </c>
      <c r="D325">
        <v>79.905967712000006</v>
      </c>
      <c r="E325">
        <v>50</v>
      </c>
      <c r="F325">
        <v>14.994549750999999</v>
      </c>
      <c r="G325">
        <v>1386.7271728999999</v>
      </c>
      <c r="H325">
        <v>1373.5587158000001</v>
      </c>
      <c r="I325">
        <v>1251.5423584</v>
      </c>
      <c r="J325">
        <v>1212.1019286999999</v>
      </c>
      <c r="K325">
        <v>2400</v>
      </c>
      <c r="L325">
        <v>0</v>
      </c>
      <c r="M325">
        <v>0</v>
      </c>
      <c r="N325">
        <v>2400</v>
      </c>
    </row>
    <row r="326" spans="1:14" x14ac:dyDescent="0.25">
      <c r="A326">
        <v>83.026501999999994</v>
      </c>
      <c r="B326" s="1">
        <f>DATE(2010,7,23) + TIME(0,38,9)</f>
        <v>40382.026493055557</v>
      </c>
      <c r="C326">
        <v>80</v>
      </c>
      <c r="D326">
        <v>79.906021117999998</v>
      </c>
      <c r="E326">
        <v>50</v>
      </c>
      <c r="F326">
        <v>14.994576454000001</v>
      </c>
      <c r="G326">
        <v>1386.6900635</v>
      </c>
      <c r="H326">
        <v>1373.5236815999999</v>
      </c>
      <c r="I326">
        <v>1251.5520019999999</v>
      </c>
      <c r="J326">
        <v>1212.1114502</v>
      </c>
      <c r="K326">
        <v>2400</v>
      </c>
      <c r="L326">
        <v>0</v>
      </c>
      <c r="M326">
        <v>0</v>
      </c>
      <c r="N326">
        <v>2400</v>
      </c>
    </row>
    <row r="327" spans="1:14" x14ac:dyDescent="0.25">
      <c r="A327">
        <v>83.414389</v>
      </c>
      <c r="B327" s="1">
        <f>DATE(2010,7,23) + TIME(9,56,43)</f>
        <v>40382.414386574077</v>
      </c>
      <c r="C327">
        <v>80</v>
      </c>
      <c r="D327">
        <v>79.906074524000005</v>
      </c>
      <c r="E327">
        <v>50</v>
      </c>
      <c r="F327">
        <v>14.994603157</v>
      </c>
      <c r="G327">
        <v>1386.6544189000001</v>
      </c>
      <c r="H327">
        <v>1373.4902344</v>
      </c>
      <c r="I327">
        <v>1251.5612793</v>
      </c>
      <c r="J327">
        <v>1212.1206055</v>
      </c>
      <c r="K327">
        <v>2400</v>
      </c>
      <c r="L327">
        <v>0</v>
      </c>
      <c r="M327">
        <v>0</v>
      </c>
      <c r="N327">
        <v>2400</v>
      </c>
    </row>
    <row r="328" spans="1:14" x14ac:dyDescent="0.25">
      <c r="A328">
        <v>83.802274999999995</v>
      </c>
      <c r="B328" s="1">
        <f>DATE(2010,7,23) + TIME(19,15,16)</f>
        <v>40382.802268518521</v>
      </c>
      <c r="C328">
        <v>80</v>
      </c>
      <c r="D328">
        <v>79.906127929999997</v>
      </c>
      <c r="E328">
        <v>50</v>
      </c>
      <c r="F328">
        <v>14.994627953</v>
      </c>
      <c r="G328">
        <v>1386.6196289</v>
      </c>
      <c r="H328">
        <v>1373.4575195</v>
      </c>
      <c r="I328">
        <v>1251.5703125</v>
      </c>
      <c r="J328">
        <v>1212.1295166</v>
      </c>
      <c r="K328">
        <v>2400</v>
      </c>
      <c r="L328">
        <v>0</v>
      </c>
      <c r="M328">
        <v>0</v>
      </c>
      <c r="N328">
        <v>2400</v>
      </c>
    </row>
    <row r="329" spans="1:14" x14ac:dyDescent="0.25">
      <c r="A329">
        <v>84.578046999999998</v>
      </c>
      <c r="B329" s="1">
        <f>DATE(2010,7,24) + TIME(13,52,23)</f>
        <v>40383.578043981484</v>
      </c>
      <c r="C329">
        <v>80</v>
      </c>
      <c r="D329">
        <v>79.906272888000004</v>
      </c>
      <c r="E329">
        <v>50</v>
      </c>
      <c r="F329">
        <v>14.994664192</v>
      </c>
      <c r="G329">
        <v>1386.5725098</v>
      </c>
      <c r="H329">
        <v>1373.4127197</v>
      </c>
      <c r="I329">
        <v>1251.5844727000001</v>
      </c>
      <c r="J329">
        <v>1212.1436768000001</v>
      </c>
      <c r="K329">
        <v>2400</v>
      </c>
      <c r="L329">
        <v>0</v>
      </c>
      <c r="M329">
        <v>0</v>
      </c>
      <c r="N329">
        <v>2400</v>
      </c>
    </row>
    <row r="330" spans="1:14" x14ac:dyDescent="0.25">
      <c r="A330">
        <v>85.354320999999999</v>
      </c>
      <c r="B330" s="1">
        <f>DATE(2010,7,25) + TIME(8,30,13)</f>
        <v>40384.354317129626</v>
      </c>
      <c r="C330">
        <v>80</v>
      </c>
      <c r="D330">
        <v>79.906372070000003</v>
      </c>
      <c r="E330">
        <v>50</v>
      </c>
      <c r="F330">
        <v>14.9947052</v>
      </c>
      <c r="G330">
        <v>1386.5113524999999</v>
      </c>
      <c r="H330">
        <v>1373.3555908000001</v>
      </c>
      <c r="I330">
        <v>1251.5993652</v>
      </c>
      <c r="J330">
        <v>1212.1583252</v>
      </c>
      <c r="K330">
        <v>2400</v>
      </c>
      <c r="L330">
        <v>0</v>
      </c>
      <c r="M330">
        <v>0</v>
      </c>
      <c r="N330">
        <v>2400</v>
      </c>
    </row>
    <row r="331" spans="1:14" x14ac:dyDescent="0.25">
      <c r="A331">
        <v>86.135321000000005</v>
      </c>
      <c r="B331" s="1">
        <f>DATE(2010,7,26) + TIME(3,14,51)</f>
        <v>40385.135312500002</v>
      </c>
      <c r="C331">
        <v>80</v>
      </c>
      <c r="D331">
        <v>79.906463622999993</v>
      </c>
      <c r="E331">
        <v>50</v>
      </c>
      <c r="F331">
        <v>14.994749068999999</v>
      </c>
      <c r="G331">
        <v>1386.4470214999999</v>
      </c>
      <c r="H331">
        <v>1373.2952881000001</v>
      </c>
      <c r="I331">
        <v>1251.6152344</v>
      </c>
      <c r="J331">
        <v>1212.1739502</v>
      </c>
      <c r="K331">
        <v>2400</v>
      </c>
      <c r="L331">
        <v>0</v>
      </c>
      <c r="M331">
        <v>0</v>
      </c>
      <c r="N331">
        <v>2400</v>
      </c>
    </row>
    <row r="332" spans="1:14" x14ac:dyDescent="0.25">
      <c r="A332">
        <v>86.922617000000002</v>
      </c>
      <c r="B332" s="1">
        <f>DATE(2010,7,26) + TIME(22,8,34)</f>
        <v>40385.922615740739</v>
      </c>
      <c r="C332">
        <v>80</v>
      </c>
      <c r="D332">
        <v>79.906562804999993</v>
      </c>
      <c r="E332">
        <v>50</v>
      </c>
      <c r="F332">
        <v>14.994793892000001</v>
      </c>
      <c r="G332">
        <v>1386.3818358999999</v>
      </c>
      <c r="H332">
        <v>1373.2341309000001</v>
      </c>
      <c r="I332">
        <v>1251.6318358999999</v>
      </c>
      <c r="J332">
        <v>1212.1903076000001</v>
      </c>
      <c r="K332">
        <v>2400</v>
      </c>
      <c r="L332">
        <v>0</v>
      </c>
      <c r="M332">
        <v>0</v>
      </c>
      <c r="N332">
        <v>2400</v>
      </c>
    </row>
    <row r="333" spans="1:14" x14ac:dyDescent="0.25">
      <c r="A333">
        <v>87.716813000000002</v>
      </c>
      <c r="B333" s="1">
        <f>DATE(2010,7,27) + TIME(17,12,12)</f>
        <v>40386.716805555552</v>
      </c>
      <c r="C333">
        <v>80</v>
      </c>
      <c r="D333">
        <v>79.906661987000007</v>
      </c>
      <c r="E333">
        <v>50</v>
      </c>
      <c r="F333">
        <v>14.994840622</v>
      </c>
      <c r="G333">
        <v>1386.3162841999999</v>
      </c>
      <c r="H333">
        <v>1373.1726074000001</v>
      </c>
      <c r="I333">
        <v>1251.6489257999999</v>
      </c>
      <c r="J333">
        <v>1212.2071533000001</v>
      </c>
      <c r="K333">
        <v>2400</v>
      </c>
      <c r="L333">
        <v>0</v>
      </c>
      <c r="M333">
        <v>0</v>
      </c>
      <c r="N333">
        <v>2400</v>
      </c>
    </row>
    <row r="334" spans="1:14" x14ac:dyDescent="0.25">
      <c r="A334">
        <v>88.515933000000004</v>
      </c>
      <c r="B334" s="1">
        <f>DATE(2010,7,28) + TIME(12,22,56)</f>
        <v>40387.515925925924</v>
      </c>
      <c r="C334">
        <v>80</v>
      </c>
      <c r="D334">
        <v>79.906768799000005</v>
      </c>
      <c r="E334">
        <v>50</v>
      </c>
      <c r="F334">
        <v>14.994888306</v>
      </c>
      <c r="G334">
        <v>1386.2504882999999</v>
      </c>
      <c r="H334">
        <v>1373.1109618999999</v>
      </c>
      <c r="I334">
        <v>1251.6665039</v>
      </c>
      <c r="J334">
        <v>1212.2244873</v>
      </c>
      <c r="K334">
        <v>2400</v>
      </c>
      <c r="L334">
        <v>0</v>
      </c>
      <c r="M334">
        <v>0</v>
      </c>
      <c r="N334">
        <v>2400</v>
      </c>
    </row>
    <row r="335" spans="1:14" x14ac:dyDescent="0.25">
      <c r="A335">
        <v>89.320742999999993</v>
      </c>
      <c r="B335" s="1">
        <f>DATE(2010,7,29) + TIME(7,41,52)</f>
        <v>40388.320740740739</v>
      </c>
      <c r="C335">
        <v>80</v>
      </c>
      <c r="D335">
        <v>79.906867981000005</v>
      </c>
      <c r="E335">
        <v>50</v>
      </c>
      <c r="F335">
        <v>14.994935989</v>
      </c>
      <c r="G335">
        <v>1386.1848144999999</v>
      </c>
      <c r="H335">
        <v>1373.0490723</v>
      </c>
      <c r="I335">
        <v>1251.6844481999999</v>
      </c>
      <c r="J335">
        <v>1212.2421875</v>
      </c>
      <c r="K335">
        <v>2400</v>
      </c>
      <c r="L335">
        <v>0</v>
      </c>
      <c r="M335">
        <v>0</v>
      </c>
      <c r="N335">
        <v>2400</v>
      </c>
    </row>
    <row r="336" spans="1:14" x14ac:dyDescent="0.25">
      <c r="A336">
        <v>90.129822000000004</v>
      </c>
      <c r="B336" s="1">
        <f>DATE(2010,7,30) + TIME(3,6,56)</f>
        <v>40389.129814814813</v>
      </c>
      <c r="C336">
        <v>80</v>
      </c>
      <c r="D336">
        <v>79.906974792</v>
      </c>
      <c r="E336">
        <v>50</v>
      </c>
      <c r="F336">
        <v>14.99498558</v>
      </c>
      <c r="G336">
        <v>1386.1190185999999</v>
      </c>
      <c r="H336">
        <v>1372.9873047000001</v>
      </c>
      <c r="I336">
        <v>1251.7027588000001</v>
      </c>
      <c r="J336">
        <v>1212.2601318</v>
      </c>
      <c r="K336">
        <v>2400</v>
      </c>
      <c r="L336">
        <v>0</v>
      </c>
      <c r="M336">
        <v>0</v>
      </c>
      <c r="N336">
        <v>2400</v>
      </c>
    </row>
    <row r="337" spans="1:14" x14ac:dyDescent="0.25">
      <c r="A337">
        <v>90.942548000000002</v>
      </c>
      <c r="B337" s="1">
        <f>DATE(2010,7,30) + TIME(22,37,16)</f>
        <v>40389.942546296297</v>
      </c>
      <c r="C337">
        <v>80</v>
      </c>
      <c r="D337">
        <v>79.907073975000003</v>
      </c>
      <c r="E337">
        <v>50</v>
      </c>
      <c r="F337">
        <v>14.995035172</v>
      </c>
      <c r="G337">
        <v>1386.0534668</v>
      </c>
      <c r="H337">
        <v>1372.9256591999999</v>
      </c>
      <c r="I337">
        <v>1251.7213135</v>
      </c>
      <c r="J337">
        <v>1212.2784423999999</v>
      </c>
      <c r="K337">
        <v>2400</v>
      </c>
      <c r="L337">
        <v>0</v>
      </c>
      <c r="M337">
        <v>0</v>
      </c>
      <c r="N337">
        <v>2400</v>
      </c>
    </row>
    <row r="338" spans="1:14" x14ac:dyDescent="0.25">
      <c r="A338">
        <v>91.760396999999998</v>
      </c>
      <c r="B338" s="1">
        <f>DATE(2010,7,31) + TIME(18,14,58)</f>
        <v>40390.760393518518</v>
      </c>
      <c r="C338">
        <v>80</v>
      </c>
      <c r="D338">
        <v>79.907180785999998</v>
      </c>
      <c r="E338">
        <v>50</v>
      </c>
      <c r="F338">
        <v>14.995086669999999</v>
      </c>
      <c r="G338">
        <v>1385.9880370999999</v>
      </c>
      <c r="H338">
        <v>1372.8641356999999</v>
      </c>
      <c r="I338">
        <v>1251.7402344</v>
      </c>
      <c r="J338">
        <v>1212.2969971</v>
      </c>
      <c r="K338">
        <v>2400</v>
      </c>
      <c r="L338">
        <v>0</v>
      </c>
      <c r="M338">
        <v>0</v>
      </c>
      <c r="N338">
        <v>2400</v>
      </c>
    </row>
    <row r="339" spans="1:14" x14ac:dyDescent="0.25">
      <c r="A339">
        <v>92</v>
      </c>
      <c r="B339" s="1">
        <f>DATE(2010,8,1) + TIME(0,0,0)</f>
        <v>40391</v>
      </c>
      <c r="C339">
        <v>80</v>
      </c>
      <c r="D339">
        <v>79.907173157000003</v>
      </c>
      <c r="E339">
        <v>50</v>
      </c>
      <c r="F339">
        <v>14.995110512</v>
      </c>
      <c r="G339">
        <v>1385.9516602000001</v>
      </c>
      <c r="H339">
        <v>1372.8309326000001</v>
      </c>
      <c r="I339">
        <v>1251.7475586</v>
      </c>
      <c r="J339">
        <v>1212.3040771000001</v>
      </c>
      <c r="K339">
        <v>2400</v>
      </c>
      <c r="L339">
        <v>0</v>
      </c>
      <c r="M339">
        <v>0</v>
      </c>
      <c r="N339">
        <v>2400</v>
      </c>
    </row>
    <row r="340" spans="1:14" x14ac:dyDescent="0.25">
      <c r="A340">
        <v>92.821499000000003</v>
      </c>
      <c r="B340" s="1">
        <f>DATE(2010,8,1) + TIME(19,42,57)</f>
        <v>40391.821493055555</v>
      </c>
      <c r="C340">
        <v>80</v>
      </c>
      <c r="D340">
        <v>79.907310486</v>
      </c>
      <c r="E340">
        <v>50</v>
      </c>
      <c r="F340">
        <v>14.995159148999999</v>
      </c>
      <c r="G340">
        <v>1385.8989257999999</v>
      </c>
      <c r="H340">
        <v>1372.7801514</v>
      </c>
      <c r="I340">
        <v>1251.7667236</v>
      </c>
      <c r="J340">
        <v>1212.3229980000001</v>
      </c>
      <c r="K340">
        <v>2400</v>
      </c>
      <c r="L340">
        <v>0</v>
      </c>
      <c r="M340">
        <v>0</v>
      </c>
      <c r="N340">
        <v>2400</v>
      </c>
    </row>
    <row r="341" spans="1:14" x14ac:dyDescent="0.25">
      <c r="A341">
        <v>93.645740000000004</v>
      </c>
      <c r="B341" s="1">
        <f>DATE(2010,8,2) + TIME(15,29,51)</f>
        <v>40392.645729166667</v>
      </c>
      <c r="C341">
        <v>80</v>
      </c>
      <c r="D341">
        <v>79.907424926999994</v>
      </c>
      <c r="E341">
        <v>50</v>
      </c>
      <c r="F341">
        <v>14.995211600999999</v>
      </c>
      <c r="G341">
        <v>1385.8370361</v>
      </c>
      <c r="H341">
        <v>1372.7219238</v>
      </c>
      <c r="I341">
        <v>1251.7854004000001</v>
      </c>
      <c r="J341">
        <v>1212.3414307</v>
      </c>
      <c r="K341">
        <v>2400</v>
      </c>
      <c r="L341">
        <v>0</v>
      </c>
      <c r="M341">
        <v>0</v>
      </c>
      <c r="N341">
        <v>2400</v>
      </c>
    </row>
    <row r="342" spans="1:14" x14ac:dyDescent="0.25">
      <c r="A342">
        <v>94.470374000000007</v>
      </c>
      <c r="B342" s="1">
        <f>DATE(2010,8,3) + TIME(11,17,20)</f>
        <v>40393.470370370371</v>
      </c>
      <c r="C342">
        <v>80</v>
      </c>
      <c r="D342">
        <v>79.907531738000003</v>
      </c>
      <c r="E342">
        <v>50</v>
      </c>
      <c r="F342">
        <v>14.995265960999999</v>
      </c>
      <c r="G342">
        <v>1385.7733154</v>
      </c>
      <c r="H342">
        <v>1372.6618652</v>
      </c>
      <c r="I342">
        <v>1251.8046875</v>
      </c>
      <c r="J342">
        <v>1212.3603516000001</v>
      </c>
      <c r="K342">
        <v>2400</v>
      </c>
      <c r="L342">
        <v>0</v>
      </c>
      <c r="M342">
        <v>0</v>
      </c>
      <c r="N342">
        <v>2400</v>
      </c>
    </row>
    <row r="343" spans="1:14" x14ac:dyDescent="0.25">
      <c r="A343">
        <v>95.297096999999994</v>
      </c>
      <c r="B343" s="1">
        <f>DATE(2010,8,4) + TIME(7,7,49)</f>
        <v>40394.297094907408</v>
      </c>
      <c r="C343">
        <v>80</v>
      </c>
      <c r="D343">
        <v>79.907638550000001</v>
      </c>
      <c r="E343">
        <v>50</v>
      </c>
      <c r="F343">
        <v>14.995323181</v>
      </c>
      <c r="G343">
        <v>1385.7093506000001</v>
      </c>
      <c r="H343">
        <v>1372.6016846</v>
      </c>
      <c r="I343">
        <v>1251.8244629000001</v>
      </c>
      <c r="J343">
        <v>1212.3797606999999</v>
      </c>
      <c r="K343">
        <v>2400</v>
      </c>
      <c r="L343">
        <v>0</v>
      </c>
      <c r="M343">
        <v>0</v>
      </c>
      <c r="N343">
        <v>2400</v>
      </c>
    </row>
    <row r="344" spans="1:14" x14ac:dyDescent="0.25">
      <c r="A344">
        <v>96.127419000000003</v>
      </c>
      <c r="B344" s="1">
        <f>DATE(2010,8,5) + TIME(3,3,29)</f>
        <v>40395.127418981479</v>
      </c>
      <c r="C344">
        <v>80</v>
      </c>
      <c r="D344">
        <v>79.907745360999996</v>
      </c>
      <c r="E344">
        <v>50</v>
      </c>
      <c r="F344">
        <v>14.995383263000001</v>
      </c>
      <c r="G344">
        <v>1385.6455077999999</v>
      </c>
      <c r="H344">
        <v>1372.5415039</v>
      </c>
      <c r="I344">
        <v>1251.8447266000001</v>
      </c>
      <c r="J344">
        <v>1212.3994141000001</v>
      </c>
      <c r="K344">
        <v>2400</v>
      </c>
      <c r="L344">
        <v>0</v>
      </c>
      <c r="M344">
        <v>0</v>
      </c>
      <c r="N344">
        <v>2400</v>
      </c>
    </row>
    <row r="345" spans="1:14" x14ac:dyDescent="0.25">
      <c r="A345">
        <v>96.961642999999995</v>
      </c>
      <c r="B345" s="1">
        <f>DATE(2010,8,5) + TIME(23,4,45)</f>
        <v>40395.961631944447</v>
      </c>
      <c r="C345">
        <v>80</v>
      </c>
      <c r="D345">
        <v>79.907852172999995</v>
      </c>
      <c r="E345">
        <v>50</v>
      </c>
      <c r="F345">
        <v>14.995446205</v>
      </c>
      <c r="G345">
        <v>1385.5819091999999</v>
      </c>
      <c r="H345">
        <v>1372.4814452999999</v>
      </c>
      <c r="I345">
        <v>1251.8652344</v>
      </c>
      <c r="J345">
        <v>1212.4195557</v>
      </c>
      <c r="K345">
        <v>2400</v>
      </c>
      <c r="L345">
        <v>0</v>
      </c>
      <c r="M345">
        <v>0</v>
      </c>
      <c r="N345">
        <v>2400</v>
      </c>
    </row>
    <row r="346" spans="1:14" x14ac:dyDescent="0.25">
      <c r="A346">
        <v>97.799107000000006</v>
      </c>
      <c r="B346" s="1">
        <f>DATE(2010,8,6) + TIME(19,10,42)</f>
        <v>40396.799097222225</v>
      </c>
      <c r="C346">
        <v>80</v>
      </c>
      <c r="D346">
        <v>79.907958984000004</v>
      </c>
      <c r="E346">
        <v>50</v>
      </c>
      <c r="F346">
        <v>14.995512009</v>
      </c>
      <c r="G346">
        <v>1385.5184326000001</v>
      </c>
      <c r="H346">
        <v>1372.4215088000001</v>
      </c>
      <c r="I346">
        <v>1251.8859863</v>
      </c>
      <c r="J346">
        <v>1212.4399414</v>
      </c>
      <c r="K346">
        <v>2400</v>
      </c>
      <c r="L346">
        <v>0</v>
      </c>
      <c r="M346">
        <v>0</v>
      </c>
      <c r="N346">
        <v>2400</v>
      </c>
    </row>
    <row r="347" spans="1:14" x14ac:dyDescent="0.25">
      <c r="A347">
        <v>98.640096999999997</v>
      </c>
      <c r="B347" s="1">
        <f>DATE(2010,8,7) + TIME(15,21,44)</f>
        <v>40397.640092592592</v>
      </c>
      <c r="C347">
        <v>80</v>
      </c>
      <c r="D347">
        <v>79.908073424999998</v>
      </c>
      <c r="E347">
        <v>50</v>
      </c>
      <c r="F347">
        <v>14.995582581000001</v>
      </c>
      <c r="G347">
        <v>1385.4550781</v>
      </c>
      <c r="H347">
        <v>1372.3616943</v>
      </c>
      <c r="I347">
        <v>1251.9072266000001</v>
      </c>
      <c r="J347">
        <v>1212.4605713000001</v>
      </c>
      <c r="K347">
        <v>2400</v>
      </c>
      <c r="L347">
        <v>0</v>
      </c>
      <c r="M347">
        <v>0</v>
      </c>
      <c r="N347">
        <v>2400</v>
      </c>
    </row>
    <row r="348" spans="1:14" x14ac:dyDescent="0.25">
      <c r="A348">
        <v>99.482566000000006</v>
      </c>
      <c r="B348" s="1">
        <f>DATE(2010,8,8) + TIME(11,34,53)</f>
        <v>40398.482557870368</v>
      </c>
      <c r="C348">
        <v>80</v>
      </c>
      <c r="D348">
        <v>79.908180236999996</v>
      </c>
      <c r="E348">
        <v>50</v>
      </c>
      <c r="F348">
        <v>14.995656967</v>
      </c>
      <c r="G348">
        <v>1385.3919678</v>
      </c>
      <c r="H348">
        <v>1372.3022461</v>
      </c>
      <c r="I348">
        <v>1251.9285889</v>
      </c>
      <c r="J348">
        <v>1212.4815673999999</v>
      </c>
      <c r="K348">
        <v>2400</v>
      </c>
      <c r="L348">
        <v>0</v>
      </c>
      <c r="M348">
        <v>0</v>
      </c>
      <c r="N348">
        <v>2400</v>
      </c>
    </row>
    <row r="349" spans="1:14" x14ac:dyDescent="0.25">
      <c r="A349">
        <v>100.32808900000001</v>
      </c>
      <c r="B349" s="1">
        <f>DATE(2010,8,9) + TIME(7,52,26)</f>
        <v>40399.3280787037</v>
      </c>
      <c r="C349">
        <v>80</v>
      </c>
      <c r="D349">
        <v>79.908287048000005</v>
      </c>
      <c r="E349">
        <v>50</v>
      </c>
      <c r="F349">
        <v>14.995737075999999</v>
      </c>
      <c r="G349">
        <v>1385.3292236</v>
      </c>
      <c r="H349">
        <v>1372.2429199000001</v>
      </c>
      <c r="I349">
        <v>1251.9504394999999</v>
      </c>
      <c r="J349">
        <v>1212.5028076000001</v>
      </c>
      <c r="K349">
        <v>2400</v>
      </c>
      <c r="L349">
        <v>0</v>
      </c>
      <c r="M349">
        <v>0</v>
      </c>
      <c r="N349">
        <v>2400</v>
      </c>
    </row>
    <row r="350" spans="1:14" x14ac:dyDescent="0.25">
      <c r="A350">
        <v>100.75209599999999</v>
      </c>
      <c r="B350" s="1">
        <f>DATE(2010,8,9) + TIME(18,3,1)</f>
        <v>40399.75209490741</v>
      </c>
      <c r="C350">
        <v>80</v>
      </c>
      <c r="D350">
        <v>79.908309936999999</v>
      </c>
      <c r="E350">
        <v>50</v>
      </c>
      <c r="F350">
        <v>14.995796203999999</v>
      </c>
      <c r="G350">
        <v>1385.2832031</v>
      </c>
      <c r="H350">
        <v>1372.1999512</v>
      </c>
      <c r="I350">
        <v>1251.9645995999999</v>
      </c>
      <c r="J350">
        <v>1212.5164795000001</v>
      </c>
      <c r="K350">
        <v>2400</v>
      </c>
      <c r="L350">
        <v>0</v>
      </c>
      <c r="M350">
        <v>0</v>
      </c>
      <c r="N350">
        <v>2400</v>
      </c>
    </row>
    <row r="351" spans="1:14" x14ac:dyDescent="0.25">
      <c r="A351">
        <v>101.176102</v>
      </c>
      <c r="B351" s="1">
        <f>DATE(2010,8,10) + TIME(4,13,35)</f>
        <v>40400.176099537035</v>
      </c>
      <c r="C351">
        <v>80</v>
      </c>
      <c r="D351">
        <v>79.908363342000001</v>
      </c>
      <c r="E351">
        <v>50</v>
      </c>
      <c r="F351">
        <v>14.995852470000001</v>
      </c>
      <c r="G351">
        <v>1385.2454834</v>
      </c>
      <c r="H351">
        <v>1372.1641846</v>
      </c>
      <c r="I351">
        <v>1251.9785156</v>
      </c>
      <c r="J351">
        <v>1212.5300293</v>
      </c>
      <c r="K351">
        <v>2400</v>
      </c>
      <c r="L351">
        <v>0</v>
      </c>
      <c r="M351">
        <v>0</v>
      </c>
      <c r="N351">
        <v>2400</v>
      </c>
    </row>
    <row r="352" spans="1:14" x14ac:dyDescent="0.25">
      <c r="A352">
        <v>101.60010800000001</v>
      </c>
      <c r="B352" s="1">
        <f>DATE(2010,8,10) + TIME(14,24,9)</f>
        <v>40400.600104166668</v>
      </c>
      <c r="C352">
        <v>80</v>
      </c>
      <c r="D352">
        <v>79.908416747999993</v>
      </c>
      <c r="E352">
        <v>50</v>
      </c>
      <c r="F352">
        <v>14.995907784</v>
      </c>
      <c r="G352">
        <v>1385.2113036999999</v>
      </c>
      <c r="H352">
        <v>1372.1317139</v>
      </c>
      <c r="I352">
        <v>1251.9916992000001</v>
      </c>
      <c r="J352">
        <v>1212.5428466999999</v>
      </c>
      <c r="K352">
        <v>2400</v>
      </c>
      <c r="L352">
        <v>0</v>
      </c>
      <c r="M352">
        <v>0</v>
      </c>
      <c r="N352">
        <v>2400</v>
      </c>
    </row>
    <row r="353" spans="1:14" x14ac:dyDescent="0.25">
      <c r="A353">
        <v>102.02411499999999</v>
      </c>
      <c r="B353" s="1">
        <f>DATE(2010,8,11) + TIME(0,34,43)</f>
        <v>40401.024108796293</v>
      </c>
      <c r="C353">
        <v>80</v>
      </c>
      <c r="D353">
        <v>79.908477782999995</v>
      </c>
      <c r="E353">
        <v>50</v>
      </c>
      <c r="F353">
        <v>14.995963097000001</v>
      </c>
      <c r="G353">
        <v>1385.1784668</v>
      </c>
      <c r="H353">
        <v>1372.1005858999999</v>
      </c>
      <c r="I353">
        <v>1252.0042725000001</v>
      </c>
      <c r="J353">
        <v>1212.5551757999999</v>
      </c>
      <c r="K353">
        <v>2400</v>
      </c>
      <c r="L353">
        <v>0</v>
      </c>
      <c r="M353">
        <v>0</v>
      </c>
      <c r="N353">
        <v>2400</v>
      </c>
    </row>
    <row r="354" spans="1:14" x14ac:dyDescent="0.25">
      <c r="A354">
        <v>102.448121</v>
      </c>
      <c r="B354" s="1">
        <f>DATE(2010,8,11) + TIME(10,45,17)</f>
        <v>40401.448113425926</v>
      </c>
      <c r="C354">
        <v>80</v>
      </c>
      <c r="D354">
        <v>79.908538817999997</v>
      </c>
      <c r="E354">
        <v>50</v>
      </c>
      <c r="F354">
        <v>14.996019363</v>
      </c>
      <c r="G354">
        <v>1385.1464844</v>
      </c>
      <c r="H354">
        <v>1372.0701904</v>
      </c>
      <c r="I354">
        <v>1252.0164795000001</v>
      </c>
      <c r="J354">
        <v>1212.5670166</v>
      </c>
      <c r="K354">
        <v>2400</v>
      </c>
      <c r="L354">
        <v>0</v>
      </c>
      <c r="M354">
        <v>0</v>
      </c>
      <c r="N354">
        <v>2400</v>
      </c>
    </row>
    <row r="355" spans="1:14" x14ac:dyDescent="0.25">
      <c r="A355">
        <v>102.872128</v>
      </c>
      <c r="B355" s="1">
        <f>DATE(2010,8,11) + TIME(20,55,51)</f>
        <v>40401.872118055559</v>
      </c>
      <c r="C355">
        <v>80</v>
      </c>
      <c r="D355">
        <v>79.908592224000003</v>
      </c>
      <c r="E355">
        <v>50</v>
      </c>
      <c r="F355">
        <v>14.996077538</v>
      </c>
      <c r="G355">
        <v>1385.1148682</v>
      </c>
      <c r="H355">
        <v>1372.0402832</v>
      </c>
      <c r="I355">
        <v>1252.0284423999999</v>
      </c>
      <c r="J355">
        <v>1212.5787353999999</v>
      </c>
      <c r="K355">
        <v>2400</v>
      </c>
      <c r="L355">
        <v>0</v>
      </c>
      <c r="M355">
        <v>0</v>
      </c>
      <c r="N355">
        <v>2400</v>
      </c>
    </row>
    <row r="356" spans="1:14" x14ac:dyDescent="0.25">
      <c r="A356">
        <v>103.72014</v>
      </c>
      <c r="B356" s="1">
        <f>DATE(2010,8,12) + TIME(17,17,0)</f>
        <v>40402.720138888886</v>
      </c>
      <c r="C356">
        <v>80</v>
      </c>
      <c r="D356">
        <v>79.908737183</v>
      </c>
      <c r="E356">
        <v>50</v>
      </c>
      <c r="F356">
        <v>14.996166229</v>
      </c>
      <c r="G356">
        <v>1385.0710449000001</v>
      </c>
      <c r="H356">
        <v>1371.9982910000001</v>
      </c>
      <c r="I356">
        <v>1252.0466309000001</v>
      </c>
      <c r="J356">
        <v>1212.5965576000001</v>
      </c>
      <c r="K356">
        <v>2400</v>
      </c>
      <c r="L356">
        <v>0</v>
      </c>
      <c r="M356">
        <v>0</v>
      </c>
      <c r="N356">
        <v>2400</v>
      </c>
    </row>
    <row r="357" spans="1:14" x14ac:dyDescent="0.25">
      <c r="A357">
        <v>104.569323</v>
      </c>
      <c r="B357" s="1">
        <f>DATE(2010,8,13) + TIME(13,39,49)</f>
        <v>40403.56931712963</v>
      </c>
      <c r="C357">
        <v>80</v>
      </c>
      <c r="D357">
        <v>79.908851623999993</v>
      </c>
      <c r="E357">
        <v>50</v>
      </c>
      <c r="F357">
        <v>14.996278762999999</v>
      </c>
      <c r="G357">
        <v>1385.0153809000001</v>
      </c>
      <c r="H357">
        <v>1371.9458007999999</v>
      </c>
      <c r="I357">
        <v>1252.0670166</v>
      </c>
      <c r="J357">
        <v>1212.6163329999999</v>
      </c>
      <c r="K357">
        <v>2400</v>
      </c>
      <c r="L357">
        <v>0</v>
      </c>
      <c r="M357">
        <v>0</v>
      </c>
      <c r="N357">
        <v>2400</v>
      </c>
    </row>
    <row r="358" spans="1:14" x14ac:dyDescent="0.25">
      <c r="A358">
        <v>105.42546900000001</v>
      </c>
      <c r="B358" s="1">
        <f>DATE(2010,8,14) + TIME(10,12,40)</f>
        <v>40404.425462962965</v>
      </c>
      <c r="C358">
        <v>80</v>
      </c>
      <c r="D358">
        <v>79.908958435000002</v>
      </c>
      <c r="E358">
        <v>50</v>
      </c>
      <c r="F358">
        <v>14.99641037</v>
      </c>
      <c r="G358">
        <v>1384.9566649999999</v>
      </c>
      <c r="H358">
        <v>1371.8901367000001</v>
      </c>
      <c r="I358">
        <v>1252.0892334</v>
      </c>
      <c r="J358">
        <v>1212.6378173999999</v>
      </c>
      <c r="K358">
        <v>2400</v>
      </c>
      <c r="L358">
        <v>0</v>
      </c>
      <c r="M358">
        <v>0</v>
      </c>
      <c r="N358">
        <v>2400</v>
      </c>
    </row>
    <row r="359" spans="1:14" x14ac:dyDescent="0.25">
      <c r="A359">
        <v>106.290646</v>
      </c>
      <c r="B359" s="1">
        <f>DATE(2010,8,15) + TIME(6,58,31)</f>
        <v>40405.290636574071</v>
      </c>
      <c r="C359">
        <v>80</v>
      </c>
      <c r="D359">
        <v>79.909065247000001</v>
      </c>
      <c r="E359">
        <v>50</v>
      </c>
      <c r="F359">
        <v>14.996562003999999</v>
      </c>
      <c r="G359">
        <v>1384.8967285000001</v>
      </c>
      <c r="H359">
        <v>1371.8334961</v>
      </c>
      <c r="I359">
        <v>1252.1126709</v>
      </c>
      <c r="J359">
        <v>1212.6605225000001</v>
      </c>
      <c r="K359">
        <v>2400</v>
      </c>
      <c r="L359">
        <v>0</v>
      </c>
      <c r="M359">
        <v>0</v>
      </c>
      <c r="N359">
        <v>2400</v>
      </c>
    </row>
    <row r="360" spans="1:14" x14ac:dyDescent="0.25">
      <c r="A360">
        <v>106.726428</v>
      </c>
      <c r="B360" s="1">
        <f>DATE(2010,8,15) + TIME(17,26,3)</f>
        <v>40405.726423611108</v>
      </c>
      <c r="C360">
        <v>80</v>
      </c>
      <c r="D360">
        <v>79.909088135000005</v>
      </c>
      <c r="E360">
        <v>50</v>
      </c>
      <c r="F360">
        <v>14.996678352</v>
      </c>
      <c r="G360">
        <v>1384.8525391000001</v>
      </c>
      <c r="H360">
        <v>1371.7921143000001</v>
      </c>
      <c r="I360">
        <v>1252.1286620999999</v>
      </c>
      <c r="J360">
        <v>1212.6757812000001</v>
      </c>
      <c r="K360">
        <v>2400</v>
      </c>
      <c r="L360">
        <v>0</v>
      </c>
      <c r="M360">
        <v>0</v>
      </c>
      <c r="N360">
        <v>2400</v>
      </c>
    </row>
    <row r="361" spans="1:14" x14ac:dyDescent="0.25">
      <c r="A361">
        <v>107.16221</v>
      </c>
      <c r="B361" s="1">
        <f>DATE(2010,8,16) + TIME(3,53,34)</f>
        <v>40406.162199074075</v>
      </c>
      <c r="C361">
        <v>80</v>
      </c>
      <c r="D361">
        <v>79.909141540999997</v>
      </c>
      <c r="E361">
        <v>50</v>
      </c>
      <c r="F361">
        <v>14.996792792999999</v>
      </c>
      <c r="G361">
        <v>1384.815918</v>
      </c>
      <c r="H361">
        <v>1371.7573242000001</v>
      </c>
      <c r="I361">
        <v>1252.144043</v>
      </c>
      <c r="J361">
        <v>1212.6906738</v>
      </c>
      <c r="K361">
        <v>2400</v>
      </c>
      <c r="L361">
        <v>0</v>
      </c>
      <c r="M361">
        <v>0</v>
      </c>
      <c r="N361">
        <v>2400</v>
      </c>
    </row>
    <row r="362" spans="1:14" x14ac:dyDescent="0.25">
      <c r="A362">
        <v>107.597992</v>
      </c>
      <c r="B362" s="1">
        <f>DATE(2010,8,16) + TIME(14,21,6)</f>
        <v>40406.597986111112</v>
      </c>
      <c r="C362">
        <v>80</v>
      </c>
      <c r="D362">
        <v>79.909202575999998</v>
      </c>
      <c r="E362">
        <v>50</v>
      </c>
      <c r="F362">
        <v>14.996908188000001</v>
      </c>
      <c r="G362">
        <v>1384.7825928</v>
      </c>
      <c r="H362">
        <v>1371.7255858999999</v>
      </c>
      <c r="I362">
        <v>1252.1585693</v>
      </c>
      <c r="J362">
        <v>1212.7048339999999</v>
      </c>
      <c r="K362">
        <v>2400</v>
      </c>
      <c r="L362">
        <v>0</v>
      </c>
      <c r="M362">
        <v>0</v>
      </c>
      <c r="N362">
        <v>2400</v>
      </c>
    </row>
    <row r="363" spans="1:14" x14ac:dyDescent="0.25">
      <c r="A363">
        <v>108.03377399999999</v>
      </c>
      <c r="B363" s="1">
        <f>DATE(2010,8,17) + TIME(0,48,38)</f>
        <v>40407.033773148149</v>
      </c>
      <c r="C363">
        <v>80</v>
      </c>
      <c r="D363">
        <v>79.909255981000001</v>
      </c>
      <c r="E363">
        <v>50</v>
      </c>
      <c r="F363">
        <v>14.997026442999999</v>
      </c>
      <c r="G363">
        <v>1384.7506103999999</v>
      </c>
      <c r="H363">
        <v>1371.6951904</v>
      </c>
      <c r="I363">
        <v>1252.1724853999999</v>
      </c>
      <c r="J363">
        <v>1212.7182617000001</v>
      </c>
      <c r="K363">
        <v>2400</v>
      </c>
      <c r="L363">
        <v>0</v>
      </c>
      <c r="M363">
        <v>0</v>
      </c>
      <c r="N363">
        <v>2400</v>
      </c>
    </row>
    <row r="364" spans="1:14" x14ac:dyDescent="0.25">
      <c r="A364">
        <v>108.469556</v>
      </c>
      <c r="B364" s="1">
        <f>DATE(2010,8,17) + TIME(11,16,9)</f>
        <v>40407.469548611109</v>
      </c>
      <c r="C364">
        <v>80</v>
      </c>
      <c r="D364">
        <v>79.909317017000006</v>
      </c>
      <c r="E364">
        <v>50</v>
      </c>
      <c r="F364">
        <v>14.997148513999999</v>
      </c>
      <c r="G364">
        <v>1384.7193603999999</v>
      </c>
      <c r="H364">
        <v>1371.6655272999999</v>
      </c>
      <c r="I364">
        <v>1252.1860352000001</v>
      </c>
      <c r="J364">
        <v>1212.7314452999999</v>
      </c>
      <c r="K364">
        <v>2400</v>
      </c>
      <c r="L364">
        <v>0</v>
      </c>
      <c r="M364">
        <v>0</v>
      </c>
      <c r="N364">
        <v>2400</v>
      </c>
    </row>
    <row r="365" spans="1:14" x14ac:dyDescent="0.25">
      <c r="A365">
        <v>108.905338</v>
      </c>
      <c r="B365" s="1">
        <f>DATE(2010,8,17) + TIME(21,43,41)</f>
        <v>40407.905335648145</v>
      </c>
      <c r="C365">
        <v>80</v>
      </c>
      <c r="D365">
        <v>79.909378051999994</v>
      </c>
      <c r="E365">
        <v>50</v>
      </c>
      <c r="F365">
        <v>14.997277260000001</v>
      </c>
      <c r="G365">
        <v>1384.6885986</v>
      </c>
      <c r="H365">
        <v>1371.6362305</v>
      </c>
      <c r="I365">
        <v>1252.1994629000001</v>
      </c>
      <c r="J365">
        <v>1212.7445068</v>
      </c>
      <c r="K365">
        <v>2400</v>
      </c>
      <c r="L365">
        <v>0</v>
      </c>
      <c r="M365">
        <v>0</v>
      </c>
      <c r="N365">
        <v>2400</v>
      </c>
    </row>
    <row r="366" spans="1:14" x14ac:dyDescent="0.25">
      <c r="A366">
        <v>109.34111900000001</v>
      </c>
      <c r="B366" s="1">
        <f>DATE(2010,8,18) + TIME(8,11,12)</f>
        <v>40408.341111111113</v>
      </c>
      <c r="C366">
        <v>80</v>
      </c>
      <c r="D366">
        <v>79.909439086999996</v>
      </c>
      <c r="E366">
        <v>50</v>
      </c>
      <c r="F366">
        <v>14.997412682</v>
      </c>
      <c r="G366">
        <v>1384.6579589999999</v>
      </c>
      <c r="H366">
        <v>1371.6071777</v>
      </c>
      <c r="I366">
        <v>1252.2128906</v>
      </c>
      <c r="J366">
        <v>1212.7574463000001</v>
      </c>
      <c r="K366">
        <v>2400</v>
      </c>
      <c r="L366">
        <v>0</v>
      </c>
      <c r="M366">
        <v>0</v>
      </c>
      <c r="N366">
        <v>2400</v>
      </c>
    </row>
    <row r="367" spans="1:14" x14ac:dyDescent="0.25">
      <c r="A367">
        <v>109.776901</v>
      </c>
      <c r="B367" s="1">
        <f>DATE(2010,8,18) + TIME(18,38,44)</f>
        <v>40408.776898148149</v>
      </c>
      <c r="C367">
        <v>80</v>
      </c>
      <c r="D367">
        <v>79.909492493000002</v>
      </c>
      <c r="E367">
        <v>50</v>
      </c>
      <c r="F367">
        <v>14.997556685999999</v>
      </c>
      <c r="G367">
        <v>1384.6276855000001</v>
      </c>
      <c r="H367">
        <v>1371.5783690999999</v>
      </c>
      <c r="I367">
        <v>1252.2261963000001</v>
      </c>
      <c r="J367">
        <v>1212.7702637</v>
      </c>
      <c r="K367">
        <v>2400</v>
      </c>
      <c r="L367">
        <v>0</v>
      </c>
      <c r="M367">
        <v>0</v>
      </c>
      <c r="N367">
        <v>2400</v>
      </c>
    </row>
    <row r="368" spans="1:14" x14ac:dyDescent="0.25">
      <c r="A368">
        <v>110.648465</v>
      </c>
      <c r="B368" s="1">
        <f>DATE(2010,8,19) + TIME(15,33,47)</f>
        <v>40409.648460648146</v>
      </c>
      <c r="C368">
        <v>80</v>
      </c>
      <c r="D368">
        <v>79.909637450999995</v>
      </c>
      <c r="E368">
        <v>50</v>
      </c>
      <c r="F368">
        <v>14.997783661</v>
      </c>
      <c r="G368">
        <v>1384.5853271000001</v>
      </c>
      <c r="H368">
        <v>1371.5375977000001</v>
      </c>
      <c r="I368">
        <v>1252.2460937999999</v>
      </c>
      <c r="J368">
        <v>1212.7896728999999</v>
      </c>
      <c r="K368">
        <v>2400</v>
      </c>
      <c r="L368">
        <v>0</v>
      </c>
      <c r="M368">
        <v>0</v>
      </c>
      <c r="N368">
        <v>2400</v>
      </c>
    </row>
    <row r="369" spans="1:14" x14ac:dyDescent="0.25">
      <c r="A369">
        <v>111.521573</v>
      </c>
      <c r="B369" s="1">
        <f>DATE(2010,8,20) + TIME(12,31,3)</f>
        <v>40410.521562499998</v>
      </c>
      <c r="C369">
        <v>80</v>
      </c>
      <c r="D369">
        <v>79.909751892000003</v>
      </c>
      <c r="E369">
        <v>50</v>
      </c>
      <c r="F369">
        <v>14.998079300000001</v>
      </c>
      <c r="G369">
        <v>1384.5314940999999</v>
      </c>
      <c r="H369">
        <v>1371.4866943</v>
      </c>
      <c r="I369">
        <v>1252.2694091999999</v>
      </c>
      <c r="J369">
        <v>1212.8120117000001</v>
      </c>
      <c r="K369">
        <v>2400</v>
      </c>
      <c r="L369">
        <v>0</v>
      </c>
      <c r="M369">
        <v>0</v>
      </c>
      <c r="N369">
        <v>2400</v>
      </c>
    </row>
    <row r="370" spans="1:14" x14ac:dyDescent="0.25">
      <c r="A370">
        <v>112.396779</v>
      </c>
      <c r="B370" s="1">
        <f>DATE(2010,8,21) + TIME(9,31,21)</f>
        <v>40411.396770833337</v>
      </c>
      <c r="C370">
        <v>80</v>
      </c>
      <c r="D370">
        <v>79.909858704000001</v>
      </c>
      <c r="E370">
        <v>50</v>
      </c>
      <c r="F370">
        <v>14.998435974</v>
      </c>
      <c r="G370">
        <v>1384.4744873</v>
      </c>
      <c r="H370">
        <v>1371.4327393000001</v>
      </c>
      <c r="I370">
        <v>1252.2949219</v>
      </c>
      <c r="J370">
        <v>1212.8364257999999</v>
      </c>
      <c r="K370">
        <v>2400</v>
      </c>
      <c r="L370">
        <v>0</v>
      </c>
      <c r="M370">
        <v>0</v>
      </c>
      <c r="N370">
        <v>2400</v>
      </c>
    </row>
    <row r="371" spans="1:14" x14ac:dyDescent="0.25">
      <c r="A371">
        <v>113.27474100000001</v>
      </c>
      <c r="B371" s="1">
        <f>DATE(2010,8,22) + TIME(6,35,37)</f>
        <v>40412.274733796294</v>
      </c>
      <c r="C371">
        <v>80</v>
      </c>
      <c r="D371">
        <v>79.909965514999996</v>
      </c>
      <c r="E371">
        <v>50</v>
      </c>
      <c r="F371">
        <v>14.998851776</v>
      </c>
      <c r="G371">
        <v>1384.4167480000001</v>
      </c>
      <c r="H371">
        <v>1371.3778076000001</v>
      </c>
      <c r="I371">
        <v>1252.3216553</v>
      </c>
      <c r="J371">
        <v>1212.8621826000001</v>
      </c>
      <c r="K371">
        <v>2400</v>
      </c>
      <c r="L371">
        <v>0</v>
      </c>
      <c r="M371">
        <v>0</v>
      </c>
      <c r="N371">
        <v>2400</v>
      </c>
    </row>
    <row r="372" spans="1:14" x14ac:dyDescent="0.25">
      <c r="A372">
        <v>114.157346</v>
      </c>
      <c r="B372" s="1">
        <f>DATE(2010,8,23) + TIME(3,46,34)</f>
        <v>40413.157337962963</v>
      </c>
      <c r="C372">
        <v>80</v>
      </c>
      <c r="D372">
        <v>79.910079956000004</v>
      </c>
      <c r="E372">
        <v>50</v>
      </c>
      <c r="F372">
        <v>14.999332428000001</v>
      </c>
      <c r="G372">
        <v>1384.3587646000001</v>
      </c>
      <c r="H372">
        <v>1371.3227539</v>
      </c>
      <c r="I372">
        <v>1252.3493652</v>
      </c>
      <c r="J372">
        <v>1212.8887939000001</v>
      </c>
      <c r="K372">
        <v>2400</v>
      </c>
      <c r="L372">
        <v>0</v>
      </c>
      <c r="M372">
        <v>0</v>
      </c>
      <c r="N372">
        <v>2400</v>
      </c>
    </row>
    <row r="373" spans="1:14" x14ac:dyDescent="0.25">
      <c r="A373">
        <v>115.046451</v>
      </c>
      <c r="B373" s="1">
        <f>DATE(2010,8,24) + TIME(1,6,53)</f>
        <v>40414.046446759261</v>
      </c>
      <c r="C373">
        <v>80</v>
      </c>
      <c r="D373">
        <v>79.910194396999998</v>
      </c>
      <c r="E373">
        <v>50</v>
      </c>
      <c r="F373">
        <v>14.999885559000001</v>
      </c>
      <c r="G373">
        <v>1384.3005370999999</v>
      </c>
      <c r="H373">
        <v>1371.2673339999999</v>
      </c>
      <c r="I373">
        <v>1252.3779297000001</v>
      </c>
      <c r="J373">
        <v>1212.9161377</v>
      </c>
      <c r="K373">
        <v>2400</v>
      </c>
      <c r="L373">
        <v>0</v>
      </c>
      <c r="M373">
        <v>0</v>
      </c>
      <c r="N373">
        <v>2400</v>
      </c>
    </row>
    <row r="374" spans="1:14" x14ac:dyDescent="0.25">
      <c r="A374">
        <v>115.495268</v>
      </c>
      <c r="B374" s="1">
        <f>DATE(2010,8,24) + TIME(11,53,11)</f>
        <v>40414.495266203703</v>
      </c>
      <c r="C374">
        <v>80</v>
      </c>
      <c r="D374">
        <v>79.910217285000002</v>
      </c>
      <c r="E374">
        <v>50</v>
      </c>
      <c r="F374">
        <v>15.000317574</v>
      </c>
      <c r="G374">
        <v>1384.2581786999999</v>
      </c>
      <c r="H374">
        <v>1371.2275391000001</v>
      </c>
      <c r="I374">
        <v>1252.3979492000001</v>
      </c>
      <c r="J374">
        <v>1212.9349365</v>
      </c>
      <c r="K374">
        <v>2400</v>
      </c>
      <c r="L374">
        <v>0</v>
      </c>
      <c r="M374">
        <v>0</v>
      </c>
      <c r="N374">
        <v>2400</v>
      </c>
    </row>
    <row r="375" spans="1:14" x14ac:dyDescent="0.25">
      <c r="A375">
        <v>115.944085</v>
      </c>
      <c r="B375" s="1">
        <f>DATE(2010,8,24) + TIME(22,39,28)</f>
        <v>40414.944074074076</v>
      </c>
      <c r="C375">
        <v>80</v>
      </c>
      <c r="D375">
        <v>79.910270690999994</v>
      </c>
      <c r="E375">
        <v>50</v>
      </c>
      <c r="F375">
        <v>15.000741959000001</v>
      </c>
      <c r="G375">
        <v>1384.2226562000001</v>
      </c>
      <c r="H375">
        <v>1371.1937256000001</v>
      </c>
      <c r="I375">
        <v>1252.416626</v>
      </c>
      <c r="J375">
        <v>1212.9527588000001</v>
      </c>
      <c r="K375">
        <v>2400</v>
      </c>
      <c r="L375">
        <v>0</v>
      </c>
      <c r="M375">
        <v>0</v>
      </c>
      <c r="N375">
        <v>2400</v>
      </c>
    </row>
    <row r="376" spans="1:14" x14ac:dyDescent="0.25">
      <c r="A376">
        <v>116.39290200000001</v>
      </c>
      <c r="B376" s="1">
        <f>DATE(2010,8,25) + TIME(9,25,46)</f>
        <v>40415.392893518518</v>
      </c>
      <c r="C376">
        <v>80</v>
      </c>
      <c r="D376">
        <v>79.910331725999995</v>
      </c>
      <c r="E376">
        <v>50</v>
      </c>
      <c r="F376">
        <v>15.001172066000001</v>
      </c>
      <c r="G376">
        <v>1384.1904297000001</v>
      </c>
      <c r="H376">
        <v>1371.1628418</v>
      </c>
      <c r="I376">
        <v>1252.4339600000001</v>
      </c>
      <c r="J376">
        <v>1212.9694824000001</v>
      </c>
      <c r="K376">
        <v>2400</v>
      </c>
      <c r="L376">
        <v>0</v>
      </c>
      <c r="M376">
        <v>0</v>
      </c>
      <c r="N376">
        <v>2400</v>
      </c>
    </row>
    <row r="377" spans="1:14" x14ac:dyDescent="0.25">
      <c r="A377">
        <v>116.841719</v>
      </c>
      <c r="B377" s="1">
        <f>DATE(2010,8,25) + TIME(20,12,4)</f>
        <v>40415.84171296296</v>
      </c>
      <c r="C377">
        <v>80</v>
      </c>
      <c r="D377">
        <v>79.910392760999997</v>
      </c>
      <c r="E377">
        <v>50</v>
      </c>
      <c r="F377">
        <v>15.001615524</v>
      </c>
      <c r="G377">
        <v>1384.1594238</v>
      </c>
      <c r="H377">
        <v>1371.1333007999999</v>
      </c>
      <c r="I377">
        <v>1252.4505615</v>
      </c>
      <c r="J377">
        <v>1212.9854736</v>
      </c>
      <c r="K377">
        <v>2400</v>
      </c>
      <c r="L377">
        <v>0</v>
      </c>
      <c r="M377">
        <v>0</v>
      </c>
      <c r="N377">
        <v>2400</v>
      </c>
    </row>
    <row r="378" spans="1:14" x14ac:dyDescent="0.25">
      <c r="A378">
        <v>117.290536</v>
      </c>
      <c r="B378" s="1">
        <f>DATE(2010,8,26) + TIME(6,58,22)</f>
        <v>40416.290532407409</v>
      </c>
      <c r="C378">
        <v>80</v>
      </c>
      <c r="D378">
        <v>79.910453795999999</v>
      </c>
      <c r="E378">
        <v>50</v>
      </c>
      <c r="F378">
        <v>15.002080917000001</v>
      </c>
      <c r="G378">
        <v>1384.1291504000001</v>
      </c>
      <c r="H378">
        <v>1371.1043701000001</v>
      </c>
      <c r="I378">
        <v>1252.4669189000001</v>
      </c>
      <c r="J378">
        <v>1213.0010986</v>
      </c>
      <c r="K378">
        <v>2400</v>
      </c>
      <c r="L378">
        <v>0</v>
      </c>
      <c r="M378">
        <v>0</v>
      </c>
      <c r="N378">
        <v>2400</v>
      </c>
    </row>
    <row r="379" spans="1:14" x14ac:dyDescent="0.25">
      <c r="A379">
        <v>117.73935299999999</v>
      </c>
      <c r="B379" s="1">
        <f>DATE(2010,8,26) + TIME(17,44,40)</f>
        <v>40416.739351851851</v>
      </c>
      <c r="C379">
        <v>80</v>
      </c>
      <c r="D379">
        <v>79.910514832000004</v>
      </c>
      <c r="E379">
        <v>50</v>
      </c>
      <c r="F379">
        <v>15.002573012999999</v>
      </c>
      <c r="G379">
        <v>1384.0992432</v>
      </c>
      <c r="H379">
        <v>1371.0759277</v>
      </c>
      <c r="I379">
        <v>1252.4831543</v>
      </c>
      <c r="J379">
        <v>1213.0164795000001</v>
      </c>
      <c r="K379">
        <v>2400</v>
      </c>
      <c r="L379">
        <v>0</v>
      </c>
      <c r="M379">
        <v>0</v>
      </c>
      <c r="N379">
        <v>2400</v>
      </c>
    </row>
    <row r="380" spans="1:14" x14ac:dyDescent="0.25">
      <c r="A380">
        <v>118.18817</v>
      </c>
      <c r="B380" s="1">
        <f>DATE(2010,8,27) + TIME(4,30,57)</f>
        <v>40417.188159722224</v>
      </c>
      <c r="C380">
        <v>80</v>
      </c>
      <c r="D380">
        <v>79.910575867000006</v>
      </c>
      <c r="E380">
        <v>50</v>
      </c>
      <c r="F380">
        <v>15.003095627</v>
      </c>
      <c r="G380">
        <v>1384.0697021000001</v>
      </c>
      <c r="H380">
        <v>1371.0477295000001</v>
      </c>
      <c r="I380">
        <v>1252.4992675999999</v>
      </c>
      <c r="J380">
        <v>1213.0318603999999</v>
      </c>
      <c r="K380">
        <v>2400</v>
      </c>
      <c r="L380">
        <v>0</v>
      </c>
      <c r="M380">
        <v>0</v>
      </c>
      <c r="N380">
        <v>2400</v>
      </c>
    </row>
    <row r="381" spans="1:14" x14ac:dyDescent="0.25">
      <c r="A381">
        <v>118.636987</v>
      </c>
      <c r="B381" s="1">
        <f>DATE(2010,8,27) + TIME(15,17,15)</f>
        <v>40417.636979166666</v>
      </c>
      <c r="C381">
        <v>80</v>
      </c>
      <c r="D381">
        <v>79.910636901999993</v>
      </c>
      <c r="E381">
        <v>50</v>
      </c>
      <c r="F381">
        <v>15.003651618999999</v>
      </c>
      <c r="G381">
        <v>1384.0402832</v>
      </c>
      <c r="H381">
        <v>1371.0197754000001</v>
      </c>
      <c r="I381">
        <v>1252.5153809000001</v>
      </c>
      <c r="J381">
        <v>1213.0473632999999</v>
      </c>
      <c r="K381">
        <v>2400</v>
      </c>
      <c r="L381">
        <v>0</v>
      </c>
      <c r="M381">
        <v>0</v>
      </c>
      <c r="N381">
        <v>2400</v>
      </c>
    </row>
    <row r="382" spans="1:14" x14ac:dyDescent="0.25">
      <c r="A382">
        <v>119.085804</v>
      </c>
      <c r="B382" s="1">
        <f>DATE(2010,8,28) + TIME(2,3,33)</f>
        <v>40418.085798611108</v>
      </c>
      <c r="C382">
        <v>80</v>
      </c>
      <c r="D382">
        <v>79.910690308</v>
      </c>
      <c r="E382">
        <v>50</v>
      </c>
      <c r="F382">
        <v>15.004246712</v>
      </c>
      <c r="G382">
        <v>1384.0111084</v>
      </c>
      <c r="H382">
        <v>1370.9919434000001</v>
      </c>
      <c r="I382">
        <v>1252.5316161999999</v>
      </c>
      <c r="J382">
        <v>1213.0627440999999</v>
      </c>
      <c r="K382">
        <v>2400</v>
      </c>
      <c r="L382">
        <v>0</v>
      </c>
      <c r="M382">
        <v>0</v>
      </c>
      <c r="N382">
        <v>2400</v>
      </c>
    </row>
    <row r="383" spans="1:14" x14ac:dyDescent="0.25">
      <c r="A383">
        <v>119.534621</v>
      </c>
      <c r="B383" s="1">
        <f>DATE(2010,8,28) + TIME(12,49,51)</f>
        <v>40418.534618055557</v>
      </c>
      <c r="C383">
        <v>80</v>
      </c>
      <c r="D383">
        <v>79.910751343000001</v>
      </c>
      <c r="E383">
        <v>50</v>
      </c>
      <c r="F383">
        <v>15.004881858999999</v>
      </c>
      <c r="G383">
        <v>1383.9821777</v>
      </c>
      <c r="H383">
        <v>1370.9642334</v>
      </c>
      <c r="I383">
        <v>1252.5479736</v>
      </c>
      <c r="J383">
        <v>1213.0783690999999</v>
      </c>
      <c r="K383">
        <v>2400</v>
      </c>
      <c r="L383">
        <v>0</v>
      </c>
      <c r="M383">
        <v>0</v>
      </c>
      <c r="N383">
        <v>2400</v>
      </c>
    </row>
    <row r="384" spans="1:14" x14ac:dyDescent="0.25">
      <c r="A384">
        <v>119.98343800000001</v>
      </c>
      <c r="B384" s="1">
        <f>DATE(2010,8,28) + TIME(23,36,9)</f>
        <v>40418.983437499999</v>
      </c>
      <c r="C384">
        <v>80</v>
      </c>
      <c r="D384">
        <v>79.910804748999993</v>
      </c>
      <c r="E384">
        <v>50</v>
      </c>
      <c r="F384">
        <v>15.005561828999999</v>
      </c>
      <c r="G384">
        <v>1383.9532471</v>
      </c>
      <c r="H384">
        <v>1370.9366454999999</v>
      </c>
      <c r="I384">
        <v>1252.5644531</v>
      </c>
      <c r="J384">
        <v>1213.0939940999999</v>
      </c>
      <c r="K384">
        <v>2400</v>
      </c>
      <c r="L384">
        <v>0</v>
      </c>
      <c r="M384">
        <v>0</v>
      </c>
      <c r="N384">
        <v>2400</v>
      </c>
    </row>
    <row r="385" spans="1:14" x14ac:dyDescent="0.25">
      <c r="A385">
        <v>120.432255</v>
      </c>
      <c r="B385" s="1">
        <f>DATE(2010,8,29) + TIME(10,22,26)</f>
        <v>40419.432245370372</v>
      </c>
      <c r="C385">
        <v>80</v>
      </c>
      <c r="D385">
        <v>79.910865783999995</v>
      </c>
      <c r="E385">
        <v>50</v>
      </c>
      <c r="F385">
        <v>15.006288528000001</v>
      </c>
      <c r="G385">
        <v>1383.9244385</v>
      </c>
      <c r="H385">
        <v>1370.9091797000001</v>
      </c>
      <c r="I385">
        <v>1252.5810547000001</v>
      </c>
      <c r="J385">
        <v>1213.1097411999999</v>
      </c>
      <c r="K385">
        <v>2400</v>
      </c>
      <c r="L385">
        <v>0</v>
      </c>
      <c r="M385">
        <v>0</v>
      </c>
      <c r="N385">
        <v>2400</v>
      </c>
    </row>
    <row r="386" spans="1:14" x14ac:dyDescent="0.25">
      <c r="A386">
        <v>120.881072</v>
      </c>
      <c r="B386" s="1">
        <f>DATE(2010,8,29) + TIME(21,8,44)</f>
        <v>40419.881064814814</v>
      </c>
      <c r="C386">
        <v>80</v>
      </c>
      <c r="D386">
        <v>79.910926818999997</v>
      </c>
      <c r="E386">
        <v>50</v>
      </c>
      <c r="F386">
        <v>15.00706768</v>
      </c>
      <c r="G386">
        <v>1383.8957519999999</v>
      </c>
      <c r="H386">
        <v>1370.8818358999999</v>
      </c>
      <c r="I386">
        <v>1252.5977783000001</v>
      </c>
      <c r="J386">
        <v>1213.1256103999999</v>
      </c>
      <c r="K386">
        <v>2400</v>
      </c>
      <c r="L386">
        <v>0</v>
      </c>
      <c r="M386">
        <v>0</v>
      </c>
      <c r="N386">
        <v>2400</v>
      </c>
    </row>
    <row r="387" spans="1:14" x14ac:dyDescent="0.25">
      <c r="A387">
        <v>121.32988899999999</v>
      </c>
      <c r="B387" s="1">
        <f>DATE(2010,8,30) + TIME(7,55,2)</f>
        <v>40420.329884259256</v>
      </c>
      <c r="C387">
        <v>80</v>
      </c>
      <c r="D387">
        <v>79.910980225000003</v>
      </c>
      <c r="E387">
        <v>50</v>
      </c>
      <c r="F387">
        <v>15.007900238</v>
      </c>
      <c r="G387">
        <v>1383.8671875</v>
      </c>
      <c r="H387">
        <v>1370.8546143000001</v>
      </c>
      <c r="I387">
        <v>1252.614624</v>
      </c>
      <c r="J387">
        <v>1213.1416016000001</v>
      </c>
      <c r="K387">
        <v>2400</v>
      </c>
      <c r="L387">
        <v>0</v>
      </c>
      <c r="M387">
        <v>0</v>
      </c>
      <c r="N387">
        <v>2400</v>
      </c>
    </row>
    <row r="388" spans="1:14" x14ac:dyDescent="0.25">
      <c r="A388">
        <v>121.778706</v>
      </c>
      <c r="B388" s="1">
        <f>DATE(2010,8,30) + TIME(18,41,20)</f>
        <v>40420.778703703705</v>
      </c>
      <c r="C388">
        <v>80</v>
      </c>
      <c r="D388">
        <v>79.911041260000005</v>
      </c>
      <c r="E388">
        <v>50</v>
      </c>
      <c r="F388">
        <v>15.00879097</v>
      </c>
      <c r="G388">
        <v>1383.8387451000001</v>
      </c>
      <c r="H388">
        <v>1370.8273925999999</v>
      </c>
      <c r="I388">
        <v>1252.6315918</v>
      </c>
      <c r="J388">
        <v>1213.1578368999999</v>
      </c>
      <c r="K388">
        <v>2400</v>
      </c>
      <c r="L388">
        <v>0</v>
      </c>
      <c r="M388">
        <v>0</v>
      </c>
      <c r="N388">
        <v>2400</v>
      </c>
    </row>
    <row r="389" spans="1:14" x14ac:dyDescent="0.25">
      <c r="A389">
        <v>122.22752300000001</v>
      </c>
      <c r="B389" s="1">
        <f>DATE(2010,8,31) + TIME(5,27,38)</f>
        <v>40421.227523148147</v>
      </c>
      <c r="C389">
        <v>80</v>
      </c>
      <c r="D389">
        <v>79.911094665999997</v>
      </c>
      <c r="E389">
        <v>50</v>
      </c>
      <c r="F389">
        <v>15.009744644</v>
      </c>
      <c r="G389">
        <v>1383.8104248</v>
      </c>
      <c r="H389">
        <v>1370.8004149999999</v>
      </c>
      <c r="I389">
        <v>1252.6488036999999</v>
      </c>
      <c r="J389">
        <v>1213.1741943</v>
      </c>
      <c r="K389">
        <v>2400</v>
      </c>
      <c r="L389">
        <v>0</v>
      </c>
      <c r="M389">
        <v>0</v>
      </c>
      <c r="N389">
        <v>2400</v>
      </c>
    </row>
    <row r="390" spans="1:14" x14ac:dyDescent="0.25">
      <c r="A390">
        <v>123</v>
      </c>
      <c r="B390" s="1">
        <f>DATE(2010,9,1) + TIME(0,0,0)</f>
        <v>40422</v>
      </c>
      <c r="C390">
        <v>80</v>
      </c>
      <c r="D390">
        <v>79.911216736</v>
      </c>
      <c r="E390">
        <v>50</v>
      </c>
      <c r="F390">
        <v>15.011142731</v>
      </c>
      <c r="G390">
        <v>1383.7729492000001</v>
      </c>
      <c r="H390">
        <v>1370.7641602000001</v>
      </c>
      <c r="I390">
        <v>1252.6717529</v>
      </c>
      <c r="J390">
        <v>1213.1962891000001</v>
      </c>
      <c r="K390">
        <v>2400</v>
      </c>
      <c r="L390">
        <v>0</v>
      </c>
      <c r="M390">
        <v>0</v>
      </c>
      <c r="N390">
        <v>2400</v>
      </c>
    </row>
    <row r="391" spans="1:14" x14ac:dyDescent="0.25">
      <c r="A391">
        <v>123.44881700000001</v>
      </c>
      <c r="B391" s="1">
        <f>DATE(2010,9,1) + TIME(10,46,17)</f>
        <v>40422.448807870373</v>
      </c>
      <c r="C391">
        <v>80</v>
      </c>
      <c r="D391">
        <v>79.911254882999998</v>
      </c>
      <c r="E391">
        <v>50</v>
      </c>
      <c r="F391">
        <v>15.01240921</v>
      </c>
      <c r="G391">
        <v>1383.7392577999999</v>
      </c>
      <c r="H391">
        <v>1370.7325439000001</v>
      </c>
      <c r="I391">
        <v>1252.6925048999999</v>
      </c>
      <c r="J391">
        <v>1213.215332</v>
      </c>
      <c r="K391">
        <v>2400</v>
      </c>
      <c r="L391">
        <v>0</v>
      </c>
      <c r="M391">
        <v>0</v>
      </c>
      <c r="N391">
        <v>2400</v>
      </c>
    </row>
    <row r="392" spans="1:14" x14ac:dyDescent="0.25">
      <c r="A392">
        <v>123.897634</v>
      </c>
      <c r="B392" s="1">
        <f>DATE(2010,9,1) + TIME(21,32,35)</f>
        <v>40422.897627314815</v>
      </c>
      <c r="C392">
        <v>80</v>
      </c>
      <c r="D392">
        <v>79.911308289000004</v>
      </c>
      <c r="E392">
        <v>50</v>
      </c>
      <c r="F392">
        <v>15.013710976</v>
      </c>
      <c r="G392">
        <v>1383.7087402</v>
      </c>
      <c r="H392">
        <v>1370.7033690999999</v>
      </c>
      <c r="I392">
        <v>1252.7120361</v>
      </c>
      <c r="J392">
        <v>1213.2337646000001</v>
      </c>
      <c r="K392">
        <v>2400</v>
      </c>
      <c r="L392">
        <v>0</v>
      </c>
      <c r="M392">
        <v>0</v>
      </c>
      <c r="N392">
        <v>2400</v>
      </c>
    </row>
    <row r="393" spans="1:14" x14ac:dyDescent="0.25">
      <c r="A393">
        <v>124.346451</v>
      </c>
      <c r="B393" s="1">
        <f>DATE(2010,9,2) + TIME(8,18,53)</f>
        <v>40423.346446759257</v>
      </c>
      <c r="C393">
        <v>80</v>
      </c>
      <c r="D393">
        <v>79.911361693999993</v>
      </c>
      <c r="E393">
        <v>50</v>
      </c>
      <c r="F393">
        <v>15.015068054</v>
      </c>
      <c r="G393">
        <v>1383.6795654</v>
      </c>
      <c r="H393">
        <v>1370.6755370999999</v>
      </c>
      <c r="I393">
        <v>1252.7310791</v>
      </c>
      <c r="J393">
        <v>1213.2518310999999</v>
      </c>
      <c r="K393">
        <v>2400</v>
      </c>
      <c r="L393">
        <v>0</v>
      </c>
      <c r="M393">
        <v>0</v>
      </c>
      <c r="N393">
        <v>2400</v>
      </c>
    </row>
    <row r="394" spans="1:14" x14ac:dyDescent="0.25">
      <c r="A394">
        <v>125.244085</v>
      </c>
      <c r="B394" s="1">
        <f>DATE(2010,9,3) + TIME(5,51,28)</f>
        <v>40424.244074074071</v>
      </c>
      <c r="C394">
        <v>80</v>
      </c>
      <c r="D394">
        <v>79.911506653000004</v>
      </c>
      <c r="E394">
        <v>50</v>
      </c>
      <c r="F394">
        <v>15.017178534999999</v>
      </c>
      <c r="G394">
        <v>1383.6390381000001</v>
      </c>
      <c r="H394">
        <v>1370.6362305</v>
      </c>
      <c r="I394">
        <v>1252.7572021000001</v>
      </c>
      <c r="J394">
        <v>1213.2772216999999</v>
      </c>
      <c r="K394">
        <v>2400</v>
      </c>
      <c r="L394">
        <v>0</v>
      </c>
      <c r="M394">
        <v>0</v>
      </c>
      <c r="N394">
        <v>2400</v>
      </c>
    </row>
    <row r="395" spans="1:14" x14ac:dyDescent="0.25">
      <c r="A395">
        <v>126.14334700000001</v>
      </c>
      <c r="B395" s="1">
        <f>DATE(2010,9,4) + TIME(3,26,25)</f>
        <v>40425.14334490741</v>
      </c>
      <c r="C395">
        <v>80</v>
      </c>
      <c r="D395">
        <v>79.911621093999997</v>
      </c>
      <c r="E395">
        <v>50</v>
      </c>
      <c r="F395">
        <v>15.019924164000001</v>
      </c>
      <c r="G395">
        <v>1383.5888672000001</v>
      </c>
      <c r="H395">
        <v>1370.588501</v>
      </c>
      <c r="I395">
        <v>1252.7902832</v>
      </c>
      <c r="J395">
        <v>1213.3083495999999</v>
      </c>
      <c r="K395">
        <v>2400</v>
      </c>
      <c r="L395">
        <v>0</v>
      </c>
      <c r="M395">
        <v>0</v>
      </c>
      <c r="N395">
        <v>2400</v>
      </c>
    </row>
    <row r="396" spans="1:14" x14ac:dyDescent="0.25">
      <c r="A396">
        <v>126.60081700000001</v>
      </c>
      <c r="B396" s="1">
        <f>DATE(2010,9,4) + TIME(14,25,10)</f>
        <v>40425.600810185184</v>
      </c>
      <c r="C396">
        <v>80</v>
      </c>
      <c r="D396">
        <v>79.911651610999996</v>
      </c>
      <c r="E396">
        <v>50</v>
      </c>
      <c r="F396">
        <v>15.022173882000001</v>
      </c>
      <c r="G396">
        <v>1383.5506591999999</v>
      </c>
      <c r="H396">
        <v>1370.5526123</v>
      </c>
      <c r="I396">
        <v>1252.8170166</v>
      </c>
      <c r="J396">
        <v>1213.3326416</v>
      </c>
      <c r="K396">
        <v>2400</v>
      </c>
      <c r="L396">
        <v>0</v>
      </c>
      <c r="M396">
        <v>0</v>
      </c>
      <c r="N396">
        <v>2400</v>
      </c>
    </row>
    <row r="397" spans="1:14" x14ac:dyDescent="0.25">
      <c r="A397">
        <v>127.058288</v>
      </c>
      <c r="B397" s="1">
        <f>DATE(2010,9,5) + TIME(1,23,56)</f>
        <v>40426.058287037034</v>
      </c>
      <c r="C397">
        <v>80</v>
      </c>
      <c r="D397">
        <v>79.911697387999993</v>
      </c>
      <c r="E397">
        <v>50</v>
      </c>
      <c r="F397">
        <v>15.024401664999999</v>
      </c>
      <c r="G397">
        <v>1383.5179443</v>
      </c>
      <c r="H397">
        <v>1370.5212402</v>
      </c>
      <c r="I397">
        <v>1252.840332</v>
      </c>
      <c r="J397">
        <v>1213.3548584</v>
      </c>
      <c r="K397">
        <v>2400</v>
      </c>
      <c r="L397">
        <v>0</v>
      </c>
      <c r="M397">
        <v>0</v>
      </c>
      <c r="N397">
        <v>2400</v>
      </c>
    </row>
    <row r="398" spans="1:14" x14ac:dyDescent="0.25">
      <c r="A398">
        <v>127.51575800000001</v>
      </c>
      <c r="B398" s="1">
        <f>DATE(2010,9,5) + TIME(12,22,41)</f>
        <v>40426.515752314815</v>
      </c>
      <c r="C398">
        <v>80</v>
      </c>
      <c r="D398">
        <v>79.911758422999995</v>
      </c>
      <c r="E398">
        <v>50</v>
      </c>
      <c r="F398">
        <v>15.026668549</v>
      </c>
      <c r="G398">
        <v>1383.4876709</v>
      </c>
      <c r="H398">
        <v>1370.4921875</v>
      </c>
      <c r="I398">
        <v>1252.8623047000001</v>
      </c>
      <c r="J398">
        <v>1213.3757324000001</v>
      </c>
      <c r="K398">
        <v>2400</v>
      </c>
      <c r="L398">
        <v>0</v>
      </c>
      <c r="M398">
        <v>0</v>
      </c>
      <c r="N398">
        <v>2400</v>
      </c>
    </row>
    <row r="399" spans="1:14" x14ac:dyDescent="0.25">
      <c r="A399">
        <v>127.97322800000001</v>
      </c>
      <c r="B399" s="1">
        <f>DATE(2010,9,5) + TIME(23,21,26)</f>
        <v>40426.973217592589</v>
      </c>
      <c r="C399">
        <v>80</v>
      </c>
      <c r="D399">
        <v>79.911819457999997</v>
      </c>
      <c r="E399">
        <v>50</v>
      </c>
      <c r="F399">
        <v>15.029015541</v>
      </c>
      <c r="G399">
        <v>1383.4586182</v>
      </c>
      <c r="H399">
        <v>1370.4643555</v>
      </c>
      <c r="I399">
        <v>1252.8835449000001</v>
      </c>
      <c r="J399">
        <v>1213.3959961</v>
      </c>
      <c r="K399">
        <v>2400</v>
      </c>
      <c r="L399">
        <v>0</v>
      </c>
      <c r="M399">
        <v>0</v>
      </c>
      <c r="N399">
        <v>2400</v>
      </c>
    </row>
    <row r="400" spans="1:14" x14ac:dyDescent="0.25">
      <c r="A400">
        <v>128.43069800000001</v>
      </c>
      <c r="B400" s="1">
        <f>DATE(2010,9,6) + TIME(10,20,12)</f>
        <v>40427.430694444447</v>
      </c>
      <c r="C400">
        <v>80</v>
      </c>
      <c r="D400">
        <v>79.911872864000003</v>
      </c>
      <c r="E400">
        <v>50</v>
      </c>
      <c r="F400">
        <v>15.031476021</v>
      </c>
      <c r="G400">
        <v>1383.4300536999999</v>
      </c>
      <c r="H400">
        <v>1370.4370117000001</v>
      </c>
      <c r="I400">
        <v>1252.9047852000001</v>
      </c>
      <c r="J400">
        <v>1213.4160156</v>
      </c>
      <c r="K400">
        <v>2400</v>
      </c>
      <c r="L400">
        <v>0</v>
      </c>
      <c r="M400">
        <v>0</v>
      </c>
      <c r="N400">
        <v>2400</v>
      </c>
    </row>
    <row r="401" spans="1:14" x14ac:dyDescent="0.25">
      <c r="A401">
        <v>128.88816800000001</v>
      </c>
      <c r="B401" s="1">
        <f>DATE(2010,9,6) + TIME(21,18,57)</f>
        <v>40427.888159722221</v>
      </c>
      <c r="C401">
        <v>80</v>
      </c>
      <c r="D401">
        <v>79.911933899000005</v>
      </c>
      <c r="E401">
        <v>50</v>
      </c>
      <c r="F401">
        <v>15.034073830000001</v>
      </c>
      <c r="G401">
        <v>1383.4018555</v>
      </c>
      <c r="H401">
        <v>1370.4100341999999</v>
      </c>
      <c r="I401">
        <v>1252.9259033000001</v>
      </c>
      <c r="J401">
        <v>1213.4361572</v>
      </c>
      <c r="K401">
        <v>2400</v>
      </c>
      <c r="L401">
        <v>0</v>
      </c>
      <c r="M401">
        <v>0</v>
      </c>
      <c r="N401">
        <v>2400</v>
      </c>
    </row>
    <row r="402" spans="1:14" x14ac:dyDescent="0.25">
      <c r="A402">
        <v>129.34559999999999</v>
      </c>
      <c r="B402" s="1">
        <f>DATE(2010,9,7) + TIME(8,17,39)</f>
        <v>40428.345590277779</v>
      </c>
      <c r="C402">
        <v>80</v>
      </c>
      <c r="D402">
        <v>79.911994934000006</v>
      </c>
      <c r="E402">
        <v>50</v>
      </c>
      <c r="F402">
        <v>15.036826134</v>
      </c>
      <c r="G402">
        <v>1383.3739014</v>
      </c>
      <c r="H402">
        <v>1370.3831786999999</v>
      </c>
      <c r="I402">
        <v>1252.9472656</v>
      </c>
      <c r="J402">
        <v>1213.4562988</v>
      </c>
      <c r="K402">
        <v>2400</v>
      </c>
      <c r="L402">
        <v>0</v>
      </c>
      <c r="M402">
        <v>0</v>
      </c>
      <c r="N402">
        <v>2400</v>
      </c>
    </row>
    <row r="403" spans="1:14" x14ac:dyDescent="0.25">
      <c r="A403">
        <v>129.803031</v>
      </c>
      <c r="B403" s="1">
        <f>DATE(2010,9,7) + TIME(19,16,21)</f>
        <v>40428.803020833337</v>
      </c>
      <c r="C403">
        <v>80</v>
      </c>
      <c r="D403">
        <v>79.912055968999994</v>
      </c>
      <c r="E403">
        <v>50</v>
      </c>
      <c r="F403">
        <v>15.039751053</v>
      </c>
      <c r="G403">
        <v>1383.3460693</v>
      </c>
      <c r="H403">
        <v>1370.3565673999999</v>
      </c>
      <c r="I403">
        <v>1252.96875</v>
      </c>
      <c r="J403">
        <v>1213.4765625</v>
      </c>
      <c r="K403">
        <v>2400</v>
      </c>
      <c r="L403">
        <v>0</v>
      </c>
      <c r="M403">
        <v>0</v>
      </c>
      <c r="N403">
        <v>2400</v>
      </c>
    </row>
    <row r="404" spans="1:14" x14ac:dyDescent="0.25">
      <c r="A404">
        <v>130.26011600000001</v>
      </c>
      <c r="B404" s="1">
        <f>DATE(2010,9,8) + TIME(6,14,34)</f>
        <v>40429.260115740741</v>
      </c>
      <c r="C404">
        <v>80</v>
      </c>
      <c r="D404">
        <v>79.912109375</v>
      </c>
      <c r="E404">
        <v>50</v>
      </c>
      <c r="F404">
        <v>15.042861938</v>
      </c>
      <c r="G404">
        <v>1383.3183594</v>
      </c>
      <c r="H404">
        <v>1370.3299560999999</v>
      </c>
      <c r="I404">
        <v>1252.9903564000001</v>
      </c>
      <c r="J404">
        <v>1213.4970702999999</v>
      </c>
      <c r="K404">
        <v>2400</v>
      </c>
      <c r="L404">
        <v>0</v>
      </c>
      <c r="M404">
        <v>0</v>
      </c>
      <c r="N404">
        <v>2400</v>
      </c>
    </row>
    <row r="405" spans="1:14" x14ac:dyDescent="0.25">
      <c r="A405">
        <v>130.71629999999999</v>
      </c>
      <c r="B405" s="1">
        <f>DATE(2010,9,8) + TIME(17,11,28)</f>
        <v>40429.716296296298</v>
      </c>
      <c r="C405">
        <v>80</v>
      </c>
      <c r="D405">
        <v>79.912170410000002</v>
      </c>
      <c r="E405">
        <v>50</v>
      </c>
      <c r="F405">
        <v>15.046171188000001</v>
      </c>
      <c r="G405">
        <v>1383.2907714999999</v>
      </c>
      <c r="H405">
        <v>1370.3035889</v>
      </c>
      <c r="I405">
        <v>1253.0123291</v>
      </c>
      <c r="J405">
        <v>1213.5178223</v>
      </c>
      <c r="K405">
        <v>2400</v>
      </c>
      <c r="L405">
        <v>0</v>
      </c>
      <c r="M405">
        <v>0</v>
      </c>
      <c r="N405">
        <v>2400</v>
      </c>
    </row>
    <row r="406" spans="1:14" x14ac:dyDescent="0.25">
      <c r="A406">
        <v>131.17169100000001</v>
      </c>
      <c r="B406" s="1">
        <f>DATE(2010,9,9) + TIME(4,7,14)</f>
        <v>40430.171689814815</v>
      </c>
      <c r="C406">
        <v>80</v>
      </c>
      <c r="D406">
        <v>79.912223815999994</v>
      </c>
      <c r="E406">
        <v>50</v>
      </c>
      <c r="F406">
        <v>15.049690246999999</v>
      </c>
      <c r="G406">
        <v>1383.2634277</v>
      </c>
      <c r="H406">
        <v>1370.2773437999999</v>
      </c>
      <c r="I406">
        <v>1253.0344238</v>
      </c>
      <c r="J406">
        <v>1213.5388184000001</v>
      </c>
      <c r="K406">
        <v>2400</v>
      </c>
      <c r="L406">
        <v>0</v>
      </c>
      <c r="M406">
        <v>0</v>
      </c>
      <c r="N406">
        <v>2400</v>
      </c>
    </row>
    <row r="407" spans="1:14" x14ac:dyDescent="0.25">
      <c r="A407">
        <v>132.08105800000001</v>
      </c>
      <c r="B407" s="1">
        <f>DATE(2010,9,10) + TIME(1,56,43)</f>
        <v>40431.081053240741</v>
      </c>
      <c r="C407">
        <v>80</v>
      </c>
      <c r="D407">
        <v>79.912368774000001</v>
      </c>
      <c r="E407">
        <v>50</v>
      </c>
      <c r="F407">
        <v>15.055212020999999</v>
      </c>
      <c r="G407">
        <v>1383.2241211</v>
      </c>
      <c r="H407">
        <v>1370.2393798999999</v>
      </c>
      <c r="I407">
        <v>1253.0639647999999</v>
      </c>
      <c r="J407">
        <v>1213.5682373</v>
      </c>
      <c r="K407">
        <v>2400</v>
      </c>
      <c r="L407">
        <v>0</v>
      </c>
      <c r="M407">
        <v>0</v>
      </c>
      <c r="N407">
        <v>2400</v>
      </c>
    </row>
    <row r="408" spans="1:14" x14ac:dyDescent="0.25">
      <c r="A408">
        <v>132.991668</v>
      </c>
      <c r="B408" s="1">
        <f>DATE(2010,9,10) + TIME(23,48,0)</f>
        <v>40431.991666666669</v>
      </c>
      <c r="C408">
        <v>80</v>
      </c>
      <c r="D408">
        <v>79.912483214999995</v>
      </c>
      <c r="E408">
        <v>50</v>
      </c>
      <c r="F408">
        <v>15.062479973</v>
      </c>
      <c r="G408">
        <v>1383.1755370999999</v>
      </c>
      <c r="H408">
        <v>1370.1929932</v>
      </c>
      <c r="I408">
        <v>1253.1047363</v>
      </c>
      <c r="J408">
        <v>1213.6063231999999</v>
      </c>
      <c r="K408">
        <v>2400</v>
      </c>
      <c r="L408">
        <v>0</v>
      </c>
      <c r="M408">
        <v>0</v>
      </c>
      <c r="N408">
        <v>2400</v>
      </c>
    </row>
    <row r="409" spans="1:14" x14ac:dyDescent="0.25">
      <c r="A409">
        <v>133.91137699999999</v>
      </c>
      <c r="B409" s="1">
        <f>DATE(2010,9,11) + TIME(21,52,22)</f>
        <v>40432.911365740743</v>
      </c>
      <c r="C409">
        <v>80</v>
      </c>
      <c r="D409">
        <v>79.912590026999993</v>
      </c>
      <c r="E409">
        <v>50</v>
      </c>
      <c r="F409">
        <v>15.071222304999999</v>
      </c>
      <c r="G409">
        <v>1383.1239014</v>
      </c>
      <c r="H409">
        <v>1370.1435547000001</v>
      </c>
      <c r="I409">
        <v>1253.1496582</v>
      </c>
      <c r="J409">
        <v>1213.6486815999999</v>
      </c>
      <c r="K409">
        <v>2400</v>
      </c>
      <c r="L409">
        <v>0</v>
      </c>
      <c r="M409">
        <v>0</v>
      </c>
      <c r="N409">
        <v>2400</v>
      </c>
    </row>
    <row r="410" spans="1:14" x14ac:dyDescent="0.25">
      <c r="A410">
        <v>134.37693400000001</v>
      </c>
      <c r="B410" s="1">
        <f>DATE(2010,9,12) + TIME(9,2,47)</f>
        <v>40433.376932870371</v>
      </c>
      <c r="C410">
        <v>80</v>
      </c>
      <c r="D410">
        <v>79.912620544000006</v>
      </c>
      <c r="E410">
        <v>50</v>
      </c>
      <c r="F410">
        <v>15.078168869000001</v>
      </c>
      <c r="G410">
        <v>1383.0863036999999</v>
      </c>
      <c r="H410">
        <v>1370.1080322</v>
      </c>
      <c r="I410">
        <v>1253.1871338000001</v>
      </c>
      <c r="J410">
        <v>1213.6821289</v>
      </c>
      <c r="K410">
        <v>2400</v>
      </c>
      <c r="L410">
        <v>0</v>
      </c>
      <c r="M410">
        <v>0</v>
      </c>
      <c r="N410">
        <v>2400</v>
      </c>
    </row>
    <row r="411" spans="1:14" x14ac:dyDescent="0.25">
      <c r="A411">
        <v>134.84249</v>
      </c>
      <c r="B411" s="1">
        <f>DATE(2010,9,12) + TIME(20,13,11)</f>
        <v>40433.842488425929</v>
      </c>
      <c r="C411">
        <v>80</v>
      </c>
      <c r="D411">
        <v>79.912673949999999</v>
      </c>
      <c r="E411">
        <v>50</v>
      </c>
      <c r="F411">
        <v>15.084961891000001</v>
      </c>
      <c r="G411">
        <v>1383.0539550999999</v>
      </c>
      <c r="H411">
        <v>1370.0769043</v>
      </c>
      <c r="I411">
        <v>1253.2167969</v>
      </c>
      <c r="J411">
        <v>1213.7109375</v>
      </c>
      <c r="K411">
        <v>2400</v>
      </c>
      <c r="L411">
        <v>0</v>
      </c>
      <c r="M411">
        <v>0</v>
      </c>
      <c r="N411">
        <v>2400</v>
      </c>
    </row>
    <row r="412" spans="1:14" x14ac:dyDescent="0.25">
      <c r="A412">
        <v>135.30804699999999</v>
      </c>
      <c r="B412" s="1">
        <f>DATE(2010,9,13) + TIME(7,23,35)</f>
        <v>40434.30804398148</v>
      </c>
      <c r="C412">
        <v>80</v>
      </c>
      <c r="D412">
        <v>79.912734985</v>
      </c>
      <c r="E412">
        <v>50</v>
      </c>
      <c r="F412">
        <v>15.091808319</v>
      </c>
      <c r="G412">
        <v>1383.0241699000001</v>
      </c>
      <c r="H412">
        <v>1370.0483397999999</v>
      </c>
      <c r="I412">
        <v>1253.2446289</v>
      </c>
      <c r="J412">
        <v>1213.7379149999999</v>
      </c>
      <c r="K412">
        <v>2400</v>
      </c>
      <c r="L412">
        <v>0</v>
      </c>
      <c r="M412">
        <v>0</v>
      </c>
      <c r="N412">
        <v>2400</v>
      </c>
    </row>
    <row r="413" spans="1:14" x14ac:dyDescent="0.25">
      <c r="A413">
        <v>135.77360300000001</v>
      </c>
      <c r="B413" s="1">
        <f>DATE(2010,9,13) + TIME(18,33,59)</f>
        <v>40434.773599537039</v>
      </c>
      <c r="C413">
        <v>80</v>
      </c>
      <c r="D413">
        <v>79.912796021000005</v>
      </c>
      <c r="E413">
        <v>50</v>
      </c>
      <c r="F413">
        <v>15.098851204000001</v>
      </c>
      <c r="G413">
        <v>1382.9956055</v>
      </c>
      <c r="H413">
        <v>1370.0207519999999</v>
      </c>
      <c r="I413">
        <v>1253.2718506000001</v>
      </c>
      <c r="J413">
        <v>1213.7642822</v>
      </c>
      <c r="K413">
        <v>2400</v>
      </c>
      <c r="L413">
        <v>0</v>
      </c>
      <c r="M413">
        <v>0</v>
      </c>
      <c r="N413">
        <v>2400</v>
      </c>
    </row>
    <row r="414" spans="1:14" x14ac:dyDescent="0.25">
      <c r="A414">
        <v>136.23916</v>
      </c>
      <c r="B414" s="1">
        <f>DATE(2010,9,14) + TIME(5,44,23)</f>
        <v>40435.239155092589</v>
      </c>
      <c r="C414">
        <v>80</v>
      </c>
      <c r="D414">
        <v>79.912857056000007</v>
      </c>
      <c r="E414">
        <v>50</v>
      </c>
      <c r="F414">
        <v>15.106191635</v>
      </c>
      <c r="G414">
        <v>1382.9675293</v>
      </c>
      <c r="H414">
        <v>1369.9938964999999</v>
      </c>
      <c r="I414">
        <v>1253.2989502</v>
      </c>
      <c r="J414">
        <v>1213.7904053</v>
      </c>
      <c r="K414">
        <v>2400</v>
      </c>
      <c r="L414">
        <v>0</v>
      </c>
      <c r="M414">
        <v>0</v>
      </c>
      <c r="N414">
        <v>2400</v>
      </c>
    </row>
    <row r="415" spans="1:14" x14ac:dyDescent="0.25">
      <c r="A415">
        <v>136.70471599999999</v>
      </c>
      <c r="B415" s="1">
        <f>DATE(2010,9,14) + TIME(16,54,47)</f>
        <v>40435.704710648148</v>
      </c>
      <c r="C415">
        <v>80</v>
      </c>
      <c r="D415">
        <v>79.912910460999996</v>
      </c>
      <c r="E415">
        <v>50</v>
      </c>
      <c r="F415">
        <v>15.113903046000001</v>
      </c>
      <c r="G415">
        <v>1382.9398193</v>
      </c>
      <c r="H415">
        <v>1369.9672852000001</v>
      </c>
      <c r="I415">
        <v>1253.3261719</v>
      </c>
      <c r="J415">
        <v>1213.8167725000001</v>
      </c>
      <c r="K415">
        <v>2400</v>
      </c>
      <c r="L415">
        <v>0</v>
      </c>
      <c r="M415">
        <v>0</v>
      </c>
      <c r="N415">
        <v>2400</v>
      </c>
    </row>
    <row r="416" spans="1:14" x14ac:dyDescent="0.25">
      <c r="A416">
        <v>137.17027300000001</v>
      </c>
      <c r="B416" s="1">
        <f>DATE(2010,9,15) + TIME(4,5,11)</f>
        <v>40436.170266203706</v>
      </c>
      <c r="C416">
        <v>80</v>
      </c>
      <c r="D416">
        <v>79.912971497000001</v>
      </c>
      <c r="E416">
        <v>50</v>
      </c>
      <c r="F416">
        <v>15.122042656</v>
      </c>
      <c r="G416">
        <v>1382.9123535000001</v>
      </c>
      <c r="H416">
        <v>1369.9407959</v>
      </c>
      <c r="I416">
        <v>1253.3537598</v>
      </c>
      <c r="J416">
        <v>1213.8433838000001</v>
      </c>
      <c r="K416">
        <v>2400</v>
      </c>
      <c r="L416">
        <v>0</v>
      </c>
      <c r="M416">
        <v>0</v>
      </c>
      <c r="N416">
        <v>2400</v>
      </c>
    </row>
    <row r="417" spans="1:14" x14ac:dyDescent="0.25">
      <c r="A417">
        <v>137.635829</v>
      </c>
      <c r="B417" s="1">
        <f>DATE(2010,9,15) + TIME(15,15,35)</f>
        <v>40436.635821759257</v>
      </c>
      <c r="C417">
        <v>80</v>
      </c>
      <c r="D417">
        <v>79.913032532000003</v>
      </c>
      <c r="E417">
        <v>50</v>
      </c>
      <c r="F417">
        <v>15.130659102999999</v>
      </c>
      <c r="G417">
        <v>1382.8850098</v>
      </c>
      <c r="H417">
        <v>1369.9146728999999</v>
      </c>
      <c r="I417">
        <v>1253.3815918</v>
      </c>
      <c r="J417">
        <v>1213.8702393000001</v>
      </c>
      <c r="K417">
        <v>2400</v>
      </c>
      <c r="L417">
        <v>0</v>
      </c>
      <c r="M417">
        <v>0</v>
      </c>
      <c r="N417">
        <v>2400</v>
      </c>
    </row>
    <row r="418" spans="1:14" x14ac:dyDescent="0.25">
      <c r="A418">
        <v>138.10138599999999</v>
      </c>
      <c r="B418" s="1">
        <f>DATE(2010,9,16) + TIME(2,25,59)</f>
        <v>40437.101377314815</v>
      </c>
      <c r="C418">
        <v>80</v>
      </c>
      <c r="D418">
        <v>79.913093567000004</v>
      </c>
      <c r="E418">
        <v>50</v>
      </c>
      <c r="F418">
        <v>15.139796257</v>
      </c>
      <c r="G418">
        <v>1382.8579102000001</v>
      </c>
      <c r="H418">
        <v>1369.8885498</v>
      </c>
      <c r="I418">
        <v>1253.4099120999999</v>
      </c>
      <c r="J418">
        <v>1213.8977050999999</v>
      </c>
      <c r="K418">
        <v>2400</v>
      </c>
      <c r="L418">
        <v>0</v>
      </c>
      <c r="M418">
        <v>0</v>
      </c>
      <c r="N418">
        <v>2400</v>
      </c>
    </row>
    <row r="419" spans="1:14" x14ac:dyDescent="0.25">
      <c r="A419">
        <v>138.56694200000001</v>
      </c>
      <c r="B419" s="1">
        <f>DATE(2010,9,16) + TIME(13,36,23)</f>
        <v>40437.566932870373</v>
      </c>
      <c r="C419">
        <v>80</v>
      </c>
      <c r="D419">
        <v>79.913146972999996</v>
      </c>
      <c r="E419">
        <v>50</v>
      </c>
      <c r="F419">
        <v>15.14949131</v>
      </c>
      <c r="G419">
        <v>1382.8308105000001</v>
      </c>
      <c r="H419">
        <v>1369.8625488</v>
      </c>
      <c r="I419">
        <v>1253.4385986</v>
      </c>
      <c r="J419">
        <v>1213.9255370999999</v>
      </c>
      <c r="K419">
        <v>2400</v>
      </c>
      <c r="L419">
        <v>0</v>
      </c>
      <c r="M419">
        <v>0</v>
      </c>
      <c r="N419">
        <v>2400</v>
      </c>
    </row>
    <row r="420" spans="1:14" x14ac:dyDescent="0.25">
      <c r="A420">
        <v>139.03150600000001</v>
      </c>
      <c r="B420" s="1">
        <f>DATE(2010,9,17) + TIME(0,45,22)</f>
        <v>40438.031504629631</v>
      </c>
      <c r="C420">
        <v>80</v>
      </c>
      <c r="D420">
        <v>79.913208007999998</v>
      </c>
      <c r="E420">
        <v>50</v>
      </c>
      <c r="F420">
        <v>15.159770011999999</v>
      </c>
      <c r="G420">
        <v>1382.8038329999999</v>
      </c>
      <c r="H420">
        <v>1369.8366699000001</v>
      </c>
      <c r="I420">
        <v>1253.4676514</v>
      </c>
      <c r="J420">
        <v>1213.9538574000001</v>
      </c>
      <c r="K420">
        <v>2400</v>
      </c>
      <c r="L420">
        <v>0</v>
      </c>
      <c r="M420">
        <v>0</v>
      </c>
      <c r="N420">
        <v>2400</v>
      </c>
    </row>
    <row r="421" spans="1:14" x14ac:dyDescent="0.25">
      <c r="A421">
        <v>139.49475699999999</v>
      </c>
      <c r="B421" s="1">
        <f>DATE(2010,9,17) + TIME(11,52,27)</f>
        <v>40438.494756944441</v>
      </c>
      <c r="C421">
        <v>80</v>
      </c>
      <c r="D421">
        <v>79.913261414000004</v>
      </c>
      <c r="E421">
        <v>50</v>
      </c>
      <c r="F421">
        <v>15.170659065000001</v>
      </c>
      <c r="G421">
        <v>1382.7770995999999</v>
      </c>
      <c r="H421">
        <v>1369.8109131000001</v>
      </c>
      <c r="I421">
        <v>1253.4970702999999</v>
      </c>
      <c r="J421">
        <v>1213.9826660000001</v>
      </c>
      <c r="K421">
        <v>2400</v>
      </c>
      <c r="L421">
        <v>0</v>
      </c>
      <c r="M421">
        <v>0</v>
      </c>
      <c r="N421">
        <v>2400</v>
      </c>
    </row>
    <row r="422" spans="1:14" x14ac:dyDescent="0.25">
      <c r="A422">
        <v>139.95686699999999</v>
      </c>
      <c r="B422" s="1">
        <f>DATE(2010,9,17) + TIME(22,57,53)</f>
        <v>40438.956863425927</v>
      </c>
      <c r="C422">
        <v>80</v>
      </c>
      <c r="D422">
        <v>79.913322449000006</v>
      </c>
      <c r="E422">
        <v>50</v>
      </c>
      <c r="F422">
        <v>15.182191849000001</v>
      </c>
      <c r="G422">
        <v>1382.7504882999999</v>
      </c>
      <c r="H422">
        <v>1369.7852783000001</v>
      </c>
      <c r="I422">
        <v>1253.5269774999999</v>
      </c>
      <c r="J422">
        <v>1214.0119629000001</v>
      </c>
      <c r="K422">
        <v>2400</v>
      </c>
      <c r="L422">
        <v>0</v>
      </c>
      <c r="M422">
        <v>0</v>
      </c>
      <c r="N422">
        <v>2400</v>
      </c>
    </row>
    <row r="423" spans="1:14" x14ac:dyDescent="0.25">
      <c r="A423">
        <v>140.41798600000001</v>
      </c>
      <c r="B423" s="1">
        <f>DATE(2010,9,18) + TIME(10,1,54)</f>
        <v>40439.417986111112</v>
      </c>
      <c r="C423">
        <v>80</v>
      </c>
      <c r="D423">
        <v>79.913375853999995</v>
      </c>
      <c r="E423">
        <v>50</v>
      </c>
      <c r="F423">
        <v>15.194403648</v>
      </c>
      <c r="G423">
        <v>1382.7238769999999</v>
      </c>
      <c r="H423">
        <v>1369.7597656</v>
      </c>
      <c r="I423">
        <v>1253.557251</v>
      </c>
      <c r="J423">
        <v>1214.0417480000001</v>
      </c>
      <c r="K423">
        <v>2400</v>
      </c>
      <c r="L423">
        <v>0</v>
      </c>
      <c r="M423">
        <v>0</v>
      </c>
      <c r="N423">
        <v>2400</v>
      </c>
    </row>
    <row r="424" spans="1:14" x14ac:dyDescent="0.25">
      <c r="A424">
        <v>140.87827200000001</v>
      </c>
      <c r="B424" s="1">
        <f>DATE(2010,9,18) + TIME(21,4,42)</f>
        <v>40439.878263888888</v>
      </c>
      <c r="C424">
        <v>80</v>
      </c>
      <c r="D424">
        <v>79.91343689</v>
      </c>
      <c r="E424">
        <v>50</v>
      </c>
      <c r="F424">
        <v>15.207332611</v>
      </c>
      <c r="G424">
        <v>1382.6975098</v>
      </c>
      <c r="H424">
        <v>1369.734375</v>
      </c>
      <c r="I424">
        <v>1253.5880127</v>
      </c>
      <c r="J424">
        <v>1214.0720214999999</v>
      </c>
      <c r="K424">
        <v>2400</v>
      </c>
      <c r="L424">
        <v>0</v>
      </c>
      <c r="M424">
        <v>0</v>
      </c>
      <c r="N424">
        <v>2400</v>
      </c>
    </row>
    <row r="425" spans="1:14" x14ac:dyDescent="0.25">
      <c r="A425">
        <v>141.33789200000001</v>
      </c>
      <c r="B425" s="1">
        <f>DATE(2010,9,19) + TIME(8,6,33)</f>
        <v>40440.337881944448</v>
      </c>
      <c r="C425">
        <v>80</v>
      </c>
      <c r="D425">
        <v>79.913490295000003</v>
      </c>
      <c r="E425">
        <v>50</v>
      </c>
      <c r="F425">
        <v>15.221019745</v>
      </c>
      <c r="G425">
        <v>1382.6711425999999</v>
      </c>
      <c r="H425">
        <v>1369.7091064000001</v>
      </c>
      <c r="I425">
        <v>1253.6192627</v>
      </c>
      <c r="J425">
        <v>1214.1030272999999</v>
      </c>
      <c r="K425">
        <v>2400</v>
      </c>
      <c r="L425">
        <v>0</v>
      </c>
      <c r="M425">
        <v>0</v>
      </c>
      <c r="N425">
        <v>2400</v>
      </c>
    </row>
    <row r="426" spans="1:14" x14ac:dyDescent="0.25">
      <c r="A426">
        <v>141.79701800000001</v>
      </c>
      <c r="B426" s="1">
        <f>DATE(2010,9,19) + TIME(19,7,42)</f>
        <v>40440.797013888892</v>
      </c>
      <c r="C426">
        <v>80</v>
      </c>
      <c r="D426">
        <v>79.913551330999994</v>
      </c>
      <c r="E426">
        <v>50</v>
      </c>
      <c r="F426">
        <v>15.235507965</v>
      </c>
      <c r="G426">
        <v>1382.6450195</v>
      </c>
      <c r="H426">
        <v>1369.6838379000001</v>
      </c>
      <c r="I426">
        <v>1253.6508789</v>
      </c>
      <c r="J426">
        <v>1214.1345214999999</v>
      </c>
      <c r="K426">
        <v>2400</v>
      </c>
      <c r="L426">
        <v>0</v>
      </c>
      <c r="M426">
        <v>0</v>
      </c>
      <c r="N426">
        <v>2400</v>
      </c>
    </row>
    <row r="427" spans="1:14" x14ac:dyDescent="0.25">
      <c r="A427">
        <v>142.714631</v>
      </c>
      <c r="B427" s="1">
        <f>DATE(2010,9,20) + TIME(17,9,4)</f>
        <v>40441.714629629627</v>
      </c>
      <c r="C427">
        <v>80</v>
      </c>
      <c r="D427">
        <v>79.913688660000005</v>
      </c>
      <c r="E427">
        <v>50</v>
      </c>
      <c r="F427">
        <v>15.25807476</v>
      </c>
      <c r="G427">
        <v>1382.6068115</v>
      </c>
      <c r="H427">
        <v>1369.6467285000001</v>
      </c>
      <c r="I427">
        <v>1253.6892089999999</v>
      </c>
      <c r="J427">
        <v>1214.1768798999999</v>
      </c>
      <c r="K427">
        <v>2400</v>
      </c>
      <c r="L427">
        <v>0</v>
      </c>
      <c r="M427">
        <v>0</v>
      </c>
      <c r="N427">
        <v>2400</v>
      </c>
    </row>
    <row r="428" spans="1:14" x14ac:dyDescent="0.25">
      <c r="A428">
        <v>143.63648000000001</v>
      </c>
      <c r="B428" s="1">
        <f>DATE(2010,9,21) + TIME(15,16,31)</f>
        <v>40442.636469907404</v>
      </c>
      <c r="C428">
        <v>80</v>
      </c>
      <c r="D428">
        <v>79.913795471</v>
      </c>
      <c r="E428">
        <v>50</v>
      </c>
      <c r="F428">
        <v>15.287633895999999</v>
      </c>
      <c r="G428">
        <v>1382.5600586</v>
      </c>
      <c r="H428">
        <v>1369.6020507999999</v>
      </c>
      <c r="I428">
        <v>1253.75</v>
      </c>
      <c r="J428">
        <v>1214.2365723</v>
      </c>
      <c r="K428">
        <v>2400</v>
      </c>
      <c r="L428">
        <v>0</v>
      </c>
      <c r="M428">
        <v>0</v>
      </c>
      <c r="N428">
        <v>2400</v>
      </c>
    </row>
    <row r="429" spans="1:14" x14ac:dyDescent="0.25">
      <c r="A429">
        <v>144.57611299999999</v>
      </c>
      <c r="B429" s="1">
        <f>DATE(2010,9,22) + TIME(13,49,36)</f>
        <v>40443.576111111113</v>
      </c>
      <c r="C429">
        <v>80</v>
      </c>
      <c r="D429">
        <v>79.913909911999994</v>
      </c>
      <c r="E429">
        <v>50</v>
      </c>
      <c r="F429">
        <v>15.323057175000001</v>
      </c>
      <c r="G429">
        <v>1382.5101318</v>
      </c>
      <c r="H429">
        <v>1369.5539550999999</v>
      </c>
      <c r="I429">
        <v>1253.8164062000001</v>
      </c>
      <c r="J429">
        <v>1214.3033447</v>
      </c>
      <c r="K429">
        <v>2400</v>
      </c>
      <c r="L429">
        <v>0</v>
      </c>
      <c r="M429">
        <v>0</v>
      </c>
      <c r="N429">
        <v>2400</v>
      </c>
    </row>
    <row r="430" spans="1:14" x14ac:dyDescent="0.25">
      <c r="A430">
        <v>145.051132</v>
      </c>
      <c r="B430" s="1">
        <f>DATE(2010,9,23) + TIME(1,13,37)</f>
        <v>40444.051122685189</v>
      </c>
      <c r="C430">
        <v>80</v>
      </c>
      <c r="D430">
        <v>79.913940429999997</v>
      </c>
      <c r="E430">
        <v>50</v>
      </c>
      <c r="F430">
        <v>15.351132393</v>
      </c>
      <c r="G430">
        <v>1382.4741211</v>
      </c>
      <c r="H430">
        <v>1369.5198975000001</v>
      </c>
      <c r="I430">
        <v>1253.8789062000001</v>
      </c>
      <c r="J430">
        <v>1214.3599853999999</v>
      </c>
      <c r="K430">
        <v>2400</v>
      </c>
      <c r="L430">
        <v>0</v>
      </c>
      <c r="M430">
        <v>0</v>
      </c>
      <c r="N430">
        <v>2400</v>
      </c>
    </row>
    <row r="431" spans="1:14" x14ac:dyDescent="0.25">
      <c r="A431">
        <v>145.951866</v>
      </c>
      <c r="B431" s="1">
        <f>DATE(2010,9,23) + TIME(22,50,41)</f>
        <v>40444.951863425929</v>
      </c>
      <c r="C431">
        <v>80</v>
      </c>
      <c r="D431">
        <v>79.914070128999995</v>
      </c>
      <c r="E431">
        <v>50</v>
      </c>
      <c r="F431">
        <v>15.389929771</v>
      </c>
      <c r="G431">
        <v>1382.4298096</v>
      </c>
      <c r="H431">
        <v>1369.4766846</v>
      </c>
      <c r="I431">
        <v>1253.927124</v>
      </c>
      <c r="J431">
        <v>1214.4180908000001</v>
      </c>
      <c r="K431">
        <v>2400</v>
      </c>
      <c r="L431">
        <v>0</v>
      </c>
      <c r="M431">
        <v>0</v>
      </c>
      <c r="N431">
        <v>2400</v>
      </c>
    </row>
    <row r="432" spans="1:14" x14ac:dyDescent="0.25">
      <c r="A432">
        <v>146.420502</v>
      </c>
      <c r="B432" s="1">
        <f>DATE(2010,9,24) + TIME(10,5,31)</f>
        <v>40445.420497685183</v>
      </c>
      <c r="C432">
        <v>80</v>
      </c>
      <c r="D432">
        <v>79.914108275999993</v>
      </c>
      <c r="E432">
        <v>50</v>
      </c>
      <c r="F432">
        <v>15.421587944000001</v>
      </c>
      <c r="G432">
        <v>1382.3959961</v>
      </c>
      <c r="H432">
        <v>1369.4445800999999</v>
      </c>
      <c r="I432">
        <v>1253.9901123</v>
      </c>
      <c r="J432">
        <v>1214.4758300999999</v>
      </c>
      <c r="K432">
        <v>2400</v>
      </c>
      <c r="L432">
        <v>0</v>
      </c>
      <c r="M432">
        <v>0</v>
      </c>
      <c r="N432">
        <v>2400</v>
      </c>
    </row>
    <row r="433" spans="1:14" x14ac:dyDescent="0.25">
      <c r="A433">
        <v>147.31230600000001</v>
      </c>
      <c r="B433" s="1">
        <f>DATE(2010,9,25) + TIME(7,29,43)</f>
        <v>40446.312303240738</v>
      </c>
      <c r="C433">
        <v>80</v>
      </c>
      <c r="D433">
        <v>79.914230347</v>
      </c>
      <c r="E433">
        <v>50</v>
      </c>
      <c r="F433">
        <v>15.465911865000001</v>
      </c>
      <c r="G433">
        <v>1382.3529053</v>
      </c>
      <c r="H433">
        <v>1369.4027100000001</v>
      </c>
      <c r="I433">
        <v>1254.0383300999999</v>
      </c>
      <c r="J433">
        <v>1214.5358887</v>
      </c>
      <c r="K433">
        <v>2400</v>
      </c>
      <c r="L433">
        <v>0</v>
      </c>
      <c r="M433">
        <v>0</v>
      </c>
      <c r="N433">
        <v>2400</v>
      </c>
    </row>
    <row r="434" spans="1:14" x14ac:dyDescent="0.25">
      <c r="A434">
        <v>148.246004</v>
      </c>
      <c r="B434" s="1">
        <f>DATE(2010,9,26) + TIME(5,54,14)</f>
        <v>40447.245995370373</v>
      </c>
      <c r="C434">
        <v>80</v>
      </c>
      <c r="D434">
        <v>79.914352417000003</v>
      </c>
      <c r="E434">
        <v>50</v>
      </c>
      <c r="F434">
        <v>15.519514084000001</v>
      </c>
      <c r="G434">
        <v>1382.3048096</v>
      </c>
      <c r="H434">
        <v>1369.3563231999999</v>
      </c>
      <c r="I434">
        <v>1254.1114502</v>
      </c>
      <c r="J434">
        <v>1214.6135254000001</v>
      </c>
      <c r="K434">
        <v>2400</v>
      </c>
      <c r="L434">
        <v>0</v>
      </c>
      <c r="M434">
        <v>0</v>
      </c>
      <c r="N434">
        <v>2400</v>
      </c>
    </row>
    <row r="435" spans="1:14" x14ac:dyDescent="0.25">
      <c r="A435">
        <v>148.715035</v>
      </c>
      <c r="B435" s="1">
        <f>DATE(2010,9,26) + TIME(17,9,39)</f>
        <v>40447.71503472222</v>
      </c>
      <c r="C435">
        <v>80</v>
      </c>
      <c r="D435">
        <v>79.914390564000001</v>
      </c>
      <c r="E435">
        <v>50</v>
      </c>
      <c r="F435">
        <v>15.561973571999999</v>
      </c>
      <c r="G435">
        <v>1382.2700195</v>
      </c>
      <c r="H435">
        <v>1369.3232422000001</v>
      </c>
      <c r="I435">
        <v>1254.1853027</v>
      </c>
      <c r="J435">
        <v>1214.6821289</v>
      </c>
      <c r="K435">
        <v>2400</v>
      </c>
      <c r="L435">
        <v>0</v>
      </c>
      <c r="M435">
        <v>0</v>
      </c>
      <c r="N435">
        <v>2400</v>
      </c>
    </row>
    <row r="436" spans="1:14" x14ac:dyDescent="0.25">
      <c r="A436">
        <v>149.184065</v>
      </c>
      <c r="B436" s="1">
        <f>DATE(2010,9,27) + TIME(4,25,3)</f>
        <v>40448.184062499997</v>
      </c>
      <c r="C436">
        <v>80</v>
      </c>
      <c r="D436">
        <v>79.914436339999995</v>
      </c>
      <c r="E436">
        <v>50</v>
      </c>
      <c r="F436">
        <v>15.603028297</v>
      </c>
      <c r="G436">
        <v>1382.2392577999999</v>
      </c>
      <c r="H436">
        <v>1369.2935791</v>
      </c>
      <c r="I436">
        <v>1254.2320557</v>
      </c>
      <c r="J436">
        <v>1214.7359618999999</v>
      </c>
      <c r="K436">
        <v>2400</v>
      </c>
      <c r="L436">
        <v>0</v>
      </c>
      <c r="M436">
        <v>0</v>
      </c>
      <c r="N436">
        <v>2400</v>
      </c>
    </row>
    <row r="437" spans="1:14" x14ac:dyDescent="0.25">
      <c r="A437">
        <v>149.65309600000001</v>
      </c>
      <c r="B437" s="1">
        <f>DATE(2010,9,27) + TIME(15,40,27)</f>
        <v>40448.653090277781</v>
      </c>
      <c r="C437">
        <v>80</v>
      </c>
      <c r="D437">
        <v>79.914497374999996</v>
      </c>
      <c r="E437">
        <v>50</v>
      </c>
      <c r="F437">
        <v>15.643945693999999</v>
      </c>
      <c r="G437">
        <v>1382.2106934000001</v>
      </c>
      <c r="H437">
        <v>1369.2658690999999</v>
      </c>
      <c r="I437">
        <v>1254.2766113</v>
      </c>
      <c r="J437">
        <v>1214.7873535000001</v>
      </c>
      <c r="K437">
        <v>2400</v>
      </c>
      <c r="L437">
        <v>0</v>
      </c>
      <c r="M437">
        <v>0</v>
      </c>
      <c r="N437">
        <v>2400</v>
      </c>
    </row>
    <row r="438" spans="1:14" x14ac:dyDescent="0.25">
      <c r="A438">
        <v>150.12212700000001</v>
      </c>
      <c r="B438" s="1">
        <f>DATE(2010,9,28) + TIME(2,55,51)</f>
        <v>40449.122118055559</v>
      </c>
      <c r="C438">
        <v>80</v>
      </c>
      <c r="D438">
        <v>79.914550781000003</v>
      </c>
      <c r="E438">
        <v>50</v>
      </c>
      <c r="F438">
        <v>15.685563087</v>
      </c>
      <c r="G438">
        <v>1382.1832274999999</v>
      </c>
      <c r="H438">
        <v>1369.2393798999999</v>
      </c>
      <c r="I438">
        <v>1254.3208007999999</v>
      </c>
      <c r="J438">
        <v>1214.8383789</v>
      </c>
      <c r="K438">
        <v>2400</v>
      </c>
      <c r="L438">
        <v>0</v>
      </c>
      <c r="M438">
        <v>0</v>
      </c>
      <c r="N438">
        <v>2400</v>
      </c>
    </row>
    <row r="439" spans="1:14" x14ac:dyDescent="0.25">
      <c r="A439">
        <v>150.59115700000001</v>
      </c>
      <c r="B439" s="1">
        <f>DATE(2010,9,28) + TIME(14,11,15)</f>
        <v>40449.591145833336</v>
      </c>
      <c r="C439">
        <v>80</v>
      </c>
      <c r="D439">
        <v>79.914611816000004</v>
      </c>
      <c r="E439">
        <v>50</v>
      </c>
      <c r="F439">
        <v>15.728442191999999</v>
      </c>
      <c r="G439">
        <v>1382.1563721</v>
      </c>
      <c r="H439">
        <v>1369.2133789</v>
      </c>
      <c r="I439">
        <v>1254.3654785000001</v>
      </c>
      <c r="J439">
        <v>1214.8897704999999</v>
      </c>
      <c r="K439">
        <v>2400</v>
      </c>
      <c r="L439">
        <v>0</v>
      </c>
      <c r="M439">
        <v>0</v>
      </c>
      <c r="N439">
        <v>2400</v>
      </c>
    </row>
    <row r="440" spans="1:14" x14ac:dyDescent="0.25">
      <c r="A440">
        <v>151.06018800000001</v>
      </c>
      <c r="B440" s="1">
        <f>DATE(2010,9,29) + TIME(1,26,40)</f>
        <v>40450.060185185182</v>
      </c>
      <c r="C440">
        <v>80</v>
      </c>
      <c r="D440">
        <v>79.914672851999995</v>
      </c>
      <c r="E440">
        <v>50</v>
      </c>
      <c r="F440">
        <v>15.7729702</v>
      </c>
      <c r="G440">
        <v>1382.1297606999999</v>
      </c>
      <c r="H440">
        <v>1369.1876221</v>
      </c>
      <c r="I440">
        <v>1254.4107666</v>
      </c>
      <c r="J440">
        <v>1214.9421387</v>
      </c>
      <c r="K440">
        <v>2400</v>
      </c>
      <c r="L440">
        <v>0</v>
      </c>
      <c r="M440">
        <v>0</v>
      </c>
      <c r="N440">
        <v>2400</v>
      </c>
    </row>
    <row r="441" spans="1:14" x14ac:dyDescent="0.25">
      <c r="A441">
        <v>151.52921799999999</v>
      </c>
      <c r="B441" s="1">
        <f>DATE(2010,9,29) + TIME(12,42,4)</f>
        <v>40450.52921296296</v>
      </c>
      <c r="C441">
        <v>80</v>
      </c>
      <c r="D441">
        <v>79.914726256999998</v>
      </c>
      <c r="E441">
        <v>50</v>
      </c>
      <c r="F441">
        <v>15.819425582999999</v>
      </c>
      <c r="G441">
        <v>1382.1032714999999</v>
      </c>
      <c r="H441">
        <v>1369.1622314000001</v>
      </c>
      <c r="I441">
        <v>1254.4566649999999</v>
      </c>
      <c r="J441">
        <v>1214.9954834</v>
      </c>
      <c r="K441">
        <v>2400</v>
      </c>
      <c r="L441">
        <v>0</v>
      </c>
      <c r="M441">
        <v>0</v>
      </c>
      <c r="N441">
        <v>2400</v>
      </c>
    </row>
    <row r="442" spans="1:14" x14ac:dyDescent="0.25">
      <c r="A442">
        <v>151.99824899999999</v>
      </c>
      <c r="B442" s="1">
        <f>DATE(2010,9,29) + TIME(23,57,28)</f>
        <v>40450.998240740744</v>
      </c>
      <c r="C442">
        <v>80</v>
      </c>
      <c r="D442">
        <v>79.914787292</v>
      </c>
      <c r="E442">
        <v>50</v>
      </c>
      <c r="F442">
        <v>15.868017197</v>
      </c>
      <c r="G442">
        <v>1382.0771483999999</v>
      </c>
      <c r="H442">
        <v>1369.1368408000001</v>
      </c>
      <c r="I442">
        <v>1254.5031738</v>
      </c>
      <c r="J442">
        <v>1215.0500488</v>
      </c>
      <c r="K442">
        <v>2400</v>
      </c>
      <c r="L442">
        <v>0</v>
      </c>
      <c r="M442">
        <v>0</v>
      </c>
      <c r="N442">
        <v>2400</v>
      </c>
    </row>
    <row r="443" spans="1:14" x14ac:dyDescent="0.25">
      <c r="A443">
        <v>152.466284</v>
      </c>
      <c r="B443" s="1">
        <f>DATE(2010,9,30) + TIME(11,11,26)</f>
        <v>40451.466273148151</v>
      </c>
      <c r="C443">
        <v>80</v>
      </c>
      <c r="D443">
        <v>79.914840698000006</v>
      </c>
      <c r="E443">
        <v>50</v>
      </c>
      <c r="F443">
        <v>15.918841362</v>
      </c>
      <c r="G443">
        <v>1382.0510254000001</v>
      </c>
      <c r="H443">
        <v>1369.1116943</v>
      </c>
      <c r="I443">
        <v>1254.550293</v>
      </c>
      <c r="J443">
        <v>1215.1058350000001</v>
      </c>
      <c r="K443">
        <v>2400</v>
      </c>
      <c r="L443">
        <v>0</v>
      </c>
      <c r="M443">
        <v>0</v>
      </c>
      <c r="N443">
        <v>2400</v>
      </c>
    </row>
    <row r="444" spans="1:14" x14ac:dyDescent="0.25">
      <c r="A444">
        <v>153</v>
      </c>
      <c r="B444" s="1">
        <f>DATE(2010,10,1) + TIME(0,0,0)</f>
        <v>40452</v>
      </c>
      <c r="C444">
        <v>80</v>
      </c>
      <c r="D444">
        <v>79.914909363000007</v>
      </c>
      <c r="E444">
        <v>50</v>
      </c>
      <c r="F444">
        <v>15.976561545999999</v>
      </c>
      <c r="G444">
        <v>1382.0228271000001</v>
      </c>
      <c r="H444">
        <v>1369.0843506000001</v>
      </c>
      <c r="I444">
        <v>1254.5980225000001</v>
      </c>
      <c r="J444">
        <v>1215.1657714999999</v>
      </c>
      <c r="K444">
        <v>2400</v>
      </c>
      <c r="L444">
        <v>0</v>
      </c>
      <c r="M444">
        <v>0</v>
      </c>
      <c r="N444">
        <v>2400</v>
      </c>
    </row>
    <row r="445" spans="1:14" x14ac:dyDescent="0.25">
      <c r="A445">
        <v>153.46708699999999</v>
      </c>
      <c r="B445" s="1">
        <f>DATE(2010,10,1) + TIME(11,12,36)</f>
        <v>40452.467083333337</v>
      </c>
      <c r="C445">
        <v>80</v>
      </c>
      <c r="D445">
        <v>79.914962768999999</v>
      </c>
      <c r="E445">
        <v>50</v>
      </c>
      <c r="F445">
        <v>16.033712387000001</v>
      </c>
      <c r="G445">
        <v>1381.9963379000001</v>
      </c>
      <c r="H445">
        <v>1369.0588379000001</v>
      </c>
      <c r="I445">
        <v>1254.6525879000001</v>
      </c>
      <c r="J445">
        <v>1215.2281493999999</v>
      </c>
      <c r="K445">
        <v>2400</v>
      </c>
      <c r="L445">
        <v>0</v>
      </c>
      <c r="M445">
        <v>0</v>
      </c>
      <c r="N445">
        <v>2400</v>
      </c>
    </row>
    <row r="446" spans="1:14" x14ac:dyDescent="0.25">
      <c r="A446">
        <v>153.92618300000001</v>
      </c>
      <c r="B446" s="1">
        <f>DATE(2010,10,1) + TIME(22,13,42)</f>
        <v>40452.926180555558</v>
      </c>
      <c r="C446">
        <v>80</v>
      </c>
      <c r="D446">
        <v>79.915023804</v>
      </c>
      <c r="E446">
        <v>50</v>
      </c>
      <c r="F446">
        <v>16.092445374</v>
      </c>
      <c r="G446">
        <v>1381.9705810999999</v>
      </c>
      <c r="H446">
        <v>1369.0339355000001</v>
      </c>
      <c r="I446">
        <v>1254.7021483999999</v>
      </c>
      <c r="J446">
        <v>1215.2888184000001</v>
      </c>
      <c r="K446">
        <v>2400</v>
      </c>
      <c r="L446">
        <v>0</v>
      </c>
      <c r="M446">
        <v>0</v>
      </c>
      <c r="N446">
        <v>2400</v>
      </c>
    </row>
    <row r="447" spans="1:14" x14ac:dyDescent="0.25">
      <c r="A447">
        <v>154.385279</v>
      </c>
      <c r="B447" s="1">
        <f>DATE(2010,10,2) + TIME(9,14,48)</f>
        <v>40453.385277777779</v>
      </c>
      <c r="C447">
        <v>80</v>
      </c>
      <c r="D447">
        <v>79.915077209000003</v>
      </c>
      <c r="E447">
        <v>50</v>
      </c>
      <c r="F447">
        <v>16.153448104999999</v>
      </c>
      <c r="G447">
        <v>1381.9449463000001</v>
      </c>
      <c r="H447">
        <v>1369.0092772999999</v>
      </c>
      <c r="I447">
        <v>1254.7510986</v>
      </c>
      <c r="J447">
        <v>1215.3499756000001</v>
      </c>
      <c r="K447">
        <v>2400</v>
      </c>
      <c r="L447">
        <v>0</v>
      </c>
      <c r="M447">
        <v>0</v>
      </c>
      <c r="N447">
        <v>2400</v>
      </c>
    </row>
    <row r="448" spans="1:14" x14ac:dyDescent="0.25">
      <c r="A448">
        <v>154.84437500000001</v>
      </c>
      <c r="B448" s="1">
        <f>DATE(2010,10,2) + TIME(20,15,54)</f>
        <v>40453.844375000001</v>
      </c>
      <c r="C448">
        <v>80</v>
      </c>
      <c r="D448">
        <v>79.915130614999995</v>
      </c>
      <c r="E448">
        <v>50</v>
      </c>
      <c r="F448">
        <v>16.216949462999999</v>
      </c>
      <c r="G448">
        <v>1381.9196777</v>
      </c>
      <c r="H448">
        <v>1368.9847411999999</v>
      </c>
      <c r="I448">
        <v>1254.8006591999999</v>
      </c>
      <c r="J448">
        <v>1215.4125977000001</v>
      </c>
      <c r="K448">
        <v>2400</v>
      </c>
      <c r="L448">
        <v>0</v>
      </c>
      <c r="M448">
        <v>0</v>
      </c>
      <c r="N448">
        <v>2400</v>
      </c>
    </row>
    <row r="449" spans="1:14" x14ac:dyDescent="0.25">
      <c r="A449">
        <v>155.303471</v>
      </c>
      <c r="B449" s="1">
        <f>DATE(2010,10,3) + TIME(7,16,59)</f>
        <v>40454.303460648145</v>
      </c>
      <c r="C449">
        <v>80</v>
      </c>
      <c r="D449">
        <v>79.915184021000002</v>
      </c>
      <c r="E449">
        <v>50</v>
      </c>
      <c r="F449">
        <v>16.283117294</v>
      </c>
      <c r="G449">
        <v>1381.8944091999999</v>
      </c>
      <c r="H449">
        <v>1368.9603271000001</v>
      </c>
      <c r="I449">
        <v>1254.8507079999999</v>
      </c>
      <c r="J449">
        <v>1215.4765625</v>
      </c>
      <c r="K449">
        <v>2400</v>
      </c>
      <c r="L449">
        <v>0</v>
      </c>
      <c r="M449">
        <v>0</v>
      </c>
      <c r="N449">
        <v>2400</v>
      </c>
    </row>
    <row r="450" spans="1:14" x14ac:dyDescent="0.25">
      <c r="A450">
        <v>155.76256699999999</v>
      </c>
      <c r="B450" s="1">
        <f>DATE(2010,10,3) + TIME(18,18,5)</f>
        <v>40454.762557870374</v>
      </c>
      <c r="C450">
        <v>80</v>
      </c>
      <c r="D450">
        <v>79.915237426999994</v>
      </c>
      <c r="E450">
        <v>50</v>
      </c>
      <c r="F450">
        <v>16.352085114000001</v>
      </c>
      <c r="G450">
        <v>1381.8691406</v>
      </c>
      <c r="H450">
        <v>1368.9359131000001</v>
      </c>
      <c r="I450">
        <v>1254.9014893000001</v>
      </c>
      <c r="J450">
        <v>1215.5419922000001</v>
      </c>
      <c r="K450">
        <v>2400</v>
      </c>
      <c r="L450">
        <v>0</v>
      </c>
      <c r="M450">
        <v>0</v>
      </c>
      <c r="N450">
        <v>2400</v>
      </c>
    </row>
    <row r="451" spans="1:14" x14ac:dyDescent="0.25">
      <c r="A451">
        <v>156.22166300000001</v>
      </c>
      <c r="B451" s="1">
        <f>DATE(2010,10,4) + TIME(5,19,11)</f>
        <v>40455.221655092595</v>
      </c>
      <c r="C451">
        <v>80</v>
      </c>
      <c r="D451">
        <v>79.915298461999996</v>
      </c>
      <c r="E451">
        <v>50</v>
      </c>
      <c r="F451">
        <v>16.423963547</v>
      </c>
      <c r="G451">
        <v>1381.8439940999999</v>
      </c>
      <c r="H451">
        <v>1368.9116211</v>
      </c>
      <c r="I451">
        <v>1254.9527588000001</v>
      </c>
      <c r="J451">
        <v>1215.6091309000001</v>
      </c>
      <c r="K451">
        <v>2400</v>
      </c>
      <c r="L451">
        <v>0</v>
      </c>
      <c r="M451">
        <v>0</v>
      </c>
      <c r="N451">
        <v>2400</v>
      </c>
    </row>
    <row r="452" spans="1:14" x14ac:dyDescent="0.25">
      <c r="A452">
        <v>156.68075899999999</v>
      </c>
      <c r="B452" s="1">
        <f>DATE(2010,10,4) + TIME(16,20,17)</f>
        <v>40455.680752314816</v>
      </c>
      <c r="C452">
        <v>80</v>
      </c>
      <c r="D452">
        <v>79.915351868000002</v>
      </c>
      <c r="E452">
        <v>50</v>
      </c>
      <c r="F452">
        <v>16.498846054000001</v>
      </c>
      <c r="G452">
        <v>1381.8189697</v>
      </c>
      <c r="H452">
        <v>1368.8874512</v>
      </c>
      <c r="I452">
        <v>1255.0046387</v>
      </c>
      <c r="J452">
        <v>1215.6778564000001</v>
      </c>
      <c r="K452">
        <v>2400</v>
      </c>
      <c r="L452">
        <v>0</v>
      </c>
      <c r="M452">
        <v>0</v>
      </c>
      <c r="N452">
        <v>2400</v>
      </c>
    </row>
    <row r="453" spans="1:14" x14ac:dyDescent="0.25">
      <c r="A453">
        <v>157.13985500000001</v>
      </c>
      <c r="B453" s="1">
        <f>DATE(2010,10,5) + TIME(3,21,23)</f>
        <v>40456.139849537038</v>
      </c>
      <c r="C453">
        <v>80</v>
      </c>
      <c r="D453">
        <v>79.915405273000005</v>
      </c>
      <c r="E453">
        <v>50</v>
      </c>
      <c r="F453">
        <v>16.576810837</v>
      </c>
      <c r="G453">
        <v>1381.7939452999999</v>
      </c>
      <c r="H453">
        <v>1368.8631591999999</v>
      </c>
      <c r="I453">
        <v>1255.0571289</v>
      </c>
      <c r="J453">
        <v>1215.7482910000001</v>
      </c>
      <c r="K453">
        <v>2400</v>
      </c>
      <c r="L453">
        <v>0</v>
      </c>
      <c r="M453">
        <v>0</v>
      </c>
      <c r="N453">
        <v>2400</v>
      </c>
    </row>
    <row r="454" spans="1:14" x14ac:dyDescent="0.25">
      <c r="A454">
        <v>158.05804699999999</v>
      </c>
      <c r="B454" s="1">
        <f>DATE(2010,10,6) + TIME(1,23,35)</f>
        <v>40457.05804398148</v>
      </c>
      <c r="C454">
        <v>80</v>
      </c>
      <c r="D454">
        <v>79.915534973000007</v>
      </c>
      <c r="E454">
        <v>50</v>
      </c>
      <c r="F454">
        <v>16.695476532000001</v>
      </c>
      <c r="G454">
        <v>1381.7564697</v>
      </c>
      <c r="H454">
        <v>1368.8266602000001</v>
      </c>
      <c r="I454">
        <v>1255.1068115</v>
      </c>
      <c r="J454">
        <v>1215.8394774999999</v>
      </c>
      <c r="K454">
        <v>2400</v>
      </c>
      <c r="L454">
        <v>0</v>
      </c>
      <c r="M454">
        <v>0</v>
      </c>
      <c r="N454">
        <v>2400</v>
      </c>
    </row>
    <row r="455" spans="1:14" x14ac:dyDescent="0.25">
      <c r="A455">
        <v>158.98011199999999</v>
      </c>
      <c r="B455" s="1">
        <f>DATE(2010,10,6) + TIME(23,31,21)</f>
        <v>40457.980104166665</v>
      </c>
      <c r="C455">
        <v>80</v>
      </c>
      <c r="D455">
        <v>79.915641785000005</v>
      </c>
      <c r="E455">
        <v>50</v>
      </c>
      <c r="F455">
        <v>16.84737587</v>
      </c>
      <c r="G455">
        <v>1381.7119141000001</v>
      </c>
      <c r="H455">
        <v>1368.7836914</v>
      </c>
      <c r="I455">
        <v>1255.2126464999999</v>
      </c>
      <c r="J455">
        <v>1215.9760742000001</v>
      </c>
      <c r="K455">
        <v>2400</v>
      </c>
      <c r="L455">
        <v>0</v>
      </c>
      <c r="M455">
        <v>0</v>
      </c>
      <c r="N455">
        <v>2400</v>
      </c>
    </row>
    <row r="456" spans="1:14" x14ac:dyDescent="0.25">
      <c r="A456">
        <v>159.924204</v>
      </c>
      <c r="B456" s="1">
        <f>DATE(2010,10,7) + TIME(22,10,51)</f>
        <v>40458.924201388887</v>
      </c>
      <c r="C456">
        <v>80</v>
      </c>
      <c r="D456">
        <v>79.915756225999999</v>
      </c>
      <c r="E456">
        <v>50</v>
      </c>
      <c r="F456">
        <v>17.024066925</v>
      </c>
      <c r="G456">
        <v>1381.6640625</v>
      </c>
      <c r="H456">
        <v>1368.7374268000001</v>
      </c>
      <c r="I456">
        <v>1255.3223877</v>
      </c>
      <c r="J456">
        <v>1216.1280518000001</v>
      </c>
      <c r="K456">
        <v>2400</v>
      </c>
      <c r="L456">
        <v>0</v>
      </c>
      <c r="M456">
        <v>0</v>
      </c>
      <c r="N456">
        <v>2400</v>
      </c>
    </row>
    <row r="457" spans="1:14" x14ac:dyDescent="0.25">
      <c r="A457">
        <v>160.40508800000001</v>
      </c>
      <c r="B457" s="1">
        <f>DATE(2010,10,8) + TIME(9,43,19)</f>
        <v>40459.405081018522</v>
      </c>
      <c r="C457">
        <v>80</v>
      </c>
      <c r="D457">
        <v>79.915786742999998</v>
      </c>
      <c r="E457">
        <v>50</v>
      </c>
      <c r="F457">
        <v>17.161100388000001</v>
      </c>
      <c r="G457">
        <v>1381.630249</v>
      </c>
      <c r="H457">
        <v>1368.7050781</v>
      </c>
      <c r="I457">
        <v>1255.4431152</v>
      </c>
      <c r="J457">
        <v>1216.2633057</v>
      </c>
      <c r="K457">
        <v>2400</v>
      </c>
      <c r="L457">
        <v>0</v>
      </c>
      <c r="M457">
        <v>0</v>
      </c>
      <c r="N457">
        <v>2400</v>
      </c>
    </row>
    <row r="458" spans="1:14" x14ac:dyDescent="0.25">
      <c r="A458">
        <v>160.88360499999999</v>
      </c>
      <c r="B458" s="1">
        <f>DATE(2010,10,8) + TIME(21,12,23)</f>
        <v>40459.883599537039</v>
      </c>
      <c r="C458">
        <v>80</v>
      </c>
      <c r="D458">
        <v>79.915840149000005</v>
      </c>
      <c r="E458">
        <v>50</v>
      </c>
      <c r="F458">
        <v>17.289825439000001</v>
      </c>
      <c r="G458">
        <v>1381.5999756000001</v>
      </c>
      <c r="H458">
        <v>1368.6757812000001</v>
      </c>
      <c r="I458">
        <v>1255.5040283000001</v>
      </c>
      <c r="J458">
        <v>1216.364624</v>
      </c>
      <c r="K458">
        <v>2400</v>
      </c>
      <c r="L458">
        <v>0</v>
      </c>
      <c r="M458">
        <v>0</v>
      </c>
      <c r="N458">
        <v>2400</v>
      </c>
    </row>
    <row r="459" spans="1:14" x14ac:dyDescent="0.25">
      <c r="A459">
        <v>161.36195000000001</v>
      </c>
      <c r="B459" s="1">
        <f>DATE(2010,10,9) + TIME(8,41,12)</f>
        <v>40460.361944444441</v>
      </c>
      <c r="C459">
        <v>80</v>
      </c>
      <c r="D459">
        <v>79.915893554999997</v>
      </c>
      <c r="E459">
        <v>50</v>
      </c>
      <c r="F459">
        <v>17.415000916</v>
      </c>
      <c r="G459">
        <v>1381.5717772999999</v>
      </c>
      <c r="H459">
        <v>1368.6484375</v>
      </c>
      <c r="I459">
        <v>1255.5623779</v>
      </c>
      <c r="J459">
        <v>1216.4614257999999</v>
      </c>
      <c r="K459">
        <v>2400</v>
      </c>
      <c r="L459">
        <v>0</v>
      </c>
      <c r="M459">
        <v>0</v>
      </c>
      <c r="N459">
        <v>2400</v>
      </c>
    </row>
    <row r="460" spans="1:14" x14ac:dyDescent="0.25">
      <c r="A460">
        <v>161.840296</v>
      </c>
      <c r="B460" s="1">
        <f>DATE(2010,10,9) + TIME(20,10,1)</f>
        <v>40460.840289351851</v>
      </c>
      <c r="C460">
        <v>80</v>
      </c>
      <c r="D460">
        <v>79.915954589999998</v>
      </c>
      <c r="E460">
        <v>50</v>
      </c>
      <c r="F460">
        <v>17.539402008</v>
      </c>
      <c r="G460">
        <v>1381.5446777</v>
      </c>
      <c r="H460">
        <v>1368.6220702999999</v>
      </c>
      <c r="I460">
        <v>1255.6212158000001</v>
      </c>
      <c r="J460">
        <v>1216.5576172000001</v>
      </c>
      <c r="K460">
        <v>2400</v>
      </c>
      <c r="L460">
        <v>0</v>
      </c>
      <c r="M460">
        <v>0</v>
      </c>
      <c r="N460">
        <v>2400</v>
      </c>
    </row>
    <row r="461" spans="1:14" x14ac:dyDescent="0.25">
      <c r="A461">
        <v>162.31864100000001</v>
      </c>
      <c r="B461" s="1">
        <f>DATE(2010,10,10) + TIME(7,38,50)</f>
        <v>40461.31863425926</v>
      </c>
      <c r="C461">
        <v>80</v>
      </c>
      <c r="D461">
        <v>79.916007996000005</v>
      </c>
      <c r="E461">
        <v>50</v>
      </c>
      <c r="F461">
        <v>17.664737701</v>
      </c>
      <c r="G461">
        <v>1381.5179443</v>
      </c>
      <c r="H461">
        <v>1368.5961914</v>
      </c>
      <c r="I461">
        <v>1255.6806641000001</v>
      </c>
      <c r="J461">
        <v>1216.6544189000001</v>
      </c>
      <c r="K461">
        <v>2400</v>
      </c>
      <c r="L461">
        <v>0</v>
      </c>
      <c r="M461">
        <v>0</v>
      </c>
      <c r="N461">
        <v>2400</v>
      </c>
    </row>
    <row r="462" spans="1:14" x14ac:dyDescent="0.25">
      <c r="A462">
        <v>162.796987</v>
      </c>
      <c r="B462" s="1">
        <f>DATE(2010,10,10) + TIME(19,7,39)</f>
        <v>40461.796979166669</v>
      </c>
      <c r="C462">
        <v>80</v>
      </c>
      <c r="D462">
        <v>79.916069031000006</v>
      </c>
      <c r="E462">
        <v>50</v>
      </c>
      <c r="F462">
        <v>17.792057036999999</v>
      </c>
      <c r="G462">
        <v>1381.4916992000001</v>
      </c>
      <c r="H462">
        <v>1368.5706786999999</v>
      </c>
      <c r="I462">
        <v>1255.7407227000001</v>
      </c>
      <c r="J462">
        <v>1216.7524414</v>
      </c>
      <c r="K462">
        <v>2400</v>
      </c>
      <c r="L462">
        <v>0</v>
      </c>
      <c r="M462">
        <v>0</v>
      </c>
      <c r="N462">
        <v>2400</v>
      </c>
    </row>
    <row r="463" spans="1:14" x14ac:dyDescent="0.25">
      <c r="A463">
        <v>163.27533199999999</v>
      </c>
      <c r="B463" s="1">
        <f>DATE(2010,10,11) + TIME(6,36,28)</f>
        <v>40462.275324074071</v>
      </c>
      <c r="C463">
        <v>80</v>
      </c>
      <c r="D463">
        <v>79.916122436999999</v>
      </c>
      <c r="E463">
        <v>50</v>
      </c>
      <c r="F463">
        <v>17.921991347999999</v>
      </c>
      <c r="G463">
        <v>1381.4655762</v>
      </c>
      <c r="H463">
        <v>1368.5454102000001</v>
      </c>
      <c r="I463">
        <v>1255.8012695</v>
      </c>
      <c r="J463">
        <v>1216.8519286999999</v>
      </c>
      <c r="K463">
        <v>2400</v>
      </c>
      <c r="L463">
        <v>0</v>
      </c>
      <c r="M463">
        <v>0</v>
      </c>
      <c r="N463">
        <v>2400</v>
      </c>
    </row>
    <row r="464" spans="1:14" x14ac:dyDescent="0.25">
      <c r="A464">
        <v>163.75367800000001</v>
      </c>
      <c r="B464" s="1">
        <f>DATE(2010,10,11) + TIME(18,5,17)</f>
        <v>40462.753668981481</v>
      </c>
      <c r="C464">
        <v>80</v>
      </c>
      <c r="D464">
        <v>79.916183472</v>
      </c>
      <c r="E464">
        <v>50</v>
      </c>
      <c r="F464">
        <v>18.054916381999998</v>
      </c>
      <c r="G464">
        <v>1381.4395752</v>
      </c>
      <c r="H464">
        <v>1368.5202637</v>
      </c>
      <c r="I464">
        <v>1255.8621826000001</v>
      </c>
      <c r="J464">
        <v>1216.953125</v>
      </c>
      <c r="K464">
        <v>2400</v>
      </c>
      <c r="L464">
        <v>0</v>
      </c>
      <c r="M464">
        <v>0</v>
      </c>
      <c r="N464">
        <v>2400</v>
      </c>
    </row>
    <row r="465" spans="1:14" x14ac:dyDescent="0.25">
      <c r="A465">
        <v>164.232023</v>
      </c>
      <c r="B465" s="1">
        <f>DATE(2010,10,12) + TIME(5,34,6)</f>
        <v>40463.23201388889</v>
      </c>
      <c r="C465">
        <v>80</v>
      </c>
      <c r="D465">
        <v>79.916236877000003</v>
      </c>
      <c r="E465">
        <v>50</v>
      </c>
      <c r="F465">
        <v>18.191043854</v>
      </c>
      <c r="G465">
        <v>1381.4138184000001</v>
      </c>
      <c r="H465">
        <v>1368.4951172000001</v>
      </c>
      <c r="I465">
        <v>1255.9233397999999</v>
      </c>
      <c r="J465">
        <v>1217.0561522999999</v>
      </c>
      <c r="K465">
        <v>2400</v>
      </c>
      <c r="L465">
        <v>0</v>
      </c>
      <c r="M465">
        <v>0</v>
      </c>
      <c r="N465">
        <v>2400</v>
      </c>
    </row>
    <row r="466" spans="1:14" x14ac:dyDescent="0.25">
      <c r="A466">
        <v>164.71036899999999</v>
      </c>
      <c r="B466" s="1">
        <f>DATE(2010,10,12) + TIME(17,2,55)</f>
        <v>40463.710358796299</v>
      </c>
      <c r="C466">
        <v>80</v>
      </c>
      <c r="D466">
        <v>79.916297912999994</v>
      </c>
      <c r="E466">
        <v>50</v>
      </c>
      <c r="F466">
        <v>18.330474853999998</v>
      </c>
      <c r="G466">
        <v>1381.3880615</v>
      </c>
      <c r="H466">
        <v>1368.4702147999999</v>
      </c>
      <c r="I466">
        <v>1255.9848632999999</v>
      </c>
      <c r="J466">
        <v>1217.1610106999999</v>
      </c>
      <c r="K466">
        <v>2400</v>
      </c>
      <c r="L466">
        <v>0</v>
      </c>
      <c r="M466">
        <v>0</v>
      </c>
      <c r="N466">
        <v>2400</v>
      </c>
    </row>
    <row r="467" spans="1:14" x14ac:dyDescent="0.25">
      <c r="A467">
        <v>165.188714</v>
      </c>
      <c r="B467" s="1">
        <f>DATE(2010,10,13) + TIME(4,31,44)</f>
        <v>40464.188703703701</v>
      </c>
      <c r="C467">
        <v>80</v>
      </c>
      <c r="D467">
        <v>79.916351317999997</v>
      </c>
      <c r="E467">
        <v>50</v>
      </c>
      <c r="F467">
        <v>18.473243712999999</v>
      </c>
      <c r="G467">
        <v>1381.3624268000001</v>
      </c>
      <c r="H467">
        <v>1368.4453125</v>
      </c>
      <c r="I467">
        <v>1256.0466309000001</v>
      </c>
      <c r="J467">
        <v>1217.2675781</v>
      </c>
      <c r="K467">
        <v>2400</v>
      </c>
      <c r="L467">
        <v>0</v>
      </c>
      <c r="M467">
        <v>0</v>
      </c>
      <c r="N467">
        <v>2400</v>
      </c>
    </row>
    <row r="468" spans="1:14" x14ac:dyDescent="0.25">
      <c r="A468">
        <v>165.66705999999999</v>
      </c>
      <c r="B468" s="1">
        <f>DATE(2010,10,13) + TIME(16,0,33)</f>
        <v>40464.667048611111</v>
      </c>
      <c r="C468">
        <v>80</v>
      </c>
      <c r="D468">
        <v>79.916412354000002</v>
      </c>
      <c r="E468">
        <v>50</v>
      </c>
      <c r="F468">
        <v>18.619337082000001</v>
      </c>
      <c r="G468">
        <v>1381.3367920000001</v>
      </c>
      <c r="H468">
        <v>1368.4205322</v>
      </c>
      <c r="I468">
        <v>1256.1085204999999</v>
      </c>
      <c r="J468">
        <v>1217.3759766000001</v>
      </c>
      <c r="K468">
        <v>2400</v>
      </c>
      <c r="L468">
        <v>0</v>
      </c>
      <c r="M468">
        <v>0</v>
      </c>
      <c r="N468">
        <v>2400</v>
      </c>
    </row>
    <row r="469" spans="1:14" x14ac:dyDescent="0.25">
      <c r="A469">
        <v>166.14540500000001</v>
      </c>
      <c r="B469" s="1">
        <f>DATE(2010,10,14) + TIME(3,29,23)</f>
        <v>40465.145405092589</v>
      </c>
      <c r="C469">
        <v>80</v>
      </c>
      <c r="D469">
        <v>79.916465759000005</v>
      </c>
      <c r="E469">
        <v>50</v>
      </c>
      <c r="F469">
        <v>18.768707275000001</v>
      </c>
      <c r="G469">
        <v>1381.3112793</v>
      </c>
      <c r="H469">
        <v>1368.3957519999999</v>
      </c>
      <c r="I469">
        <v>1256.1705322</v>
      </c>
      <c r="J469">
        <v>1217.4860839999999</v>
      </c>
      <c r="K469">
        <v>2400</v>
      </c>
      <c r="L469">
        <v>0</v>
      </c>
      <c r="M469">
        <v>0</v>
      </c>
      <c r="N469">
        <v>2400</v>
      </c>
    </row>
    <row r="470" spans="1:14" x14ac:dyDescent="0.25">
      <c r="A470">
        <v>166.623751</v>
      </c>
      <c r="B470" s="1">
        <f>DATE(2010,10,14) + TIME(14,58,12)</f>
        <v>40465.623749999999</v>
      </c>
      <c r="C470">
        <v>80</v>
      </c>
      <c r="D470">
        <v>79.916519164999997</v>
      </c>
      <c r="E470">
        <v>50</v>
      </c>
      <c r="F470">
        <v>18.921268463000001</v>
      </c>
      <c r="G470">
        <v>1381.2858887</v>
      </c>
      <c r="H470">
        <v>1368.3710937999999</v>
      </c>
      <c r="I470">
        <v>1256.2327881000001</v>
      </c>
      <c r="J470">
        <v>1217.5979004000001</v>
      </c>
      <c r="K470">
        <v>2400</v>
      </c>
      <c r="L470">
        <v>0</v>
      </c>
      <c r="M470">
        <v>0</v>
      </c>
      <c r="N470">
        <v>2400</v>
      </c>
    </row>
    <row r="471" spans="1:14" x14ac:dyDescent="0.25">
      <c r="A471">
        <v>167.10209599999999</v>
      </c>
      <c r="B471" s="1">
        <f>DATE(2010,10,15) + TIME(2,27,1)</f>
        <v>40466.102094907408</v>
      </c>
      <c r="C471">
        <v>80</v>
      </c>
      <c r="D471">
        <v>79.916580199999999</v>
      </c>
      <c r="E471">
        <v>50</v>
      </c>
      <c r="F471">
        <v>19.076896667</v>
      </c>
      <c r="G471">
        <v>1381.2604980000001</v>
      </c>
      <c r="H471">
        <v>1368.3465576000001</v>
      </c>
      <c r="I471">
        <v>1256.2951660000001</v>
      </c>
      <c r="J471">
        <v>1217.7114257999999</v>
      </c>
      <c r="K471">
        <v>2400</v>
      </c>
      <c r="L471">
        <v>0</v>
      </c>
      <c r="M471">
        <v>0</v>
      </c>
      <c r="N471">
        <v>2400</v>
      </c>
    </row>
    <row r="472" spans="1:14" x14ac:dyDescent="0.25">
      <c r="A472">
        <v>167.58044200000001</v>
      </c>
      <c r="B472" s="1">
        <f>DATE(2010,10,15) + TIME(13,55,50)</f>
        <v>40466.580439814818</v>
      </c>
      <c r="C472">
        <v>80</v>
      </c>
      <c r="D472">
        <v>79.916633606000005</v>
      </c>
      <c r="E472">
        <v>50</v>
      </c>
      <c r="F472">
        <v>19.235523224000001</v>
      </c>
      <c r="G472">
        <v>1381.2351074000001</v>
      </c>
      <c r="H472">
        <v>1368.3218993999999</v>
      </c>
      <c r="I472">
        <v>1256.3577881000001</v>
      </c>
      <c r="J472">
        <v>1217.8265381000001</v>
      </c>
      <c r="K472">
        <v>2400</v>
      </c>
      <c r="L472">
        <v>0</v>
      </c>
      <c r="M472">
        <v>0</v>
      </c>
      <c r="N472">
        <v>2400</v>
      </c>
    </row>
    <row r="473" spans="1:14" x14ac:dyDescent="0.25">
      <c r="A473">
        <v>168.058787</v>
      </c>
      <c r="B473" s="1">
        <f>DATE(2010,10,16) + TIME(1,24,39)</f>
        <v>40467.05878472222</v>
      </c>
      <c r="C473">
        <v>80</v>
      </c>
      <c r="D473">
        <v>79.916687011999997</v>
      </c>
      <c r="E473">
        <v>50</v>
      </c>
      <c r="F473">
        <v>19.397054671999999</v>
      </c>
      <c r="G473">
        <v>1381.2099608999999</v>
      </c>
      <c r="H473">
        <v>1368.2974853999999</v>
      </c>
      <c r="I473">
        <v>1256.4205322</v>
      </c>
      <c r="J473">
        <v>1217.9433594</v>
      </c>
      <c r="K473">
        <v>2400</v>
      </c>
      <c r="L473">
        <v>0</v>
      </c>
      <c r="M473">
        <v>0</v>
      </c>
      <c r="N473">
        <v>2400</v>
      </c>
    </row>
    <row r="474" spans="1:14" x14ac:dyDescent="0.25">
      <c r="A474">
        <v>168.53713300000001</v>
      </c>
      <c r="B474" s="1">
        <f>DATE(2010,10,16) + TIME(12,53,28)</f>
        <v>40467.537129629629</v>
      </c>
      <c r="C474">
        <v>80</v>
      </c>
      <c r="D474">
        <v>79.916740417</v>
      </c>
      <c r="E474">
        <v>50</v>
      </c>
      <c r="F474">
        <v>19.561378478999998</v>
      </c>
      <c r="G474">
        <v>1381.1846923999999</v>
      </c>
      <c r="H474">
        <v>1368.2729492000001</v>
      </c>
      <c r="I474">
        <v>1256.4833983999999</v>
      </c>
      <c r="J474">
        <v>1218.0616454999999</v>
      </c>
      <c r="K474">
        <v>2400</v>
      </c>
      <c r="L474">
        <v>0</v>
      </c>
      <c r="M474">
        <v>0</v>
      </c>
      <c r="N474">
        <v>2400</v>
      </c>
    </row>
    <row r="475" spans="1:14" x14ac:dyDescent="0.25">
      <c r="A475">
        <v>169.015478</v>
      </c>
      <c r="B475" s="1">
        <f>DATE(2010,10,17) + TIME(0,22,17)</f>
        <v>40468.015474537038</v>
      </c>
      <c r="C475">
        <v>80</v>
      </c>
      <c r="D475">
        <v>79.916801453000005</v>
      </c>
      <c r="E475">
        <v>50</v>
      </c>
      <c r="F475">
        <v>19.728376389000001</v>
      </c>
      <c r="G475">
        <v>1381.1595459</v>
      </c>
      <c r="H475">
        <v>1368.2485352000001</v>
      </c>
      <c r="I475">
        <v>1256.5462646000001</v>
      </c>
      <c r="J475">
        <v>1218.1813964999999</v>
      </c>
      <c r="K475">
        <v>2400</v>
      </c>
      <c r="L475">
        <v>0</v>
      </c>
      <c r="M475">
        <v>0</v>
      </c>
      <c r="N475">
        <v>2400</v>
      </c>
    </row>
    <row r="476" spans="1:14" x14ac:dyDescent="0.25">
      <c r="A476">
        <v>169.49382399999999</v>
      </c>
      <c r="B476" s="1">
        <f>DATE(2010,10,17) + TIME(11,51,6)</f>
        <v>40468.493819444448</v>
      </c>
      <c r="C476">
        <v>80</v>
      </c>
      <c r="D476">
        <v>79.916854857999994</v>
      </c>
      <c r="E476">
        <v>50</v>
      </c>
      <c r="F476">
        <v>19.897912979000001</v>
      </c>
      <c r="G476">
        <v>1381.1345214999999</v>
      </c>
      <c r="H476">
        <v>1368.2242432</v>
      </c>
      <c r="I476">
        <v>1256.609375</v>
      </c>
      <c r="J476">
        <v>1218.3026123</v>
      </c>
      <c r="K476">
        <v>2400</v>
      </c>
      <c r="L476">
        <v>0</v>
      </c>
      <c r="M476">
        <v>0</v>
      </c>
      <c r="N476">
        <v>2400</v>
      </c>
    </row>
    <row r="477" spans="1:14" x14ac:dyDescent="0.25">
      <c r="A477">
        <v>169.97216900000001</v>
      </c>
      <c r="B477" s="1">
        <f>DATE(2010,10,17) + TIME(23,19,55)</f>
        <v>40468.97216435185</v>
      </c>
      <c r="C477">
        <v>80</v>
      </c>
      <c r="D477">
        <v>79.916908264</v>
      </c>
      <c r="E477">
        <v>50</v>
      </c>
      <c r="F477">
        <v>20.069940567</v>
      </c>
      <c r="G477">
        <v>1381.1094971</v>
      </c>
      <c r="H477">
        <v>1368.1999512</v>
      </c>
      <c r="I477">
        <v>1256.6724853999999</v>
      </c>
      <c r="J477">
        <v>1218.4251709</v>
      </c>
      <c r="K477">
        <v>2400</v>
      </c>
      <c r="L477">
        <v>0</v>
      </c>
      <c r="M477">
        <v>0</v>
      </c>
      <c r="N477">
        <v>2400</v>
      </c>
    </row>
    <row r="478" spans="1:14" x14ac:dyDescent="0.25">
      <c r="A478">
        <v>170.450515</v>
      </c>
      <c r="B478" s="1">
        <f>DATE(2010,10,18) + TIME(10,48,44)</f>
        <v>40469.450509259259</v>
      </c>
      <c r="C478">
        <v>80</v>
      </c>
      <c r="D478">
        <v>79.916969299000002</v>
      </c>
      <c r="E478">
        <v>50</v>
      </c>
      <c r="F478">
        <v>20.244373322000001</v>
      </c>
      <c r="G478">
        <v>1381.0844727000001</v>
      </c>
      <c r="H478">
        <v>1368.1757812000001</v>
      </c>
      <c r="I478">
        <v>1256.7357178</v>
      </c>
      <c r="J478">
        <v>1218.5490723</v>
      </c>
      <c r="K478">
        <v>2400</v>
      </c>
      <c r="L478">
        <v>0</v>
      </c>
      <c r="M478">
        <v>0</v>
      </c>
      <c r="N478">
        <v>2400</v>
      </c>
    </row>
    <row r="479" spans="1:14" x14ac:dyDescent="0.25">
      <c r="A479">
        <v>170.92886100000001</v>
      </c>
      <c r="B479" s="1">
        <f>DATE(2010,10,18) + TIME(22,17,33)</f>
        <v>40469.928854166668</v>
      </c>
      <c r="C479">
        <v>80</v>
      </c>
      <c r="D479">
        <v>79.917022704999994</v>
      </c>
      <c r="E479">
        <v>50</v>
      </c>
      <c r="F479">
        <v>20.420951843000001</v>
      </c>
      <c r="G479">
        <v>1381.0595702999999</v>
      </c>
      <c r="H479">
        <v>1368.1516113</v>
      </c>
      <c r="I479">
        <v>1256.7990723</v>
      </c>
      <c r="J479">
        <v>1218.6743164</v>
      </c>
      <c r="K479">
        <v>2400</v>
      </c>
      <c r="L479">
        <v>0</v>
      </c>
      <c r="M479">
        <v>0</v>
      </c>
      <c r="N479">
        <v>2400</v>
      </c>
    </row>
    <row r="480" spans="1:14" x14ac:dyDescent="0.25">
      <c r="A480">
        <v>171.407206</v>
      </c>
      <c r="B480" s="1">
        <f>DATE(2010,10,19) + TIME(9,46,22)</f>
        <v>40470.407199074078</v>
      </c>
      <c r="C480">
        <v>80</v>
      </c>
      <c r="D480">
        <v>79.917076111</v>
      </c>
      <c r="E480">
        <v>50</v>
      </c>
      <c r="F480">
        <v>20.599493027000001</v>
      </c>
      <c r="G480">
        <v>1381.0347899999999</v>
      </c>
      <c r="H480">
        <v>1368.1274414</v>
      </c>
      <c r="I480">
        <v>1256.8624268000001</v>
      </c>
      <c r="J480">
        <v>1218.8006591999999</v>
      </c>
      <c r="K480">
        <v>2400</v>
      </c>
      <c r="L480">
        <v>0</v>
      </c>
      <c r="M480">
        <v>0</v>
      </c>
      <c r="N480">
        <v>2400</v>
      </c>
    </row>
    <row r="481" spans="1:14" x14ac:dyDescent="0.25">
      <c r="A481">
        <v>171.88555199999999</v>
      </c>
      <c r="B481" s="1">
        <f>DATE(2010,10,19) + TIME(21,15,11)</f>
        <v>40470.88554398148</v>
      </c>
      <c r="C481">
        <v>80</v>
      </c>
      <c r="D481">
        <v>79.917129517000006</v>
      </c>
      <c r="E481">
        <v>50</v>
      </c>
      <c r="F481">
        <v>20.779834746999999</v>
      </c>
      <c r="G481">
        <v>1381.0100098</v>
      </c>
      <c r="H481">
        <v>1368.1033935999999</v>
      </c>
      <c r="I481">
        <v>1256.9259033000001</v>
      </c>
      <c r="J481">
        <v>1218.9283447</v>
      </c>
      <c r="K481">
        <v>2400</v>
      </c>
      <c r="L481">
        <v>0</v>
      </c>
      <c r="M481">
        <v>0</v>
      </c>
      <c r="N481">
        <v>2400</v>
      </c>
    </row>
    <row r="482" spans="1:14" x14ac:dyDescent="0.25">
      <c r="A482">
        <v>172.842243</v>
      </c>
      <c r="B482" s="1">
        <f>DATE(2010,10,20) + TIME(20,12,49)</f>
        <v>40471.842233796298</v>
      </c>
      <c r="C482">
        <v>80</v>
      </c>
      <c r="D482">
        <v>79.917259216000005</v>
      </c>
      <c r="E482">
        <v>50</v>
      </c>
      <c r="F482">
        <v>21.040452956999999</v>
      </c>
      <c r="G482">
        <v>1380.9725341999999</v>
      </c>
      <c r="H482">
        <v>1368.0667725000001</v>
      </c>
      <c r="I482">
        <v>1256.9742432</v>
      </c>
      <c r="J482">
        <v>1219.0886230000001</v>
      </c>
      <c r="K482">
        <v>2400</v>
      </c>
      <c r="L482">
        <v>0</v>
      </c>
      <c r="M482">
        <v>0</v>
      </c>
      <c r="N482">
        <v>2400</v>
      </c>
    </row>
    <row r="483" spans="1:14" x14ac:dyDescent="0.25">
      <c r="A483">
        <v>173.802393</v>
      </c>
      <c r="B483" s="1">
        <f>DATE(2010,10,21) + TIME(19,15,26)</f>
        <v>40472.802384259259</v>
      </c>
      <c r="C483">
        <v>80</v>
      </c>
      <c r="D483">
        <v>79.917373656999999</v>
      </c>
      <c r="E483">
        <v>50</v>
      </c>
      <c r="F483">
        <v>21.364498137999998</v>
      </c>
      <c r="G483">
        <v>1380.9287108999999</v>
      </c>
      <c r="H483">
        <v>1368.0242920000001</v>
      </c>
      <c r="I483">
        <v>1257.1064452999999</v>
      </c>
      <c r="J483">
        <v>1219.3272704999999</v>
      </c>
      <c r="K483">
        <v>2400</v>
      </c>
      <c r="L483">
        <v>0</v>
      </c>
      <c r="M483">
        <v>0</v>
      </c>
      <c r="N483">
        <v>2400</v>
      </c>
    </row>
    <row r="484" spans="1:14" x14ac:dyDescent="0.25">
      <c r="A484">
        <v>174.81498400000001</v>
      </c>
      <c r="B484" s="1">
        <f>DATE(2010,10,22) + TIME(19,33,34)</f>
        <v>40473.814976851849</v>
      </c>
      <c r="C484">
        <v>80</v>
      </c>
      <c r="D484">
        <v>79.917480468999997</v>
      </c>
      <c r="E484">
        <v>50</v>
      </c>
      <c r="F484">
        <v>21.726913452000002</v>
      </c>
      <c r="G484">
        <v>1380.8811035000001</v>
      </c>
      <c r="H484">
        <v>1367.9780272999999</v>
      </c>
      <c r="I484">
        <v>1257.2360839999999</v>
      </c>
      <c r="J484">
        <v>1219.5861815999999</v>
      </c>
      <c r="K484">
        <v>2400</v>
      </c>
      <c r="L484">
        <v>0</v>
      </c>
      <c r="M484">
        <v>0</v>
      </c>
      <c r="N484">
        <v>2400</v>
      </c>
    </row>
    <row r="485" spans="1:14" x14ac:dyDescent="0.25">
      <c r="A485">
        <v>175.88837000000001</v>
      </c>
      <c r="B485" s="1">
        <f>DATE(2010,10,23) + TIME(21,19,15)</f>
        <v>40474.888368055559</v>
      </c>
      <c r="C485">
        <v>80</v>
      </c>
      <c r="D485">
        <v>79.917602539000001</v>
      </c>
      <c r="E485">
        <v>50</v>
      </c>
      <c r="F485">
        <v>22.121540070000002</v>
      </c>
      <c r="G485">
        <v>1380.8303223</v>
      </c>
      <c r="H485">
        <v>1367.9288329999999</v>
      </c>
      <c r="I485">
        <v>1257.3717041</v>
      </c>
      <c r="J485">
        <v>1219.8656006000001</v>
      </c>
      <c r="K485">
        <v>2400</v>
      </c>
      <c r="L485">
        <v>0</v>
      </c>
      <c r="M485">
        <v>0</v>
      </c>
      <c r="N485">
        <v>2400</v>
      </c>
    </row>
    <row r="486" spans="1:14" x14ac:dyDescent="0.25">
      <c r="A486">
        <v>176.964235</v>
      </c>
      <c r="B486" s="1">
        <f>DATE(2010,10,24) + TIME(23,8,29)</f>
        <v>40475.964224537034</v>
      </c>
      <c r="C486">
        <v>80</v>
      </c>
      <c r="D486">
        <v>79.917724609000004</v>
      </c>
      <c r="E486">
        <v>50</v>
      </c>
      <c r="F486">
        <v>22.536897659000001</v>
      </c>
      <c r="G486">
        <v>1380.7780762</v>
      </c>
      <c r="H486">
        <v>1367.8780518000001</v>
      </c>
      <c r="I486">
        <v>1257.5173339999999</v>
      </c>
      <c r="J486">
        <v>1220.1621094</v>
      </c>
      <c r="K486">
        <v>2400</v>
      </c>
      <c r="L486">
        <v>0</v>
      </c>
      <c r="M486">
        <v>0</v>
      </c>
      <c r="N486">
        <v>2400</v>
      </c>
    </row>
    <row r="487" spans="1:14" x14ac:dyDescent="0.25">
      <c r="A487">
        <v>178.06599900000001</v>
      </c>
      <c r="B487" s="1">
        <f>DATE(2010,10,26) + TIME(1,35,2)</f>
        <v>40477.065995370373</v>
      </c>
      <c r="C487">
        <v>80</v>
      </c>
      <c r="D487">
        <v>79.917846679999997</v>
      </c>
      <c r="E487">
        <v>50</v>
      </c>
      <c r="F487">
        <v>22.965614319</v>
      </c>
      <c r="G487">
        <v>1380.7247314000001</v>
      </c>
      <c r="H487">
        <v>1367.8262939000001</v>
      </c>
      <c r="I487">
        <v>1257.6625977000001</v>
      </c>
      <c r="J487">
        <v>1220.4671631000001</v>
      </c>
      <c r="K487">
        <v>2400</v>
      </c>
      <c r="L487">
        <v>0</v>
      </c>
      <c r="M487">
        <v>0</v>
      </c>
      <c r="N487">
        <v>2400</v>
      </c>
    </row>
    <row r="488" spans="1:14" x14ac:dyDescent="0.25">
      <c r="A488">
        <v>179.205648</v>
      </c>
      <c r="B488" s="1">
        <f>DATE(2010,10,27) + TIME(4,56,7)</f>
        <v>40478.205636574072</v>
      </c>
      <c r="C488">
        <v>80</v>
      </c>
      <c r="D488">
        <v>79.917976378999995</v>
      </c>
      <c r="E488">
        <v>50</v>
      </c>
      <c r="F488">
        <v>23.407781601</v>
      </c>
      <c r="G488">
        <v>1380.6701660000001</v>
      </c>
      <c r="H488">
        <v>1367.7731934000001</v>
      </c>
      <c r="I488">
        <v>1257.8117675999999</v>
      </c>
      <c r="J488">
        <v>1220.7833252</v>
      </c>
      <c r="K488">
        <v>2400</v>
      </c>
      <c r="L488">
        <v>0</v>
      </c>
      <c r="M488">
        <v>0</v>
      </c>
      <c r="N488">
        <v>2400</v>
      </c>
    </row>
    <row r="489" spans="1:14" x14ac:dyDescent="0.25">
      <c r="A489">
        <v>180.38198800000001</v>
      </c>
      <c r="B489" s="1">
        <f>DATE(2010,10,28) + TIME(9,10,3)</f>
        <v>40479.381979166668</v>
      </c>
      <c r="C489">
        <v>80</v>
      </c>
      <c r="D489">
        <v>79.918113708000007</v>
      </c>
      <c r="E489">
        <v>50</v>
      </c>
      <c r="F489">
        <v>23.863632202000002</v>
      </c>
      <c r="G489">
        <v>1380.6141356999999</v>
      </c>
      <c r="H489">
        <v>1367.71875</v>
      </c>
      <c r="I489">
        <v>1257.9671631000001</v>
      </c>
      <c r="J489">
        <v>1221.1125488</v>
      </c>
      <c r="K489">
        <v>2400</v>
      </c>
      <c r="L489">
        <v>0</v>
      </c>
      <c r="M489">
        <v>0</v>
      </c>
      <c r="N489">
        <v>2400</v>
      </c>
    </row>
    <row r="490" spans="1:14" x14ac:dyDescent="0.25">
      <c r="A490">
        <v>181.58032299999999</v>
      </c>
      <c r="B490" s="1">
        <f>DATE(2010,10,29) + TIME(13,55,39)</f>
        <v>40480.580312500002</v>
      </c>
      <c r="C490">
        <v>80</v>
      </c>
      <c r="D490">
        <v>79.918243407999995</v>
      </c>
      <c r="E490">
        <v>50</v>
      </c>
      <c r="F490">
        <v>24.330385207999999</v>
      </c>
      <c r="G490">
        <v>1380.5571289</v>
      </c>
      <c r="H490">
        <v>1367.6633300999999</v>
      </c>
      <c r="I490">
        <v>1258.1286620999999</v>
      </c>
      <c r="J490">
        <v>1221.4534911999999</v>
      </c>
      <c r="K490">
        <v>2400</v>
      </c>
      <c r="L490">
        <v>0</v>
      </c>
      <c r="M490">
        <v>0</v>
      </c>
      <c r="N490">
        <v>2400</v>
      </c>
    </row>
    <row r="491" spans="1:14" x14ac:dyDescent="0.25">
      <c r="A491">
        <v>182.80493000000001</v>
      </c>
      <c r="B491" s="1">
        <f>DATE(2010,10,30) + TIME(19,19,5)</f>
        <v>40481.804918981485</v>
      </c>
      <c r="C491">
        <v>80</v>
      </c>
      <c r="D491">
        <v>79.918380737000007</v>
      </c>
      <c r="E491">
        <v>50</v>
      </c>
      <c r="F491">
        <v>24.805271148999999</v>
      </c>
      <c r="G491">
        <v>1380.4992675999999</v>
      </c>
      <c r="H491">
        <v>1367.6071777</v>
      </c>
      <c r="I491">
        <v>1258.2937012</v>
      </c>
      <c r="J491">
        <v>1221.8032227000001</v>
      </c>
      <c r="K491">
        <v>2400</v>
      </c>
      <c r="L491">
        <v>0</v>
      </c>
      <c r="M491">
        <v>0</v>
      </c>
      <c r="N491">
        <v>2400</v>
      </c>
    </row>
    <row r="492" spans="1:14" x14ac:dyDescent="0.25">
      <c r="A492">
        <v>184</v>
      </c>
      <c r="B492" s="1">
        <f>DATE(2010,11,1) + TIME(0,0,0)</f>
        <v>40483</v>
      </c>
      <c r="C492">
        <v>80</v>
      </c>
      <c r="D492">
        <v>79.918510436999995</v>
      </c>
      <c r="E492">
        <v>50</v>
      </c>
      <c r="F492">
        <v>25.279359818</v>
      </c>
      <c r="G492">
        <v>1380.4420166</v>
      </c>
      <c r="H492">
        <v>1367.5515137</v>
      </c>
      <c r="I492">
        <v>1258.4641113</v>
      </c>
      <c r="J492">
        <v>1222.1580810999999</v>
      </c>
      <c r="K492">
        <v>2400</v>
      </c>
      <c r="L492">
        <v>0</v>
      </c>
      <c r="M492">
        <v>0</v>
      </c>
      <c r="N492">
        <v>2400</v>
      </c>
    </row>
    <row r="493" spans="1:14" x14ac:dyDescent="0.25">
      <c r="A493">
        <v>184.000001</v>
      </c>
      <c r="B493" s="1">
        <f>DATE(2010,11,1) + TIME(0,0,0)</f>
        <v>40483</v>
      </c>
      <c r="C493">
        <v>80</v>
      </c>
      <c r="D493">
        <v>79.918479919000006</v>
      </c>
      <c r="E493">
        <v>50</v>
      </c>
      <c r="F493">
        <v>25.279405594</v>
      </c>
      <c r="G493">
        <v>1367.5415039</v>
      </c>
      <c r="H493">
        <v>1355.1162108999999</v>
      </c>
      <c r="I493">
        <v>1295.4047852000001</v>
      </c>
      <c r="J493">
        <v>1258.4757079999999</v>
      </c>
      <c r="K493">
        <v>0</v>
      </c>
      <c r="L493">
        <v>2400</v>
      </c>
      <c r="M493">
        <v>2400</v>
      </c>
      <c r="N493">
        <v>0</v>
      </c>
    </row>
    <row r="494" spans="1:14" x14ac:dyDescent="0.25">
      <c r="A494">
        <v>184.00000399999999</v>
      </c>
      <c r="B494" s="1">
        <f>DATE(2010,11,1) + TIME(0,0,0)</f>
        <v>40483</v>
      </c>
      <c r="C494">
        <v>80</v>
      </c>
      <c r="D494">
        <v>79.918388367000006</v>
      </c>
      <c r="E494">
        <v>50</v>
      </c>
      <c r="F494">
        <v>25.279539108000002</v>
      </c>
      <c r="G494">
        <v>1367.5115966999999</v>
      </c>
      <c r="H494">
        <v>1355.0863036999999</v>
      </c>
      <c r="I494">
        <v>1295.434082</v>
      </c>
      <c r="J494">
        <v>1258.5107422000001</v>
      </c>
      <c r="K494">
        <v>0</v>
      </c>
      <c r="L494">
        <v>2400</v>
      </c>
      <c r="M494">
        <v>2400</v>
      </c>
      <c r="N494">
        <v>0</v>
      </c>
    </row>
    <row r="495" spans="1:14" x14ac:dyDescent="0.25">
      <c r="A495">
        <v>184.000013</v>
      </c>
      <c r="B495" s="1">
        <f>DATE(2010,11,1) + TIME(0,0,1)</f>
        <v>40483.000011574077</v>
      </c>
      <c r="C495">
        <v>80</v>
      </c>
      <c r="D495">
        <v>79.918098450000002</v>
      </c>
      <c r="E495">
        <v>50</v>
      </c>
      <c r="F495">
        <v>25.279941559000001</v>
      </c>
      <c r="G495">
        <v>1367.4222411999999</v>
      </c>
      <c r="H495">
        <v>1354.9968262</v>
      </c>
      <c r="I495">
        <v>1295.5220947</v>
      </c>
      <c r="J495">
        <v>1258.6153564000001</v>
      </c>
      <c r="K495">
        <v>0</v>
      </c>
      <c r="L495">
        <v>2400</v>
      </c>
      <c r="M495">
        <v>2400</v>
      </c>
      <c r="N495">
        <v>0</v>
      </c>
    </row>
    <row r="496" spans="1:14" x14ac:dyDescent="0.25">
      <c r="A496">
        <v>184.00004000000001</v>
      </c>
      <c r="B496" s="1">
        <f>DATE(2010,11,1) + TIME(0,0,3)</f>
        <v>40483.000034722223</v>
      </c>
      <c r="C496">
        <v>80</v>
      </c>
      <c r="D496">
        <v>79.917259216000005</v>
      </c>
      <c r="E496">
        <v>50</v>
      </c>
      <c r="F496">
        <v>25.281143188000001</v>
      </c>
      <c r="G496">
        <v>1367.1595459</v>
      </c>
      <c r="H496">
        <v>1354.7337646000001</v>
      </c>
      <c r="I496">
        <v>1295.7840576000001</v>
      </c>
      <c r="J496">
        <v>1258.9267577999999</v>
      </c>
      <c r="K496">
        <v>0</v>
      </c>
      <c r="L496">
        <v>2400</v>
      </c>
      <c r="M496">
        <v>2400</v>
      </c>
      <c r="N496">
        <v>0</v>
      </c>
    </row>
    <row r="497" spans="1:14" x14ac:dyDescent="0.25">
      <c r="A497">
        <v>184.00012100000001</v>
      </c>
      <c r="B497" s="1">
        <f>DATE(2010,11,1) + TIME(0,0,10)</f>
        <v>40483.000115740739</v>
      </c>
      <c r="C497">
        <v>80</v>
      </c>
      <c r="D497">
        <v>79.914863585999996</v>
      </c>
      <c r="E497">
        <v>50</v>
      </c>
      <c r="F497">
        <v>25.284719466999999</v>
      </c>
      <c r="G497">
        <v>1366.4143065999999</v>
      </c>
      <c r="H497">
        <v>1353.9875488</v>
      </c>
      <c r="I497">
        <v>1296.5546875</v>
      </c>
      <c r="J497">
        <v>1259.8380127</v>
      </c>
      <c r="K497">
        <v>0</v>
      </c>
      <c r="L497">
        <v>2400</v>
      </c>
      <c r="M497">
        <v>2400</v>
      </c>
      <c r="N497">
        <v>0</v>
      </c>
    </row>
    <row r="498" spans="1:14" x14ac:dyDescent="0.25">
      <c r="A498">
        <v>184.00036399999999</v>
      </c>
      <c r="B498" s="1">
        <f>DATE(2010,11,1) + TIME(0,0,31)</f>
        <v>40483.000358796293</v>
      </c>
      <c r="C498">
        <v>80</v>
      </c>
      <c r="D498">
        <v>79.908691406000003</v>
      </c>
      <c r="E498">
        <v>50</v>
      </c>
      <c r="F498">
        <v>25.295225143</v>
      </c>
      <c r="G498">
        <v>1364.4925536999999</v>
      </c>
      <c r="H498">
        <v>1352.0634766000001</v>
      </c>
      <c r="I498">
        <v>1298.7379149999999</v>
      </c>
      <c r="J498">
        <v>1262.3865966999999</v>
      </c>
      <c r="K498">
        <v>0</v>
      </c>
      <c r="L498">
        <v>2400</v>
      </c>
      <c r="M498">
        <v>2400</v>
      </c>
      <c r="N498">
        <v>0</v>
      </c>
    </row>
    <row r="499" spans="1:14" x14ac:dyDescent="0.25">
      <c r="A499">
        <v>184.001093</v>
      </c>
      <c r="B499" s="1">
        <f>DATE(2010,11,1) + TIME(0,1,34)</f>
        <v>40483.001087962963</v>
      </c>
      <c r="C499">
        <v>80</v>
      </c>
      <c r="D499">
        <v>79.895729064999998</v>
      </c>
      <c r="E499">
        <v>50</v>
      </c>
      <c r="F499">
        <v>25.325275421000001</v>
      </c>
      <c r="G499">
        <v>1360.4593506000001</v>
      </c>
      <c r="H499">
        <v>1348.0269774999999</v>
      </c>
      <c r="I499">
        <v>1304.3507079999999</v>
      </c>
      <c r="J499">
        <v>1268.7436522999999</v>
      </c>
      <c r="K499">
        <v>0</v>
      </c>
      <c r="L499">
        <v>2400</v>
      </c>
      <c r="M499">
        <v>2400</v>
      </c>
      <c r="N499">
        <v>0</v>
      </c>
    </row>
    <row r="500" spans="1:14" x14ac:dyDescent="0.25">
      <c r="A500">
        <v>184.00327999999999</v>
      </c>
      <c r="B500" s="1">
        <f>DATE(2010,11,1) + TIME(0,4,43)</f>
        <v>40483.003275462965</v>
      </c>
      <c r="C500">
        <v>80</v>
      </c>
      <c r="D500">
        <v>79.875473021999994</v>
      </c>
      <c r="E500">
        <v>50</v>
      </c>
      <c r="F500">
        <v>25.408456802</v>
      </c>
      <c r="G500">
        <v>1354.2728271000001</v>
      </c>
      <c r="H500">
        <v>1341.8399658000001</v>
      </c>
      <c r="I500">
        <v>1316.0671387</v>
      </c>
      <c r="J500">
        <v>1281.3449707</v>
      </c>
      <c r="K500">
        <v>0</v>
      </c>
      <c r="L500">
        <v>2400</v>
      </c>
      <c r="M500">
        <v>2400</v>
      </c>
      <c r="N500">
        <v>0</v>
      </c>
    </row>
    <row r="501" spans="1:14" x14ac:dyDescent="0.25">
      <c r="A501">
        <v>184.00984099999999</v>
      </c>
      <c r="B501" s="1">
        <f>DATE(2010,11,1) + TIME(0,14,10)</f>
        <v>40483.009837962964</v>
      </c>
      <c r="C501">
        <v>80</v>
      </c>
      <c r="D501">
        <v>79.850784301999994</v>
      </c>
      <c r="E501">
        <v>50</v>
      </c>
      <c r="F501">
        <v>25.639951706000002</v>
      </c>
      <c r="G501">
        <v>1347.1489257999999</v>
      </c>
      <c r="H501">
        <v>1334.7183838000001</v>
      </c>
      <c r="I501">
        <v>1333.7949219</v>
      </c>
      <c r="J501">
        <v>1299.4191894999999</v>
      </c>
      <c r="K501">
        <v>0</v>
      </c>
      <c r="L501">
        <v>2400</v>
      </c>
      <c r="M501">
        <v>2400</v>
      </c>
      <c r="N501">
        <v>0</v>
      </c>
    </row>
    <row r="502" spans="1:14" x14ac:dyDescent="0.25">
      <c r="A502">
        <v>184.02952400000001</v>
      </c>
      <c r="B502" s="1">
        <f>DATE(2010,11,1) + TIME(0,42,30)</f>
        <v>40483.029513888891</v>
      </c>
      <c r="C502">
        <v>80</v>
      </c>
      <c r="D502">
        <v>79.821540833</v>
      </c>
      <c r="E502">
        <v>50</v>
      </c>
      <c r="F502">
        <v>26.298006057999999</v>
      </c>
      <c r="G502">
        <v>1339.8983154</v>
      </c>
      <c r="H502">
        <v>1327.4670410000001</v>
      </c>
      <c r="I502">
        <v>1353.5986327999999</v>
      </c>
      <c r="J502">
        <v>1319.4913329999999</v>
      </c>
      <c r="K502">
        <v>0</v>
      </c>
      <c r="L502">
        <v>2400</v>
      </c>
      <c r="M502">
        <v>2400</v>
      </c>
      <c r="N502">
        <v>0</v>
      </c>
    </row>
    <row r="503" spans="1:14" x14ac:dyDescent="0.25">
      <c r="A503">
        <v>184.05673100000001</v>
      </c>
      <c r="B503" s="1">
        <f>DATE(2010,11,1) + TIME(1,21,41)</f>
        <v>40483.05672453704</v>
      </c>
      <c r="C503">
        <v>80</v>
      </c>
      <c r="D503">
        <v>79.797904967999997</v>
      </c>
      <c r="E503">
        <v>50</v>
      </c>
      <c r="F503">
        <v>27.165832519999999</v>
      </c>
      <c r="G503">
        <v>1335.199707</v>
      </c>
      <c r="H503">
        <v>1322.7578125</v>
      </c>
      <c r="I503">
        <v>1365.9366454999999</v>
      </c>
      <c r="J503">
        <v>1332.3610839999999</v>
      </c>
      <c r="K503">
        <v>0</v>
      </c>
      <c r="L503">
        <v>2400</v>
      </c>
      <c r="M503">
        <v>2400</v>
      </c>
      <c r="N503">
        <v>0</v>
      </c>
    </row>
    <row r="504" spans="1:14" x14ac:dyDescent="0.25">
      <c r="A504">
        <v>184.08503400000001</v>
      </c>
      <c r="B504" s="1">
        <f>DATE(2010,11,1) + TIME(2,2,26)</f>
        <v>40483.085023148145</v>
      </c>
      <c r="C504">
        <v>80</v>
      </c>
      <c r="D504">
        <v>79.779144286999994</v>
      </c>
      <c r="E504">
        <v>50</v>
      </c>
      <c r="F504">
        <v>28.030929565000001</v>
      </c>
      <c r="G504">
        <v>1332.1813964999999</v>
      </c>
      <c r="H504">
        <v>1319.7241211</v>
      </c>
      <c r="I504">
        <v>1373.3208007999999</v>
      </c>
      <c r="J504">
        <v>1340.3348389</v>
      </c>
      <c r="K504">
        <v>0</v>
      </c>
      <c r="L504">
        <v>2400</v>
      </c>
      <c r="M504">
        <v>2400</v>
      </c>
      <c r="N504">
        <v>0</v>
      </c>
    </row>
    <row r="505" spans="1:14" x14ac:dyDescent="0.25">
      <c r="A505">
        <v>184.11431200000001</v>
      </c>
      <c r="B505" s="1">
        <f>DATE(2010,11,1) + TIME(2,44,36)</f>
        <v>40483.114305555559</v>
      </c>
      <c r="C505">
        <v>80</v>
      </c>
      <c r="D505">
        <v>79.762542725000003</v>
      </c>
      <c r="E505">
        <v>50</v>
      </c>
      <c r="F505">
        <v>28.889066696</v>
      </c>
      <c r="G505">
        <v>1329.9459228999999</v>
      </c>
      <c r="H505">
        <v>1317.4726562000001</v>
      </c>
      <c r="I505">
        <v>1378.3686522999999</v>
      </c>
      <c r="J505">
        <v>1345.9814452999999</v>
      </c>
      <c r="K505">
        <v>0</v>
      </c>
      <c r="L505">
        <v>2400</v>
      </c>
      <c r="M505">
        <v>2400</v>
      </c>
      <c r="N505">
        <v>0</v>
      </c>
    </row>
    <row r="506" spans="1:14" x14ac:dyDescent="0.25">
      <c r="A506">
        <v>184.14454699999999</v>
      </c>
      <c r="B506" s="1">
        <f>DATE(2010,11,1) + TIME(3,28,8)</f>
        <v>40483.144537037035</v>
      </c>
      <c r="C506">
        <v>80</v>
      </c>
      <c r="D506">
        <v>79.747039795000006</v>
      </c>
      <c r="E506">
        <v>50</v>
      </c>
      <c r="F506">
        <v>29.738405228000001</v>
      </c>
      <c r="G506">
        <v>1328.1448975000001</v>
      </c>
      <c r="H506">
        <v>1315.6564940999999</v>
      </c>
      <c r="I506">
        <v>1382.1092529</v>
      </c>
      <c r="J506">
        <v>1350.3126221</v>
      </c>
      <c r="K506">
        <v>0</v>
      </c>
      <c r="L506">
        <v>2400</v>
      </c>
      <c r="M506">
        <v>2400</v>
      </c>
      <c r="N506">
        <v>0</v>
      </c>
    </row>
    <row r="507" spans="1:14" x14ac:dyDescent="0.25">
      <c r="A507">
        <v>184.175737</v>
      </c>
      <c r="B507" s="1">
        <f>DATE(2010,11,1) + TIME(4,13,3)</f>
        <v>40483.175729166665</v>
      </c>
      <c r="C507">
        <v>80</v>
      </c>
      <c r="D507">
        <v>79.732139587000006</v>
      </c>
      <c r="E507">
        <v>50</v>
      </c>
      <c r="F507">
        <v>30.577491760000001</v>
      </c>
      <c r="G507">
        <v>1326.6156006000001</v>
      </c>
      <c r="H507">
        <v>1314.1138916</v>
      </c>
      <c r="I507">
        <v>1385.0286865</v>
      </c>
      <c r="J507">
        <v>1353.8079834</v>
      </c>
      <c r="K507">
        <v>0</v>
      </c>
      <c r="L507">
        <v>2400</v>
      </c>
      <c r="M507">
        <v>2400</v>
      </c>
      <c r="N507">
        <v>0</v>
      </c>
    </row>
    <row r="508" spans="1:14" x14ac:dyDescent="0.25">
      <c r="A508">
        <v>184.207954</v>
      </c>
      <c r="B508" s="1">
        <f>DATE(2010,11,1) + TIME(4,59,27)</f>
        <v>40483.207951388889</v>
      </c>
      <c r="C508">
        <v>80</v>
      </c>
      <c r="D508">
        <v>79.717559813999998</v>
      </c>
      <c r="E508">
        <v>50</v>
      </c>
      <c r="F508">
        <v>31.406404495</v>
      </c>
      <c r="G508">
        <v>1325.2696533000001</v>
      </c>
      <c r="H508">
        <v>1312.7564697</v>
      </c>
      <c r="I508">
        <v>1387.3948975000001</v>
      </c>
      <c r="J508">
        <v>1356.7331543</v>
      </c>
      <c r="K508">
        <v>0</v>
      </c>
      <c r="L508">
        <v>2400</v>
      </c>
      <c r="M508">
        <v>2400</v>
      </c>
      <c r="N508">
        <v>0</v>
      </c>
    </row>
    <row r="509" spans="1:14" x14ac:dyDescent="0.25">
      <c r="A509">
        <v>184.24125699999999</v>
      </c>
      <c r="B509" s="1">
        <f>DATE(2010,11,1) + TIME(5,47,24)</f>
        <v>40483.241249999999</v>
      </c>
      <c r="C509">
        <v>80</v>
      </c>
      <c r="D509">
        <v>79.703132628999995</v>
      </c>
      <c r="E509">
        <v>50</v>
      </c>
      <c r="F509">
        <v>32.224792479999998</v>
      </c>
      <c r="G509">
        <v>1324.0560303</v>
      </c>
      <c r="H509">
        <v>1311.5330810999999</v>
      </c>
      <c r="I509">
        <v>1389.3660889</v>
      </c>
      <c r="J509">
        <v>1359.2451172000001</v>
      </c>
      <c r="K509">
        <v>0</v>
      </c>
      <c r="L509">
        <v>2400</v>
      </c>
      <c r="M509">
        <v>2400</v>
      </c>
      <c r="N509">
        <v>0</v>
      </c>
    </row>
    <row r="510" spans="1:14" x14ac:dyDescent="0.25">
      <c r="A510">
        <v>184.27571900000001</v>
      </c>
      <c r="B510" s="1">
        <f>DATE(2010,11,1) + TIME(6,37,2)</f>
        <v>40483.275717592594</v>
      </c>
      <c r="C510">
        <v>80</v>
      </c>
      <c r="D510">
        <v>79.688735961999996</v>
      </c>
      <c r="E510">
        <v>50</v>
      </c>
      <c r="F510">
        <v>33.032409668</v>
      </c>
      <c r="G510">
        <v>1322.9428711</v>
      </c>
      <c r="H510">
        <v>1310.4116211</v>
      </c>
      <c r="I510">
        <v>1391.0432129000001</v>
      </c>
      <c r="J510">
        <v>1361.4445800999999</v>
      </c>
      <c r="K510">
        <v>0</v>
      </c>
      <c r="L510">
        <v>2400</v>
      </c>
      <c r="M510">
        <v>2400</v>
      </c>
      <c r="N510">
        <v>0</v>
      </c>
    </row>
    <row r="511" spans="1:14" x14ac:dyDescent="0.25">
      <c r="A511">
        <v>184.311409</v>
      </c>
      <c r="B511" s="1">
        <f>DATE(2010,11,1) + TIME(7,28,25)</f>
        <v>40483.311400462961</v>
      </c>
      <c r="C511">
        <v>80</v>
      </c>
      <c r="D511">
        <v>79.674301146999994</v>
      </c>
      <c r="E511">
        <v>50</v>
      </c>
      <c r="F511">
        <v>33.828762054000002</v>
      </c>
      <c r="G511">
        <v>1321.9094238</v>
      </c>
      <c r="H511">
        <v>1309.3708495999999</v>
      </c>
      <c r="I511">
        <v>1392.4937743999999</v>
      </c>
      <c r="J511">
        <v>1363.3990478999999</v>
      </c>
      <c r="K511">
        <v>0</v>
      </c>
      <c r="L511">
        <v>2400</v>
      </c>
      <c r="M511">
        <v>2400</v>
      </c>
      <c r="N511">
        <v>0</v>
      </c>
    </row>
    <row r="512" spans="1:14" x14ac:dyDescent="0.25">
      <c r="A512">
        <v>184.348411</v>
      </c>
      <c r="B512" s="1">
        <f>DATE(2010,11,1) + TIME(8,21,42)</f>
        <v>40483.348402777781</v>
      </c>
      <c r="C512">
        <v>80</v>
      </c>
      <c r="D512">
        <v>79.659759520999998</v>
      </c>
      <c r="E512">
        <v>50</v>
      </c>
      <c r="F512">
        <v>34.613536834999998</v>
      </c>
      <c r="G512">
        <v>1320.9407959</v>
      </c>
      <c r="H512">
        <v>1308.395874</v>
      </c>
      <c r="I512">
        <v>1393.765625</v>
      </c>
      <c r="J512">
        <v>1365.1566161999999</v>
      </c>
      <c r="K512">
        <v>0</v>
      </c>
      <c r="L512">
        <v>2400</v>
      </c>
      <c r="M512">
        <v>2400</v>
      </c>
      <c r="N512">
        <v>0</v>
      </c>
    </row>
    <row r="513" spans="1:14" x14ac:dyDescent="0.25">
      <c r="A513">
        <v>184.38681199999999</v>
      </c>
      <c r="B513" s="1">
        <f>DATE(2010,11,1) + TIME(9,17,0)</f>
        <v>40483.386805555558</v>
      </c>
      <c r="C513">
        <v>80</v>
      </c>
      <c r="D513">
        <v>79.645057678000001</v>
      </c>
      <c r="E513">
        <v>50</v>
      </c>
      <c r="F513">
        <v>35.386238098</v>
      </c>
      <c r="G513">
        <v>1320.0266113</v>
      </c>
      <c r="H513">
        <v>1307.4761963000001</v>
      </c>
      <c r="I513">
        <v>1394.8933105000001</v>
      </c>
      <c r="J513">
        <v>1366.7519531</v>
      </c>
      <c r="K513">
        <v>0</v>
      </c>
      <c r="L513">
        <v>2400</v>
      </c>
      <c r="M513">
        <v>2400</v>
      </c>
      <c r="N513">
        <v>0</v>
      </c>
    </row>
    <row r="514" spans="1:14" x14ac:dyDescent="0.25">
      <c r="A514">
        <v>184.42674600000001</v>
      </c>
      <c r="B514" s="1">
        <f>DATE(2010,11,1) + TIME(10,14,30)</f>
        <v>40483.426736111112</v>
      </c>
      <c r="C514">
        <v>80</v>
      </c>
      <c r="D514">
        <v>79.630149841000005</v>
      </c>
      <c r="E514">
        <v>50</v>
      </c>
      <c r="F514">
        <v>36.147098540999998</v>
      </c>
      <c r="G514">
        <v>1319.1583252</v>
      </c>
      <c r="H514">
        <v>1306.6030272999999</v>
      </c>
      <c r="I514">
        <v>1395.9036865</v>
      </c>
      <c r="J514">
        <v>1368.2127685999999</v>
      </c>
      <c r="K514">
        <v>0</v>
      </c>
      <c r="L514">
        <v>2400</v>
      </c>
      <c r="M514">
        <v>2400</v>
      </c>
      <c r="N514">
        <v>0</v>
      </c>
    </row>
    <row r="515" spans="1:14" x14ac:dyDescent="0.25">
      <c r="A515">
        <v>184.468344</v>
      </c>
      <c r="B515" s="1">
        <f>DATE(2010,11,1) + TIME(11,14,24)</f>
        <v>40483.468333333331</v>
      </c>
      <c r="C515">
        <v>80</v>
      </c>
      <c r="D515">
        <v>79.614982604999994</v>
      </c>
      <c r="E515">
        <v>50</v>
      </c>
      <c r="F515">
        <v>36.895935059000003</v>
      </c>
      <c r="G515">
        <v>1318.3293457</v>
      </c>
      <c r="H515">
        <v>1305.7696533000001</v>
      </c>
      <c r="I515">
        <v>1396.8167725000001</v>
      </c>
      <c r="J515">
        <v>1369.5595702999999</v>
      </c>
      <c r="K515">
        <v>0</v>
      </c>
      <c r="L515">
        <v>2400</v>
      </c>
      <c r="M515">
        <v>2400</v>
      </c>
      <c r="N515">
        <v>0</v>
      </c>
    </row>
    <row r="516" spans="1:14" x14ac:dyDescent="0.25">
      <c r="A516">
        <v>184.51175599999999</v>
      </c>
      <c r="B516" s="1">
        <f>DATE(2010,11,1) + TIME(12,16,55)</f>
        <v>40483.511747685188</v>
      </c>
      <c r="C516">
        <v>80</v>
      </c>
      <c r="D516">
        <v>79.599502563000001</v>
      </c>
      <c r="E516">
        <v>50</v>
      </c>
      <c r="F516">
        <v>37.632560730000002</v>
      </c>
      <c r="G516">
        <v>1317.5344238</v>
      </c>
      <c r="H516">
        <v>1304.9708252</v>
      </c>
      <c r="I516">
        <v>1397.6483154</v>
      </c>
      <c r="J516">
        <v>1370.8088379000001</v>
      </c>
      <c r="K516">
        <v>0</v>
      </c>
      <c r="L516">
        <v>2400</v>
      </c>
      <c r="M516">
        <v>2400</v>
      </c>
      <c r="N516">
        <v>0</v>
      </c>
    </row>
    <row r="517" spans="1:14" x14ac:dyDescent="0.25">
      <c r="A517">
        <v>184.55715000000001</v>
      </c>
      <c r="B517" s="1">
        <f>DATE(2010,11,1) + TIME(13,22,17)</f>
        <v>40483.557141203702</v>
      </c>
      <c r="C517">
        <v>80</v>
      </c>
      <c r="D517">
        <v>79.583656310999999</v>
      </c>
      <c r="E517">
        <v>50</v>
      </c>
      <c r="F517">
        <v>38.356773376</v>
      </c>
      <c r="G517">
        <v>1316.7694091999999</v>
      </c>
      <c r="H517">
        <v>1304.2021483999999</v>
      </c>
      <c r="I517">
        <v>1398.4107666</v>
      </c>
      <c r="J517">
        <v>1371.9735106999999</v>
      </c>
      <c r="K517">
        <v>0</v>
      </c>
      <c r="L517">
        <v>2400</v>
      </c>
      <c r="M517">
        <v>2400</v>
      </c>
      <c r="N517">
        <v>0</v>
      </c>
    </row>
    <row r="518" spans="1:14" x14ac:dyDescent="0.25">
      <c r="A518">
        <v>184.60471100000001</v>
      </c>
      <c r="B518" s="1">
        <f>DATE(2010,11,1) + TIME(14,30,47)</f>
        <v>40483.604710648149</v>
      </c>
      <c r="C518">
        <v>80</v>
      </c>
      <c r="D518">
        <v>79.567398071</v>
      </c>
      <c r="E518">
        <v>50</v>
      </c>
      <c r="F518">
        <v>39.068191528</v>
      </c>
      <c r="G518">
        <v>1316.0305175999999</v>
      </c>
      <c r="H518">
        <v>1303.4599608999999</v>
      </c>
      <c r="I518">
        <v>1399.1141356999999</v>
      </c>
      <c r="J518">
        <v>1373.0642089999999</v>
      </c>
      <c r="K518">
        <v>0</v>
      </c>
      <c r="L518">
        <v>2400</v>
      </c>
      <c r="M518">
        <v>2400</v>
      </c>
      <c r="N518">
        <v>0</v>
      </c>
    </row>
    <row r="519" spans="1:14" x14ac:dyDescent="0.25">
      <c r="A519">
        <v>184.654673</v>
      </c>
      <c r="B519" s="1">
        <f>DATE(2010,11,1) + TIME(15,42,43)</f>
        <v>40483.654664351852</v>
      </c>
      <c r="C519">
        <v>80</v>
      </c>
      <c r="D519">
        <v>79.550666809000006</v>
      </c>
      <c r="E519">
        <v>50</v>
      </c>
      <c r="F519">
        <v>39.766727447999997</v>
      </c>
      <c r="G519">
        <v>1315.3145752</v>
      </c>
      <c r="H519">
        <v>1302.7409668</v>
      </c>
      <c r="I519">
        <v>1399.7670897999999</v>
      </c>
      <c r="J519">
        <v>1374.0899658000001</v>
      </c>
      <c r="K519">
        <v>0</v>
      </c>
      <c r="L519">
        <v>2400</v>
      </c>
      <c r="M519">
        <v>2400</v>
      </c>
      <c r="N519">
        <v>0</v>
      </c>
    </row>
    <row r="520" spans="1:14" x14ac:dyDescent="0.25">
      <c r="A520">
        <v>184.70729600000001</v>
      </c>
      <c r="B520" s="1">
        <f>DATE(2010,11,1) + TIME(16,58,30)</f>
        <v>40483.707291666666</v>
      </c>
      <c r="C520">
        <v>80</v>
      </c>
      <c r="D520">
        <v>79.533393860000004</v>
      </c>
      <c r="E520">
        <v>50</v>
      </c>
      <c r="F520">
        <v>40.452205657999997</v>
      </c>
      <c r="G520">
        <v>1314.6185303</v>
      </c>
      <c r="H520">
        <v>1302.0421143000001</v>
      </c>
      <c r="I520">
        <v>1400.3762207</v>
      </c>
      <c r="J520">
        <v>1375.0582274999999</v>
      </c>
      <c r="K520">
        <v>0</v>
      </c>
      <c r="L520">
        <v>2400</v>
      </c>
      <c r="M520">
        <v>2400</v>
      </c>
      <c r="N520">
        <v>0</v>
      </c>
    </row>
    <row r="521" spans="1:14" x14ac:dyDescent="0.25">
      <c r="A521">
        <v>184.76288400000001</v>
      </c>
      <c r="B521" s="1">
        <f>DATE(2010,11,1) + TIME(18,18,33)</f>
        <v>40483.762881944444</v>
      </c>
      <c r="C521">
        <v>80</v>
      </c>
      <c r="D521">
        <v>79.515502929999997</v>
      </c>
      <c r="E521">
        <v>50</v>
      </c>
      <c r="F521">
        <v>41.124275208</v>
      </c>
      <c r="G521">
        <v>1313.9400635</v>
      </c>
      <c r="H521">
        <v>1301.3609618999999</v>
      </c>
      <c r="I521">
        <v>1400.9475098</v>
      </c>
      <c r="J521">
        <v>1375.9752197</v>
      </c>
      <c r="K521">
        <v>0</v>
      </c>
      <c r="L521">
        <v>2400</v>
      </c>
      <c r="M521">
        <v>2400</v>
      </c>
      <c r="N521">
        <v>0</v>
      </c>
    </row>
    <row r="522" spans="1:14" x14ac:dyDescent="0.25">
      <c r="A522">
        <v>184.82179600000001</v>
      </c>
      <c r="B522" s="1">
        <f>DATE(2010,11,1) + TIME(19,43,23)</f>
        <v>40483.821793981479</v>
      </c>
      <c r="C522">
        <v>80</v>
      </c>
      <c r="D522">
        <v>79.496917725000003</v>
      </c>
      <c r="E522">
        <v>50</v>
      </c>
      <c r="F522">
        <v>41.782531738000003</v>
      </c>
      <c r="G522">
        <v>1313.2764893000001</v>
      </c>
      <c r="H522">
        <v>1300.6950684000001</v>
      </c>
      <c r="I522">
        <v>1401.4858397999999</v>
      </c>
      <c r="J522">
        <v>1376.8463135</v>
      </c>
      <c r="K522">
        <v>0</v>
      </c>
      <c r="L522">
        <v>2400</v>
      </c>
      <c r="M522">
        <v>2400</v>
      </c>
      <c r="N522">
        <v>0</v>
      </c>
    </row>
    <row r="523" spans="1:14" x14ac:dyDescent="0.25">
      <c r="A523">
        <v>184.88441599999999</v>
      </c>
      <c r="B523" s="1">
        <f>DATE(2010,11,1) + TIME(21,13,33)</f>
        <v>40483.884409722225</v>
      </c>
      <c r="C523">
        <v>80</v>
      </c>
      <c r="D523">
        <v>79.477539062000005</v>
      </c>
      <c r="E523">
        <v>50</v>
      </c>
      <c r="F523">
        <v>42.426166533999996</v>
      </c>
      <c r="G523">
        <v>1312.6263428</v>
      </c>
      <c r="H523">
        <v>1300.0424805</v>
      </c>
      <c r="I523">
        <v>1401.9951172000001</v>
      </c>
      <c r="J523">
        <v>1377.6756591999999</v>
      </c>
      <c r="K523">
        <v>0</v>
      </c>
      <c r="L523">
        <v>2400</v>
      </c>
      <c r="M523">
        <v>2400</v>
      </c>
      <c r="N523">
        <v>0</v>
      </c>
    </row>
    <row r="524" spans="1:14" x14ac:dyDescent="0.25">
      <c r="A524">
        <v>184.95123100000001</v>
      </c>
      <c r="B524" s="1">
        <f>DATE(2010,11,1) + TIME(22,49,46)</f>
        <v>40483.951226851852</v>
      </c>
      <c r="C524">
        <v>80</v>
      </c>
      <c r="D524">
        <v>79.457267760999997</v>
      </c>
      <c r="E524">
        <v>50</v>
      </c>
      <c r="F524">
        <v>43.054618834999999</v>
      </c>
      <c r="G524">
        <v>1311.9873047000001</v>
      </c>
      <c r="H524">
        <v>1299.4012451000001</v>
      </c>
      <c r="I524">
        <v>1402.4788818</v>
      </c>
      <c r="J524">
        <v>1378.4674072</v>
      </c>
      <c r="K524">
        <v>0</v>
      </c>
      <c r="L524">
        <v>2400</v>
      </c>
      <c r="M524">
        <v>2400</v>
      </c>
      <c r="N524">
        <v>0</v>
      </c>
    </row>
    <row r="525" spans="1:14" x14ac:dyDescent="0.25">
      <c r="A525">
        <v>185.02284</v>
      </c>
      <c r="B525" s="1">
        <f>DATE(2010,11,2) + TIME(0,32,53)</f>
        <v>40484.022835648146</v>
      </c>
      <c r="C525">
        <v>80</v>
      </c>
      <c r="D525">
        <v>79.435966492000006</v>
      </c>
      <c r="E525">
        <v>50</v>
      </c>
      <c r="F525">
        <v>43.667316436999997</v>
      </c>
      <c r="G525">
        <v>1311.3575439000001</v>
      </c>
      <c r="H525">
        <v>1298.7694091999999</v>
      </c>
      <c r="I525">
        <v>1402.9404297000001</v>
      </c>
      <c r="J525">
        <v>1379.2249756000001</v>
      </c>
      <c r="K525">
        <v>0</v>
      </c>
      <c r="L525">
        <v>2400</v>
      </c>
      <c r="M525">
        <v>2400</v>
      </c>
      <c r="N525">
        <v>0</v>
      </c>
    </row>
    <row r="526" spans="1:14" x14ac:dyDescent="0.25">
      <c r="A526">
        <v>185.09997300000001</v>
      </c>
      <c r="B526" s="1">
        <f>DATE(2010,11,2) + TIME(2,23,57)</f>
        <v>40484.099965277775</v>
      </c>
      <c r="C526">
        <v>80</v>
      </c>
      <c r="D526">
        <v>79.413482665999993</v>
      </c>
      <c r="E526">
        <v>50</v>
      </c>
      <c r="F526">
        <v>44.263607024999999</v>
      </c>
      <c r="G526">
        <v>1310.7348632999999</v>
      </c>
      <c r="H526">
        <v>1298.1447754000001</v>
      </c>
      <c r="I526">
        <v>1403.3826904</v>
      </c>
      <c r="J526">
        <v>1379.9516602000001</v>
      </c>
      <c r="K526">
        <v>0</v>
      </c>
      <c r="L526">
        <v>2400</v>
      </c>
      <c r="M526">
        <v>2400</v>
      </c>
      <c r="N526">
        <v>0</v>
      </c>
    </row>
    <row r="527" spans="1:14" x14ac:dyDescent="0.25">
      <c r="A527">
        <v>185.18348800000001</v>
      </c>
      <c r="B527" s="1">
        <f>DATE(2010,11,2) + TIME(4,24,13)</f>
        <v>40484.183483796296</v>
      </c>
      <c r="C527">
        <v>80</v>
      </c>
      <c r="D527">
        <v>79.389625549000002</v>
      </c>
      <c r="E527">
        <v>50</v>
      </c>
      <c r="F527">
        <v>44.842418670999997</v>
      </c>
      <c r="G527">
        <v>1310.1175536999999</v>
      </c>
      <c r="H527">
        <v>1297.5253906</v>
      </c>
      <c r="I527">
        <v>1403.8077393000001</v>
      </c>
      <c r="J527">
        <v>1380.6499022999999</v>
      </c>
      <c r="K527">
        <v>0</v>
      </c>
      <c r="L527">
        <v>2400</v>
      </c>
      <c r="M527">
        <v>2400</v>
      </c>
      <c r="N527">
        <v>0</v>
      </c>
    </row>
    <row r="528" spans="1:14" x14ac:dyDescent="0.25">
      <c r="A528">
        <v>185.274452</v>
      </c>
      <c r="B528" s="1">
        <f>DATE(2010,11,2) + TIME(6,35,12)</f>
        <v>40484.274444444447</v>
      </c>
      <c r="C528">
        <v>80</v>
      </c>
      <c r="D528">
        <v>79.364189147999994</v>
      </c>
      <c r="E528">
        <v>50</v>
      </c>
      <c r="F528">
        <v>45.402561188</v>
      </c>
      <c r="G528">
        <v>1309.5036620999999</v>
      </c>
      <c r="H528">
        <v>1296.9095459</v>
      </c>
      <c r="I528">
        <v>1404.2176514</v>
      </c>
      <c r="J528">
        <v>1381.3220214999999</v>
      </c>
      <c r="K528">
        <v>0</v>
      </c>
      <c r="L528">
        <v>2400</v>
      </c>
      <c r="M528">
        <v>2400</v>
      </c>
      <c r="N528">
        <v>0</v>
      </c>
    </row>
    <row r="529" spans="1:14" x14ac:dyDescent="0.25">
      <c r="A529">
        <v>185.37412699999999</v>
      </c>
      <c r="B529" s="1">
        <f>DATE(2010,11,2) + TIME(8,58,44)</f>
        <v>40484.374120370368</v>
      </c>
      <c r="C529">
        <v>80</v>
      </c>
      <c r="D529">
        <v>79.336906432999996</v>
      </c>
      <c r="E529">
        <v>50</v>
      </c>
      <c r="F529">
        <v>45.942264557000001</v>
      </c>
      <c r="G529">
        <v>1308.8917236</v>
      </c>
      <c r="H529">
        <v>1296.2957764</v>
      </c>
      <c r="I529">
        <v>1404.6140137</v>
      </c>
      <c r="J529">
        <v>1381.9693603999999</v>
      </c>
      <c r="K529">
        <v>0</v>
      </c>
      <c r="L529">
        <v>2400</v>
      </c>
      <c r="M529">
        <v>2400</v>
      </c>
      <c r="N529">
        <v>0</v>
      </c>
    </row>
    <row r="530" spans="1:14" x14ac:dyDescent="0.25">
      <c r="A530">
        <v>185.48428100000001</v>
      </c>
      <c r="B530" s="1">
        <f>DATE(2010,11,2) + TIME(11,37,21)</f>
        <v>40484.484270833331</v>
      </c>
      <c r="C530">
        <v>80</v>
      </c>
      <c r="D530">
        <v>79.307434082</v>
      </c>
      <c r="E530">
        <v>50</v>
      </c>
      <c r="F530">
        <v>46.460281371999997</v>
      </c>
      <c r="G530">
        <v>1308.2792969</v>
      </c>
      <c r="H530">
        <v>1295.6813964999999</v>
      </c>
      <c r="I530">
        <v>1404.9986572</v>
      </c>
      <c r="J530">
        <v>1382.5939940999999</v>
      </c>
      <c r="K530">
        <v>0</v>
      </c>
      <c r="L530">
        <v>2400</v>
      </c>
      <c r="M530">
        <v>2400</v>
      </c>
      <c r="N530">
        <v>0</v>
      </c>
    </row>
    <row r="531" spans="1:14" x14ac:dyDescent="0.25">
      <c r="A531">
        <v>185.600528</v>
      </c>
      <c r="B531" s="1">
        <f>DATE(2010,11,2) + TIME(14,24,45)</f>
        <v>40484.60052083333</v>
      </c>
      <c r="C531">
        <v>80</v>
      </c>
      <c r="D531">
        <v>79.276832580999994</v>
      </c>
      <c r="E531">
        <v>50</v>
      </c>
      <c r="F531">
        <v>46.931808472</v>
      </c>
      <c r="G531">
        <v>1307.6939697</v>
      </c>
      <c r="H531">
        <v>1295.0942382999999</v>
      </c>
      <c r="I531">
        <v>1405.3513184000001</v>
      </c>
      <c r="J531">
        <v>1383.1638184000001</v>
      </c>
      <c r="K531">
        <v>0</v>
      </c>
      <c r="L531">
        <v>2400</v>
      </c>
      <c r="M531">
        <v>2400</v>
      </c>
      <c r="N531">
        <v>0</v>
      </c>
    </row>
    <row r="532" spans="1:14" x14ac:dyDescent="0.25">
      <c r="A532">
        <v>185.718344</v>
      </c>
      <c r="B532" s="1">
        <f>DATE(2010,11,2) + TIME(17,14,24)</f>
        <v>40484.718333333331</v>
      </c>
      <c r="C532">
        <v>80</v>
      </c>
      <c r="D532">
        <v>79.246131896999998</v>
      </c>
      <c r="E532">
        <v>50</v>
      </c>
      <c r="F532">
        <v>47.343376159999998</v>
      </c>
      <c r="G532">
        <v>1307.1551514</v>
      </c>
      <c r="H532">
        <v>1294.5537108999999</v>
      </c>
      <c r="I532">
        <v>1405.6607666</v>
      </c>
      <c r="J532">
        <v>1383.6629639</v>
      </c>
      <c r="K532">
        <v>0</v>
      </c>
      <c r="L532">
        <v>2400</v>
      </c>
      <c r="M532">
        <v>2400</v>
      </c>
      <c r="N532">
        <v>0</v>
      </c>
    </row>
    <row r="533" spans="1:14" x14ac:dyDescent="0.25">
      <c r="A533">
        <v>185.838292</v>
      </c>
      <c r="B533" s="1">
        <f>DATE(2010,11,2) + TIME(20,7,8)</f>
        <v>40484.838287037041</v>
      </c>
      <c r="C533">
        <v>80</v>
      </c>
      <c r="D533">
        <v>79.215194702000005</v>
      </c>
      <c r="E533">
        <v>50</v>
      </c>
      <c r="F533">
        <v>47.703433990000001</v>
      </c>
      <c r="G533">
        <v>1306.6557617000001</v>
      </c>
      <c r="H533">
        <v>1294.0527344</v>
      </c>
      <c r="I533">
        <v>1405.9361572</v>
      </c>
      <c r="J533">
        <v>1384.1057129000001</v>
      </c>
      <c r="K533">
        <v>0</v>
      </c>
      <c r="L533">
        <v>2400</v>
      </c>
      <c r="M533">
        <v>2400</v>
      </c>
      <c r="N533">
        <v>0</v>
      </c>
    </row>
    <row r="534" spans="1:14" x14ac:dyDescent="0.25">
      <c r="A534">
        <v>185.960429</v>
      </c>
      <c r="B534" s="1">
        <f>DATE(2010,11,2) + TIME(23,3,1)</f>
        <v>40484.960428240738</v>
      </c>
      <c r="C534">
        <v>80</v>
      </c>
      <c r="D534">
        <v>79.184005737000007</v>
      </c>
      <c r="E534">
        <v>50</v>
      </c>
      <c r="F534">
        <v>48.017761229999998</v>
      </c>
      <c r="G534">
        <v>1306.1921387</v>
      </c>
      <c r="H534">
        <v>1293.5876464999999</v>
      </c>
      <c r="I534">
        <v>1406.1815185999999</v>
      </c>
      <c r="J534">
        <v>1384.4987793</v>
      </c>
      <c r="K534">
        <v>0</v>
      </c>
      <c r="L534">
        <v>2400</v>
      </c>
      <c r="M534">
        <v>2400</v>
      </c>
      <c r="N534">
        <v>0</v>
      </c>
    </row>
    <row r="535" spans="1:14" x14ac:dyDescent="0.25">
      <c r="A535">
        <v>186.08532400000001</v>
      </c>
      <c r="B535" s="1">
        <f>DATE(2010,11,3) + TIME(2,2,52)</f>
        <v>40485.085324074076</v>
      </c>
      <c r="C535">
        <v>80</v>
      </c>
      <c r="D535">
        <v>79.152435303000004</v>
      </c>
      <c r="E535">
        <v>50</v>
      </c>
      <c r="F535">
        <v>48.292533874999997</v>
      </c>
      <c r="G535">
        <v>1305.7593993999999</v>
      </c>
      <c r="H535">
        <v>1293.1534423999999</v>
      </c>
      <c r="I535">
        <v>1406.4007568</v>
      </c>
      <c r="J535">
        <v>1384.8493652</v>
      </c>
      <c r="K535">
        <v>0</v>
      </c>
      <c r="L535">
        <v>2400</v>
      </c>
      <c r="M535">
        <v>2400</v>
      </c>
      <c r="N535">
        <v>0</v>
      </c>
    </row>
    <row r="536" spans="1:14" x14ac:dyDescent="0.25">
      <c r="A536">
        <v>186.21353300000001</v>
      </c>
      <c r="B536" s="1">
        <f>DATE(2010,11,3) + TIME(5,7,29)</f>
        <v>40485.213530092595</v>
      </c>
      <c r="C536">
        <v>80</v>
      </c>
      <c r="D536">
        <v>79.120368958</v>
      </c>
      <c r="E536">
        <v>50</v>
      </c>
      <c r="F536">
        <v>48.532806395999998</v>
      </c>
      <c r="G536">
        <v>1305.3536377</v>
      </c>
      <c r="H536">
        <v>1292.7462158000001</v>
      </c>
      <c r="I536">
        <v>1406.5970459</v>
      </c>
      <c r="J536">
        <v>1385.1627197</v>
      </c>
      <c r="K536">
        <v>0</v>
      </c>
      <c r="L536">
        <v>2400</v>
      </c>
      <c r="M536">
        <v>2400</v>
      </c>
      <c r="N536">
        <v>0</v>
      </c>
    </row>
    <row r="537" spans="1:14" x14ac:dyDescent="0.25">
      <c r="A537">
        <v>186.34561199999999</v>
      </c>
      <c r="B537" s="1">
        <f>DATE(2010,11,3) + TIME(8,17,40)</f>
        <v>40485.345601851855</v>
      </c>
      <c r="C537">
        <v>80</v>
      </c>
      <c r="D537">
        <v>79.087684631000002</v>
      </c>
      <c r="E537">
        <v>50</v>
      </c>
      <c r="F537">
        <v>48.742794037000003</v>
      </c>
      <c r="G537">
        <v>1304.9718018000001</v>
      </c>
      <c r="H537">
        <v>1292.3629149999999</v>
      </c>
      <c r="I537">
        <v>1406.7722168</v>
      </c>
      <c r="J537">
        <v>1385.442749</v>
      </c>
      <c r="K537">
        <v>0</v>
      </c>
      <c r="L537">
        <v>2400</v>
      </c>
      <c r="M537">
        <v>2400</v>
      </c>
      <c r="N537">
        <v>0</v>
      </c>
    </row>
    <row r="538" spans="1:14" x14ac:dyDescent="0.25">
      <c r="A538">
        <v>186.48179400000001</v>
      </c>
      <c r="B538" s="1">
        <f>DATE(2010,11,3) + TIME(11,33,47)</f>
        <v>40485.481793981482</v>
      </c>
      <c r="C538">
        <v>80</v>
      </c>
      <c r="D538">
        <v>79.054328917999996</v>
      </c>
      <c r="E538">
        <v>50</v>
      </c>
      <c r="F538">
        <v>48.925670623999999</v>
      </c>
      <c r="G538">
        <v>1304.6123047000001</v>
      </c>
      <c r="H538">
        <v>1292.0019531</v>
      </c>
      <c r="I538">
        <v>1406.9272461</v>
      </c>
      <c r="J538">
        <v>1385.6916504000001</v>
      </c>
      <c r="K538">
        <v>0</v>
      </c>
      <c r="L538">
        <v>2400</v>
      </c>
      <c r="M538">
        <v>2400</v>
      </c>
      <c r="N538">
        <v>0</v>
      </c>
    </row>
    <row r="539" spans="1:14" x14ac:dyDescent="0.25">
      <c r="A539">
        <v>186.62278000000001</v>
      </c>
      <c r="B539" s="1">
        <f>DATE(2010,11,3) + TIME(14,56,48)</f>
        <v>40485.622777777775</v>
      </c>
      <c r="C539">
        <v>80</v>
      </c>
      <c r="D539">
        <v>79.020172118999994</v>
      </c>
      <c r="E539">
        <v>50</v>
      </c>
      <c r="F539">
        <v>49.084777832</v>
      </c>
      <c r="G539">
        <v>1304.2727050999999</v>
      </c>
      <c r="H539">
        <v>1291.6608887</v>
      </c>
      <c r="I539">
        <v>1407.0638428</v>
      </c>
      <c r="J539">
        <v>1385.9128418</v>
      </c>
      <c r="K539">
        <v>0</v>
      </c>
      <c r="L539">
        <v>2400</v>
      </c>
      <c r="M539">
        <v>2400</v>
      </c>
      <c r="N539">
        <v>0</v>
      </c>
    </row>
    <row r="540" spans="1:14" x14ac:dyDescent="0.25">
      <c r="A540">
        <v>186.76929100000001</v>
      </c>
      <c r="B540" s="1">
        <f>DATE(2010,11,3) + TIME(18,27,46)</f>
        <v>40485.769282407404</v>
      </c>
      <c r="C540">
        <v>80</v>
      </c>
      <c r="D540">
        <v>78.985061646000005</v>
      </c>
      <c r="E540">
        <v>50</v>
      </c>
      <c r="F540">
        <v>49.222927093999999</v>
      </c>
      <c r="G540">
        <v>1303.9511719</v>
      </c>
      <c r="H540">
        <v>1291.3378906</v>
      </c>
      <c r="I540">
        <v>1407.1829834</v>
      </c>
      <c r="J540">
        <v>1386.1082764</v>
      </c>
      <c r="K540">
        <v>0</v>
      </c>
      <c r="L540">
        <v>2400</v>
      </c>
      <c r="M540">
        <v>2400</v>
      </c>
      <c r="N540">
        <v>0</v>
      </c>
    </row>
    <row r="541" spans="1:14" x14ac:dyDescent="0.25">
      <c r="A541">
        <v>186.92214300000001</v>
      </c>
      <c r="B541" s="1">
        <f>DATE(2010,11,3) + TIME(22,7,53)</f>
        <v>40485.9221412037</v>
      </c>
      <c r="C541">
        <v>80</v>
      </c>
      <c r="D541">
        <v>78.948844910000005</v>
      </c>
      <c r="E541">
        <v>50</v>
      </c>
      <c r="F541">
        <v>49.342552185000002</v>
      </c>
      <c r="G541">
        <v>1303.6459961</v>
      </c>
      <c r="H541">
        <v>1291.03125</v>
      </c>
      <c r="I541">
        <v>1407.2851562000001</v>
      </c>
      <c r="J541">
        <v>1386.2795410000001</v>
      </c>
      <c r="K541">
        <v>0</v>
      </c>
      <c r="L541">
        <v>2400</v>
      </c>
      <c r="M541">
        <v>2400</v>
      </c>
      <c r="N541">
        <v>0</v>
      </c>
    </row>
    <row r="542" spans="1:14" x14ac:dyDescent="0.25">
      <c r="A542">
        <v>187.082031</v>
      </c>
      <c r="B542" s="1">
        <f>DATE(2010,11,4) + TIME(1,58,7)</f>
        <v>40486.082025462965</v>
      </c>
      <c r="C542">
        <v>80</v>
      </c>
      <c r="D542">
        <v>78.911392211999996</v>
      </c>
      <c r="E542">
        <v>50</v>
      </c>
      <c r="F542">
        <v>49.445655823000003</v>
      </c>
      <c r="G542">
        <v>1303.3563231999999</v>
      </c>
      <c r="H542">
        <v>1290.7401123</v>
      </c>
      <c r="I542">
        <v>1407.3703613</v>
      </c>
      <c r="J542">
        <v>1386.4276123</v>
      </c>
      <c r="K542">
        <v>0</v>
      </c>
      <c r="L542">
        <v>2400</v>
      </c>
      <c r="M542">
        <v>2400</v>
      </c>
      <c r="N542">
        <v>0</v>
      </c>
    </row>
    <row r="543" spans="1:14" x14ac:dyDescent="0.25">
      <c r="A543">
        <v>187.249877</v>
      </c>
      <c r="B543" s="1">
        <f>DATE(2010,11,4) + TIME(5,59,49)</f>
        <v>40486.249872685185</v>
      </c>
      <c r="C543">
        <v>80</v>
      </c>
      <c r="D543">
        <v>78.872535705999994</v>
      </c>
      <c r="E543">
        <v>50</v>
      </c>
      <c r="F543">
        <v>49.534114838000001</v>
      </c>
      <c r="G543">
        <v>1303.0810547000001</v>
      </c>
      <c r="H543">
        <v>1290.4633789</v>
      </c>
      <c r="I543">
        <v>1407.4389647999999</v>
      </c>
      <c r="J543">
        <v>1386.5534668</v>
      </c>
      <c r="K543">
        <v>0</v>
      </c>
      <c r="L543">
        <v>2400</v>
      </c>
      <c r="M543">
        <v>2400</v>
      </c>
      <c r="N543">
        <v>0</v>
      </c>
    </row>
    <row r="544" spans="1:14" x14ac:dyDescent="0.25">
      <c r="A544">
        <v>187.42687900000001</v>
      </c>
      <c r="B544" s="1">
        <f>DATE(2010,11,4) + TIME(10,14,42)</f>
        <v>40486.426874999997</v>
      </c>
      <c r="C544">
        <v>80</v>
      </c>
      <c r="D544">
        <v>78.832046508999994</v>
      </c>
      <c r="E544">
        <v>50</v>
      </c>
      <c r="F544">
        <v>49.609649658000002</v>
      </c>
      <c r="G544">
        <v>1302.8192139</v>
      </c>
      <c r="H544">
        <v>1290.1999512</v>
      </c>
      <c r="I544">
        <v>1407.4908447</v>
      </c>
      <c r="J544">
        <v>1386.6578368999999</v>
      </c>
      <c r="K544">
        <v>0</v>
      </c>
      <c r="L544">
        <v>2400</v>
      </c>
      <c r="M544">
        <v>2400</v>
      </c>
      <c r="N544">
        <v>0</v>
      </c>
    </row>
    <row r="545" spans="1:14" x14ac:dyDescent="0.25">
      <c r="A545">
        <v>187.614059</v>
      </c>
      <c r="B545" s="1">
        <f>DATE(2010,11,4) + TIME(14,44,14)</f>
        <v>40486.614050925928</v>
      </c>
      <c r="C545">
        <v>80</v>
      </c>
      <c r="D545">
        <v>78.789756775000001</v>
      </c>
      <c r="E545">
        <v>50</v>
      </c>
      <c r="F545">
        <v>49.673683167</v>
      </c>
      <c r="G545">
        <v>1302.5704346</v>
      </c>
      <c r="H545">
        <v>1289.9494629000001</v>
      </c>
      <c r="I545">
        <v>1407.5255127</v>
      </c>
      <c r="J545">
        <v>1386.7408447</v>
      </c>
      <c r="K545">
        <v>0</v>
      </c>
      <c r="L545">
        <v>2400</v>
      </c>
      <c r="M545">
        <v>2400</v>
      </c>
      <c r="N545">
        <v>0</v>
      </c>
    </row>
    <row r="546" spans="1:14" x14ac:dyDescent="0.25">
      <c r="A546">
        <v>187.81072900000001</v>
      </c>
      <c r="B546" s="1">
        <f>DATE(2010,11,4) + TIME(19,27,26)</f>
        <v>40486.810717592591</v>
      </c>
      <c r="C546">
        <v>80</v>
      </c>
      <c r="D546">
        <v>78.745788574000002</v>
      </c>
      <c r="E546">
        <v>50</v>
      </c>
      <c r="F546">
        <v>49.727123259999999</v>
      </c>
      <c r="G546">
        <v>1302.3361815999999</v>
      </c>
      <c r="H546">
        <v>1289.713501</v>
      </c>
      <c r="I546">
        <v>1407.5411377</v>
      </c>
      <c r="J546">
        <v>1386.8009033000001</v>
      </c>
      <c r="K546">
        <v>0</v>
      </c>
      <c r="L546">
        <v>2400</v>
      </c>
      <c r="M546">
        <v>2400</v>
      </c>
      <c r="N546">
        <v>0</v>
      </c>
    </row>
    <row r="547" spans="1:14" x14ac:dyDescent="0.25">
      <c r="A547">
        <v>188.01813100000001</v>
      </c>
      <c r="B547" s="1">
        <f>DATE(2010,11,5) + TIME(0,26,6)</f>
        <v>40487.018125000002</v>
      </c>
      <c r="C547">
        <v>80</v>
      </c>
      <c r="D547">
        <v>78.699920653999996</v>
      </c>
      <c r="E547">
        <v>50</v>
      </c>
      <c r="F547">
        <v>49.771434784</v>
      </c>
      <c r="G547">
        <v>1302.1157227000001</v>
      </c>
      <c r="H547">
        <v>1289.4913329999999</v>
      </c>
      <c r="I547">
        <v>1407.5389404</v>
      </c>
      <c r="J547">
        <v>1386.8397216999999</v>
      </c>
      <c r="K547">
        <v>0</v>
      </c>
      <c r="L547">
        <v>2400</v>
      </c>
      <c r="M547">
        <v>2400</v>
      </c>
      <c r="N547">
        <v>0</v>
      </c>
    </row>
    <row r="548" spans="1:14" x14ac:dyDescent="0.25">
      <c r="A548">
        <v>188.23755800000001</v>
      </c>
      <c r="B548" s="1">
        <f>DATE(2010,11,5) + TIME(5,42,4)</f>
        <v>40487.237546296295</v>
      </c>
      <c r="C548">
        <v>80</v>
      </c>
      <c r="D548">
        <v>78.651954650999997</v>
      </c>
      <c r="E548">
        <v>50</v>
      </c>
      <c r="F548">
        <v>49.807891845999997</v>
      </c>
      <c r="G548">
        <v>1301.9083252</v>
      </c>
      <c r="H548">
        <v>1289.2821045000001</v>
      </c>
      <c r="I548">
        <v>1407.5189209</v>
      </c>
      <c r="J548">
        <v>1386.8577881000001</v>
      </c>
      <c r="K548">
        <v>0</v>
      </c>
      <c r="L548">
        <v>2400</v>
      </c>
      <c r="M548">
        <v>2400</v>
      </c>
      <c r="N548">
        <v>0</v>
      </c>
    </row>
    <row r="549" spans="1:14" x14ac:dyDescent="0.25">
      <c r="A549">
        <v>188.47094000000001</v>
      </c>
      <c r="B549" s="1">
        <f>DATE(2010,11,5) + TIME(11,18,9)</f>
        <v>40487.470937500002</v>
      </c>
      <c r="C549">
        <v>80</v>
      </c>
      <c r="D549">
        <v>78.601554871000005</v>
      </c>
      <c r="E549">
        <v>50</v>
      </c>
      <c r="F549">
        <v>49.837673187</v>
      </c>
      <c r="G549">
        <v>1301.7131348</v>
      </c>
      <c r="H549">
        <v>1289.0849608999999</v>
      </c>
      <c r="I549">
        <v>1407.4810791</v>
      </c>
      <c r="J549">
        <v>1386.8557129000001</v>
      </c>
      <c r="K549">
        <v>0</v>
      </c>
      <c r="L549">
        <v>2400</v>
      </c>
      <c r="M549">
        <v>2400</v>
      </c>
      <c r="N549">
        <v>0</v>
      </c>
    </row>
    <row r="550" spans="1:14" x14ac:dyDescent="0.25">
      <c r="A550">
        <v>188.72051300000001</v>
      </c>
      <c r="B550" s="1">
        <f>DATE(2010,11,5) + TIME(17,17,32)</f>
        <v>40487.720509259256</v>
      </c>
      <c r="C550">
        <v>80</v>
      </c>
      <c r="D550">
        <v>78.548362732000001</v>
      </c>
      <c r="E550">
        <v>50</v>
      </c>
      <c r="F550">
        <v>49.861793517999999</v>
      </c>
      <c r="G550">
        <v>1301.5294189000001</v>
      </c>
      <c r="H550">
        <v>1288.8992920000001</v>
      </c>
      <c r="I550">
        <v>1407.4248047000001</v>
      </c>
      <c r="J550">
        <v>1386.833374</v>
      </c>
      <c r="K550">
        <v>0</v>
      </c>
      <c r="L550">
        <v>2400</v>
      </c>
      <c r="M550">
        <v>2400</v>
      </c>
      <c r="N550">
        <v>0</v>
      </c>
    </row>
    <row r="551" spans="1:14" x14ac:dyDescent="0.25">
      <c r="A551">
        <v>188.97072700000001</v>
      </c>
      <c r="B551" s="1">
        <f>DATE(2010,11,5) + TIME(23,17,50)</f>
        <v>40487.970717592594</v>
      </c>
      <c r="C551">
        <v>80</v>
      </c>
      <c r="D551">
        <v>78.494850158999995</v>
      </c>
      <c r="E551">
        <v>50</v>
      </c>
      <c r="F551">
        <v>49.880119323999999</v>
      </c>
      <c r="G551">
        <v>1301.3663329999999</v>
      </c>
      <c r="H551">
        <v>1288.7341309000001</v>
      </c>
      <c r="I551">
        <v>1407.3446045000001</v>
      </c>
      <c r="J551">
        <v>1386.7849120999999</v>
      </c>
      <c r="K551">
        <v>0</v>
      </c>
      <c r="L551">
        <v>2400</v>
      </c>
      <c r="M551">
        <v>2400</v>
      </c>
      <c r="N551">
        <v>0</v>
      </c>
    </row>
    <row r="552" spans="1:14" x14ac:dyDescent="0.25">
      <c r="A552">
        <v>189.22300799999999</v>
      </c>
      <c r="B552" s="1">
        <f>DATE(2010,11,6) + TIME(5,21,7)</f>
        <v>40488.222997685189</v>
      </c>
      <c r="C552">
        <v>80</v>
      </c>
      <c r="D552">
        <v>78.440933228000006</v>
      </c>
      <c r="E552">
        <v>50</v>
      </c>
      <c r="F552">
        <v>49.894134520999998</v>
      </c>
      <c r="G552">
        <v>1301.2208252</v>
      </c>
      <c r="H552">
        <v>1288.5865478999999</v>
      </c>
      <c r="I552">
        <v>1407.2530518000001</v>
      </c>
      <c r="J552">
        <v>1386.7225341999999</v>
      </c>
      <c r="K552">
        <v>0</v>
      </c>
      <c r="L552">
        <v>2400</v>
      </c>
      <c r="M552">
        <v>2400</v>
      </c>
      <c r="N552">
        <v>0</v>
      </c>
    </row>
    <row r="553" spans="1:14" x14ac:dyDescent="0.25">
      <c r="A553">
        <v>189.47870700000001</v>
      </c>
      <c r="B553" s="1">
        <f>DATE(2010,11,6) + TIME(11,29,20)</f>
        <v>40488.478703703702</v>
      </c>
      <c r="C553">
        <v>80</v>
      </c>
      <c r="D553">
        <v>78.386497497999997</v>
      </c>
      <c r="E553">
        <v>50</v>
      </c>
      <c r="F553">
        <v>49.904911040999998</v>
      </c>
      <c r="G553">
        <v>1301.0900879000001</v>
      </c>
      <c r="H553">
        <v>1288.4538574000001</v>
      </c>
      <c r="I553">
        <v>1407.1524658000001</v>
      </c>
      <c r="J553">
        <v>1386.6490478999999</v>
      </c>
      <c r="K553">
        <v>0</v>
      </c>
      <c r="L553">
        <v>2400</v>
      </c>
      <c r="M553">
        <v>2400</v>
      </c>
      <c r="N553">
        <v>0</v>
      </c>
    </row>
    <row r="554" spans="1:14" x14ac:dyDescent="0.25">
      <c r="A554">
        <v>189.73905400000001</v>
      </c>
      <c r="B554" s="1">
        <f>DATE(2010,11,6) + TIME(17,44,14)</f>
        <v>40488.739050925928</v>
      </c>
      <c r="C554">
        <v>80</v>
      </c>
      <c r="D554">
        <v>78.331390381000006</v>
      </c>
      <c r="E554">
        <v>50</v>
      </c>
      <c r="F554">
        <v>49.913219452</v>
      </c>
      <c r="G554">
        <v>1300.9719238</v>
      </c>
      <c r="H554">
        <v>1288.3336182</v>
      </c>
      <c r="I554">
        <v>1407.0439452999999</v>
      </c>
      <c r="J554">
        <v>1386.565918</v>
      </c>
      <c r="K554">
        <v>0</v>
      </c>
      <c r="L554">
        <v>2400</v>
      </c>
      <c r="M554">
        <v>2400</v>
      </c>
      <c r="N554">
        <v>0</v>
      </c>
    </row>
    <row r="555" spans="1:14" x14ac:dyDescent="0.25">
      <c r="A555">
        <v>190.005325</v>
      </c>
      <c r="B555" s="1">
        <f>DATE(2010,11,7) + TIME(0,7,40)</f>
        <v>40489.005324074074</v>
      </c>
      <c r="C555">
        <v>80</v>
      </c>
      <c r="D555">
        <v>78.275451660000002</v>
      </c>
      <c r="E555">
        <v>50</v>
      </c>
      <c r="F555">
        <v>49.919651031000001</v>
      </c>
      <c r="G555">
        <v>1300.864624</v>
      </c>
      <c r="H555">
        <v>1288.2241211</v>
      </c>
      <c r="I555">
        <v>1406.9282227000001</v>
      </c>
      <c r="J555">
        <v>1386.4742432</v>
      </c>
      <c r="K555">
        <v>0</v>
      </c>
      <c r="L555">
        <v>2400</v>
      </c>
      <c r="M555">
        <v>2400</v>
      </c>
      <c r="N555">
        <v>0</v>
      </c>
    </row>
    <row r="556" spans="1:14" x14ac:dyDescent="0.25">
      <c r="A556">
        <v>190.27788899999999</v>
      </c>
      <c r="B556" s="1">
        <f>DATE(2010,11,7) + TIME(6,40,9)</f>
        <v>40489.277881944443</v>
      </c>
      <c r="C556">
        <v>80</v>
      </c>
      <c r="D556">
        <v>78.218643188000001</v>
      </c>
      <c r="E556">
        <v>50</v>
      </c>
      <c r="F556">
        <v>49.924621582</v>
      </c>
      <c r="G556">
        <v>1300.7669678</v>
      </c>
      <c r="H556">
        <v>1288.1242675999999</v>
      </c>
      <c r="I556">
        <v>1406.8057861</v>
      </c>
      <c r="J556">
        <v>1386.3748779</v>
      </c>
      <c r="K556">
        <v>0</v>
      </c>
      <c r="L556">
        <v>2400</v>
      </c>
      <c r="M556">
        <v>2400</v>
      </c>
      <c r="N556">
        <v>0</v>
      </c>
    </row>
    <row r="557" spans="1:14" x14ac:dyDescent="0.25">
      <c r="A557">
        <v>190.55810700000001</v>
      </c>
      <c r="B557" s="1">
        <f>DATE(2010,11,7) + TIME(13,23,40)</f>
        <v>40489.55810185185</v>
      </c>
      <c r="C557">
        <v>80</v>
      </c>
      <c r="D557">
        <v>78.160766601999995</v>
      </c>
      <c r="E557">
        <v>50</v>
      </c>
      <c r="F557">
        <v>49.928478241000001</v>
      </c>
      <c r="G557">
        <v>1300.6774902</v>
      </c>
      <c r="H557">
        <v>1288.0324707</v>
      </c>
      <c r="I557">
        <v>1406.6776123</v>
      </c>
      <c r="J557">
        <v>1386.2689209</v>
      </c>
      <c r="K557">
        <v>0</v>
      </c>
      <c r="L557">
        <v>2400</v>
      </c>
      <c r="M557">
        <v>2400</v>
      </c>
      <c r="N557">
        <v>0</v>
      </c>
    </row>
    <row r="558" spans="1:14" x14ac:dyDescent="0.25">
      <c r="A558">
        <v>190.84742700000001</v>
      </c>
      <c r="B558" s="1">
        <f>DATE(2010,11,7) + TIME(20,20,17)</f>
        <v>40489.847418981481</v>
      </c>
      <c r="C558">
        <v>80</v>
      </c>
      <c r="D558">
        <v>78.101593018000003</v>
      </c>
      <c r="E558">
        <v>50</v>
      </c>
      <c r="F558">
        <v>49.931480407999999</v>
      </c>
      <c r="G558">
        <v>1300.5952147999999</v>
      </c>
      <c r="H558">
        <v>1287.9477539</v>
      </c>
      <c r="I558">
        <v>1406.5440673999999</v>
      </c>
      <c r="J558">
        <v>1386.1569824000001</v>
      </c>
      <c r="K558">
        <v>0</v>
      </c>
      <c r="L558">
        <v>2400</v>
      </c>
      <c r="M558">
        <v>2400</v>
      </c>
      <c r="N558">
        <v>0</v>
      </c>
    </row>
    <row r="559" spans="1:14" x14ac:dyDescent="0.25">
      <c r="A559">
        <v>191.14690100000001</v>
      </c>
      <c r="B559" s="1">
        <f>DATE(2010,11,8) + TIME(3,31,32)</f>
        <v>40490.146898148145</v>
      </c>
      <c r="C559">
        <v>80</v>
      </c>
      <c r="D559">
        <v>78.040969849000007</v>
      </c>
      <c r="E559">
        <v>50</v>
      </c>
      <c r="F559">
        <v>49.933815002000003</v>
      </c>
      <c r="G559">
        <v>1300.5191649999999</v>
      </c>
      <c r="H559">
        <v>1287.8692627</v>
      </c>
      <c r="I559">
        <v>1406.4052733999999</v>
      </c>
      <c r="J559">
        <v>1386.0394286999999</v>
      </c>
      <c r="K559">
        <v>0</v>
      </c>
      <c r="L559">
        <v>2400</v>
      </c>
      <c r="M559">
        <v>2400</v>
      </c>
      <c r="N559">
        <v>0</v>
      </c>
    </row>
    <row r="560" spans="1:14" x14ac:dyDescent="0.25">
      <c r="A560">
        <v>191.45781700000001</v>
      </c>
      <c r="B560" s="1">
        <f>DATE(2010,11,8) + TIME(10,59,15)</f>
        <v>40490.457812499997</v>
      </c>
      <c r="C560">
        <v>80</v>
      </c>
      <c r="D560">
        <v>77.978691100999995</v>
      </c>
      <c r="E560">
        <v>50</v>
      </c>
      <c r="F560">
        <v>49.935642242</v>
      </c>
      <c r="G560">
        <v>1300.4484863</v>
      </c>
      <c r="H560">
        <v>1287.7960204999999</v>
      </c>
      <c r="I560">
        <v>1406.2617187999999</v>
      </c>
      <c r="J560">
        <v>1385.9167480000001</v>
      </c>
      <c r="K560">
        <v>0</v>
      </c>
      <c r="L560">
        <v>2400</v>
      </c>
      <c r="M560">
        <v>2400</v>
      </c>
      <c r="N560">
        <v>0</v>
      </c>
    </row>
    <row r="561" spans="1:14" x14ac:dyDescent="0.25">
      <c r="A561">
        <v>191.78165100000001</v>
      </c>
      <c r="B561" s="1">
        <f>DATE(2010,11,8) + TIME(18,45,34)</f>
        <v>40490.781643518516</v>
      </c>
      <c r="C561">
        <v>80</v>
      </c>
      <c r="D561">
        <v>77.914535521999994</v>
      </c>
      <c r="E561">
        <v>50</v>
      </c>
      <c r="F561">
        <v>49.937072753999999</v>
      </c>
      <c r="G561">
        <v>1300.3825684000001</v>
      </c>
      <c r="H561">
        <v>1287.7274170000001</v>
      </c>
      <c r="I561">
        <v>1406.1136475000001</v>
      </c>
      <c r="J561">
        <v>1385.7891846</v>
      </c>
      <c r="K561">
        <v>0</v>
      </c>
      <c r="L561">
        <v>2400</v>
      </c>
      <c r="M561">
        <v>2400</v>
      </c>
      <c r="N561">
        <v>0</v>
      </c>
    </row>
    <row r="562" spans="1:14" x14ac:dyDescent="0.25">
      <c r="A562">
        <v>192.11997600000001</v>
      </c>
      <c r="B562" s="1">
        <f>DATE(2010,11,9) + TIME(2,52,45)</f>
        <v>40491.11996527778</v>
      </c>
      <c r="C562">
        <v>80</v>
      </c>
      <c r="D562">
        <v>77.848266601999995</v>
      </c>
      <c r="E562">
        <v>50</v>
      </c>
      <c r="F562">
        <v>49.93819809</v>
      </c>
      <c r="G562">
        <v>1300.3206786999999</v>
      </c>
      <c r="H562">
        <v>1287.6628418</v>
      </c>
      <c r="I562">
        <v>1405.9611815999999</v>
      </c>
      <c r="J562">
        <v>1385.6573486</v>
      </c>
      <c r="K562">
        <v>0</v>
      </c>
      <c r="L562">
        <v>2400</v>
      </c>
      <c r="M562">
        <v>2400</v>
      </c>
      <c r="N562">
        <v>0</v>
      </c>
    </row>
    <row r="563" spans="1:14" x14ac:dyDescent="0.25">
      <c r="A563">
        <v>192.474141</v>
      </c>
      <c r="B563" s="1">
        <f>DATE(2010,11,9) + TIME(11,22,45)</f>
        <v>40491.474131944444</v>
      </c>
      <c r="C563">
        <v>80</v>
      </c>
      <c r="D563">
        <v>77.779670714999995</v>
      </c>
      <c r="E563">
        <v>50</v>
      </c>
      <c r="F563">
        <v>49.939090729</v>
      </c>
      <c r="G563">
        <v>1300.2624512</v>
      </c>
      <c r="H563">
        <v>1287.6015625</v>
      </c>
      <c r="I563">
        <v>1405.8046875</v>
      </c>
      <c r="J563">
        <v>1385.5212402</v>
      </c>
      <c r="K563">
        <v>0</v>
      </c>
      <c r="L563">
        <v>2400</v>
      </c>
      <c r="M563">
        <v>2400</v>
      </c>
      <c r="N563">
        <v>0</v>
      </c>
    </row>
    <row r="564" spans="1:14" x14ac:dyDescent="0.25">
      <c r="A564">
        <v>192.846811</v>
      </c>
      <c r="B564" s="1">
        <f>DATE(2010,11,9) + TIME(20,19,24)</f>
        <v>40491.846805555557</v>
      </c>
      <c r="C564">
        <v>80</v>
      </c>
      <c r="D564">
        <v>77.708366393999995</v>
      </c>
      <c r="E564">
        <v>50</v>
      </c>
      <c r="F564">
        <v>49.939800261999999</v>
      </c>
      <c r="G564">
        <v>1300.2070312000001</v>
      </c>
      <c r="H564">
        <v>1287.5430908000001</v>
      </c>
      <c r="I564">
        <v>1405.6441649999999</v>
      </c>
      <c r="J564">
        <v>1385.3811035000001</v>
      </c>
      <c r="K564">
        <v>0</v>
      </c>
      <c r="L564">
        <v>2400</v>
      </c>
      <c r="M564">
        <v>2400</v>
      </c>
      <c r="N564">
        <v>0</v>
      </c>
    </row>
    <row r="565" spans="1:14" x14ac:dyDescent="0.25">
      <c r="A565">
        <v>193.23991000000001</v>
      </c>
      <c r="B565" s="1">
        <f>DATE(2010,11,10) + TIME(5,45,28)</f>
        <v>40492.239907407406</v>
      </c>
      <c r="C565">
        <v>80</v>
      </c>
      <c r="D565">
        <v>77.634078978999995</v>
      </c>
      <c r="E565">
        <v>50</v>
      </c>
      <c r="F565">
        <v>49.940372467000003</v>
      </c>
      <c r="G565">
        <v>1300.1540527</v>
      </c>
      <c r="H565">
        <v>1287.4868164</v>
      </c>
      <c r="I565">
        <v>1405.4796143000001</v>
      </c>
      <c r="J565">
        <v>1385.2371826000001</v>
      </c>
      <c r="K565">
        <v>0</v>
      </c>
      <c r="L565">
        <v>2400</v>
      </c>
      <c r="M565">
        <v>2400</v>
      </c>
      <c r="N565">
        <v>0</v>
      </c>
    </row>
    <row r="566" spans="1:14" x14ac:dyDescent="0.25">
      <c r="A566">
        <v>193.639702</v>
      </c>
      <c r="B566" s="1">
        <f>DATE(2010,11,10) + TIME(15,21,10)</f>
        <v>40492.639699074076</v>
      </c>
      <c r="C566">
        <v>80</v>
      </c>
      <c r="D566">
        <v>77.558456421000002</v>
      </c>
      <c r="E566">
        <v>50</v>
      </c>
      <c r="F566">
        <v>49.940811156999999</v>
      </c>
      <c r="G566">
        <v>1300.1042480000001</v>
      </c>
      <c r="H566">
        <v>1287.4337158000001</v>
      </c>
      <c r="I566">
        <v>1405.3120117000001</v>
      </c>
      <c r="J566">
        <v>1385.0900879000001</v>
      </c>
      <c r="K566">
        <v>0</v>
      </c>
      <c r="L566">
        <v>2400</v>
      </c>
      <c r="M566">
        <v>2400</v>
      </c>
      <c r="N566">
        <v>0</v>
      </c>
    </row>
    <row r="567" spans="1:14" x14ac:dyDescent="0.25">
      <c r="A567">
        <v>194.04244199999999</v>
      </c>
      <c r="B567" s="1">
        <f>DATE(2010,11,11) + TIME(1,1,6)</f>
        <v>40493.042430555557</v>
      </c>
      <c r="C567">
        <v>80</v>
      </c>
      <c r="D567">
        <v>77.482231139999996</v>
      </c>
      <c r="E567">
        <v>50</v>
      </c>
      <c r="F567">
        <v>49.941158295000001</v>
      </c>
      <c r="G567">
        <v>1300.0577393000001</v>
      </c>
      <c r="H567">
        <v>1287.3836670000001</v>
      </c>
      <c r="I567">
        <v>1405.1467285000001</v>
      </c>
      <c r="J567">
        <v>1384.9449463000001</v>
      </c>
      <c r="K567">
        <v>0</v>
      </c>
      <c r="L567">
        <v>2400</v>
      </c>
      <c r="M567">
        <v>2400</v>
      </c>
      <c r="N567">
        <v>0</v>
      </c>
    </row>
    <row r="568" spans="1:14" x14ac:dyDescent="0.25">
      <c r="A568">
        <v>194.449375</v>
      </c>
      <c r="B568" s="1">
        <f>DATE(2010,11,11) + TIME(10,47,6)</f>
        <v>40493.449374999997</v>
      </c>
      <c r="C568">
        <v>80</v>
      </c>
      <c r="D568">
        <v>77.405479431000003</v>
      </c>
      <c r="E568">
        <v>50</v>
      </c>
      <c r="F568">
        <v>49.941432953000003</v>
      </c>
      <c r="G568">
        <v>1300.0140381000001</v>
      </c>
      <c r="H568">
        <v>1287.3363036999999</v>
      </c>
      <c r="I568">
        <v>1404.9857178</v>
      </c>
      <c r="J568">
        <v>1384.8032227000001</v>
      </c>
      <c r="K568">
        <v>0</v>
      </c>
      <c r="L568">
        <v>2400</v>
      </c>
      <c r="M568">
        <v>2400</v>
      </c>
      <c r="N568">
        <v>0</v>
      </c>
    </row>
    <row r="569" spans="1:14" x14ac:dyDescent="0.25">
      <c r="A569">
        <v>194.862619</v>
      </c>
      <c r="B569" s="1">
        <f>DATE(2010,11,11) + TIME(20,42,10)</f>
        <v>40493.862615740742</v>
      </c>
      <c r="C569">
        <v>80</v>
      </c>
      <c r="D569">
        <v>77.328086853000002</v>
      </c>
      <c r="E569">
        <v>50</v>
      </c>
      <c r="F569">
        <v>49.941661834999998</v>
      </c>
      <c r="G569">
        <v>1299.9726562000001</v>
      </c>
      <c r="H569">
        <v>1287.2911377</v>
      </c>
      <c r="I569">
        <v>1404.8287353999999</v>
      </c>
      <c r="J569">
        <v>1384.6649170000001</v>
      </c>
      <c r="K569">
        <v>0</v>
      </c>
      <c r="L569">
        <v>2400</v>
      </c>
      <c r="M569">
        <v>2400</v>
      </c>
      <c r="N569">
        <v>0</v>
      </c>
    </row>
    <row r="570" spans="1:14" x14ac:dyDescent="0.25">
      <c r="A570">
        <v>195.28431900000001</v>
      </c>
      <c r="B570" s="1">
        <f>DATE(2010,11,12) + TIME(6,49,25)</f>
        <v>40494.284317129626</v>
      </c>
      <c r="C570">
        <v>80</v>
      </c>
      <c r="D570">
        <v>77.249847411999994</v>
      </c>
      <c r="E570">
        <v>50</v>
      </c>
      <c r="F570">
        <v>49.941844940000003</v>
      </c>
      <c r="G570">
        <v>1299.9328613</v>
      </c>
      <c r="H570">
        <v>1287.2474365</v>
      </c>
      <c r="I570">
        <v>1404.6749268000001</v>
      </c>
      <c r="J570">
        <v>1384.5292969</v>
      </c>
      <c r="K570">
        <v>0</v>
      </c>
      <c r="L570">
        <v>2400</v>
      </c>
      <c r="M570">
        <v>2400</v>
      </c>
      <c r="N570">
        <v>0</v>
      </c>
    </row>
    <row r="571" spans="1:14" x14ac:dyDescent="0.25">
      <c r="A571">
        <v>195.71562599999999</v>
      </c>
      <c r="B571" s="1">
        <f>DATE(2010,11,12) + TIME(17,10,30)</f>
        <v>40494.715624999997</v>
      </c>
      <c r="C571">
        <v>80</v>
      </c>
      <c r="D571">
        <v>77.170631408999995</v>
      </c>
      <c r="E571">
        <v>50</v>
      </c>
      <c r="F571">
        <v>49.942001343000001</v>
      </c>
      <c r="G571">
        <v>1299.8942870999999</v>
      </c>
      <c r="H571">
        <v>1287.2048339999999</v>
      </c>
      <c r="I571">
        <v>1404.5238036999999</v>
      </c>
      <c r="J571">
        <v>1384.3959961</v>
      </c>
      <c r="K571">
        <v>0</v>
      </c>
      <c r="L571">
        <v>2400</v>
      </c>
      <c r="M571">
        <v>2400</v>
      </c>
      <c r="N571">
        <v>0</v>
      </c>
    </row>
    <row r="572" spans="1:14" x14ac:dyDescent="0.25">
      <c r="A572">
        <v>196.158029</v>
      </c>
      <c r="B572" s="1">
        <f>DATE(2010,11,13) + TIME(3,47,33)</f>
        <v>40495.158020833333</v>
      </c>
      <c r="C572">
        <v>80</v>
      </c>
      <c r="D572">
        <v>77.090248107999997</v>
      </c>
      <c r="E572">
        <v>50</v>
      </c>
      <c r="F572">
        <v>49.942134856999999</v>
      </c>
      <c r="G572">
        <v>1299.8566894999999</v>
      </c>
      <c r="H572">
        <v>1287.1629639</v>
      </c>
      <c r="I572">
        <v>1404.3748779</v>
      </c>
      <c r="J572">
        <v>1384.2645264</v>
      </c>
      <c r="K572">
        <v>0</v>
      </c>
      <c r="L572">
        <v>2400</v>
      </c>
      <c r="M572">
        <v>2400</v>
      </c>
      <c r="N572">
        <v>0</v>
      </c>
    </row>
    <row r="573" spans="1:14" x14ac:dyDescent="0.25">
      <c r="A573">
        <v>196.61390499999999</v>
      </c>
      <c r="B573" s="1">
        <f>DATE(2010,11,13) + TIME(14,44,1)</f>
        <v>40495.613900462966</v>
      </c>
      <c r="C573">
        <v>80</v>
      </c>
      <c r="D573">
        <v>77.008407593000001</v>
      </c>
      <c r="E573">
        <v>50</v>
      </c>
      <c r="F573">
        <v>49.942245483000001</v>
      </c>
      <c r="G573">
        <v>1299.8197021000001</v>
      </c>
      <c r="H573">
        <v>1287.121582</v>
      </c>
      <c r="I573">
        <v>1404.2279053</v>
      </c>
      <c r="J573">
        <v>1384.1347656</v>
      </c>
      <c r="K573">
        <v>0</v>
      </c>
      <c r="L573">
        <v>2400</v>
      </c>
      <c r="M573">
        <v>2400</v>
      </c>
      <c r="N573">
        <v>0</v>
      </c>
    </row>
    <row r="574" spans="1:14" x14ac:dyDescent="0.25">
      <c r="A574">
        <v>197.08438599999999</v>
      </c>
      <c r="B574" s="1">
        <f>DATE(2010,11,14) + TIME(2,1,30)</f>
        <v>40496.084374999999</v>
      </c>
      <c r="C574">
        <v>80</v>
      </c>
      <c r="D574">
        <v>76.924926757999998</v>
      </c>
      <c r="E574">
        <v>50</v>
      </c>
      <c r="F574">
        <v>49.942344665999997</v>
      </c>
      <c r="G574">
        <v>1299.7830810999999</v>
      </c>
      <c r="H574">
        <v>1287.0802002</v>
      </c>
      <c r="I574">
        <v>1404.0821533000001</v>
      </c>
      <c r="J574">
        <v>1384.0059814000001</v>
      </c>
      <c r="K574">
        <v>0</v>
      </c>
      <c r="L574">
        <v>2400</v>
      </c>
      <c r="M574">
        <v>2400</v>
      </c>
      <c r="N574">
        <v>0</v>
      </c>
    </row>
    <row r="575" spans="1:14" x14ac:dyDescent="0.25">
      <c r="A575">
        <v>197.57190399999999</v>
      </c>
      <c r="B575" s="1">
        <f>DATE(2010,11,14) + TIME(13,43,32)</f>
        <v>40496.571898148148</v>
      </c>
      <c r="C575">
        <v>80</v>
      </c>
      <c r="D575">
        <v>76.839500427000004</v>
      </c>
      <c r="E575">
        <v>50</v>
      </c>
      <c r="F575">
        <v>49.942428589000002</v>
      </c>
      <c r="G575">
        <v>1299.7463379000001</v>
      </c>
      <c r="H575">
        <v>1287.0386963000001</v>
      </c>
      <c r="I575">
        <v>1403.9376221</v>
      </c>
      <c r="J575">
        <v>1383.8782959</v>
      </c>
      <c r="K575">
        <v>0</v>
      </c>
      <c r="L575">
        <v>2400</v>
      </c>
      <c r="M575">
        <v>2400</v>
      </c>
      <c r="N575">
        <v>0</v>
      </c>
    </row>
    <row r="576" spans="1:14" x14ac:dyDescent="0.25">
      <c r="A576">
        <v>198.07840300000001</v>
      </c>
      <c r="B576" s="1">
        <f>DATE(2010,11,15) + TIME(1,52,54)</f>
        <v>40497.078402777777</v>
      </c>
      <c r="C576">
        <v>80</v>
      </c>
      <c r="D576">
        <v>76.751861571999996</v>
      </c>
      <c r="E576">
        <v>50</v>
      </c>
      <c r="F576">
        <v>49.942504882999998</v>
      </c>
      <c r="G576">
        <v>1299.7094727000001</v>
      </c>
      <c r="H576">
        <v>1286.996582</v>
      </c>
      <c r="I576">
        <v>1403.7935791</v>
      </c>
      <c r="J576">
        <v>1383.7509766000001</v>
      </c>
      <c r="K576">
        <v>0</v>
      </c>
      <c r="L576">
        <v>2400</v>
      </c>
      <c r="M576">
        <v>2400</v>
      </c>
      <c r="N576">
        <v>0</v>
      </c>
    </row>
    <row r="577" spans="1:14" x14ac:dyDescent="0.25">
      <c r="A577">
        <v>198.60643300000001</v>
      </c>
      <c r="B577" s="1">
        <f>DATE(2010,11,15) + TIME(14,33,15)</f>
        <v>40497.606423611112</v>
      </c>
      <c r="C577">
        <v>80</v>
      </c>
      <c r="D577">
        <v>76.661682128999999</v>
      </c>
      <c r="E577">
        <v>50</v>
      </c>
      <c r="F577">
        <v>49.942573547000002</v>
      </c>
      <c r="G577">
        <v>1299.6721190999999</v>
      </c>
      <c r="H577">
        <v>1286.9537353999999</v>
      </c>
      <c r="I577">
        <v>1403.6497803</v>
      </c>
      <c r="J577">
        <v>1383.6239014</v>
      </c>
      <c r="K577">
        <v>0</v>
      </c>
      <c r="L577">
        <v>2400</v>
      </c>
      <c r="M577">
        <v>2400</v>
      </c>
      <c r="N577">
        <v>0</v>
      </c>
    </row>
    <row r="578" spans="1:14" x14ac:dyDescent="0.25">
      <c r="A578">
        <v>199.15306200000001</v>
      </c>
      <c r="B578" s="1">
        <f>DATE(2010,11,16) + TIME(3,40,24)</f>
        <v>40498.153055555558</v>
      </c>
      <c r="C578">
        <v>80</v>
      </c>
      <c r="D578">
        <v>76.569198607999994</v>
      </c>
      <c r="E578">
        <v>50</v>
      </c>
      <c r="F578">
        <v>49.942630768000001</v>
      </c>
      <c r="G578">
        <v>1299.6340332</v>
      </c>
      <c r="H578">
        <v>1286.9097899999999</v>
      </c>
      <c r="I578">
        <v>1403.5061035000001</v>
      </c>
      <c r="J578">
        <v>1383.4969481999999</v>
      </c>
      <c r="K578">
        <v>0</v>
      </c>
      <c r="L578">
        <v>2400</v>
      </c>
      <c r="M578">
        <v>2400</v>
      </c>
      <c r="N578">
        <v>0</v>
      </c>
    </row>
    <row r="579" spans="1:14" x14ac:dyDescent="0.25">
      <c r="A579">
        <v>199.7028</v>
      </c>
      <c r="B579" s="1">
        <f>DATE(2010,11,16) + TIME(16,52,1)</f>
        <v>40498.702789351853</v>
      </c>
      <c r="C579">
        <v>80</v>
      </c>
      <c r="D579">
        <v>76.476013183999996</v>
      </c>
      <c r="E579">
        <v>50</v>
      </c>
      <c r="F579">
        <v>49.942680359000001</v>
      </c>
      <c r="G579">
        <v>1299.5955810999999</v>
      </c>
      <c r="H579">
        <v>1286.8653564000001</v>
      </c>
      <c r="I579">
        <v>1403.3638916</v>
      </c>
      <c r="J579">
        <v>1383.3710937999999</v>
      </c>
      <c r="K579">
        <v>0</v>
      </c>
      <c r="L579">
        <v>2400</v>
      </c>
      <c r="M579">
        <v>2400</v>
      </c>
      <c r="N579">
        <v>0</v>
      </c>
    </row>
    <row r="580" spans="1:14" x14ac:dyDescent="0.25">
      <c r="A580">
        <v>200.25856999999999</v>
      </c>
      <c r="B580" s="1">
        <f>DATE(2010,11,17) + TIME(6,12,20)</f>
        <v>40499.258564814816</v>
      </c>
      <c r="C580">
        <v>80</v>
      </c>
      <c r="D580">
        <v>76.382278442</v>
      </c>
      <c r="E580">
        <v>50</v>
      </c>
      <c r="F580">
        <v>49.942726135000001</v>
      </c>
      <c r="G580">
        <v>1299.557251</v>
      </c>
      <c r="H580">
        <v>1286.8206786999999</v>
      </c>
      <c r="I580">
        <v>1403.2259521000001</v>
      </c>
      <c r="J580">
        <v>1383.2492675999999</v>
      </c>
      <c r="K580">
        <v>0</v>
      </c>
      <c r="L580">
        <v>2400</v>
      </c>
      <c r="M580">
        <v>2400</v>
      </c>
      <c r="N580">
        <v>0</v>
      </c>
    </row>
    <row r="581" spans="1:14" x14ac:dyDescent="0.25">
      <c r="A581">
        <v>200.82334</v>
      </c>
      <c r="B581" s="1">
        <f>DATE(2010,11,17) + TIME(19,45,36)</f>
        <v>40499.823333333334</v>
      </c>
      <c r="C581">
        <v>80</v>
      </c>
      <c r="D581">
        <v>76.287918090999995</v>
      </c>
      <c r="E581">
        <v>50</v>
      </c>
      <c r="F581">
        <v>49.942771911999998</v>
      </c>
      <c r="G581">
        <v>1299.5189209</v>
      </c>
      <c r="H581">
        <v>1286.7756348</v>
      </c>
      <c r="I581">
        <v>1403.0919189000001</v>
      </c>
      <c r="J581">
        <v>1383.1306152</v>
      </c>
      <c r="K581">
        <v>0</v>
      </c>
      <c r="L581">
        <v>2400</v>
      </c>
      <c r="M581">
        <v>2400</v>
      </c>
      <c r="N581">
        <v>0</v>
      </c>
    </row>
    <row r="582" spans="1:14" x14ac:dyDescent="0.25">
      <c r="A582">
        <v>201.39807500000001</v>
      </c>
      <c r="B582" s="1">
        <f>DATE(2010,11,18) + TIME(9,33,13)</f>
        <v>40500.39806712963</v>
      </c>
      <c r="C582">
        <v>80</v>
      </c>
      <c r="D582">
        <v>76.192886353000006</v>
      </c>
      <c r="E582">
        <v>50</v>
      </c>
      <c r="F582">
        <v>49.942813872999999</v>
      </c>
      <c r="G582">
        <v>1299.4801024999999</v>
      </c>
      <c r="H582">
        <v>1286.7299805</v>
      </c>
      <c r="I582">
        <v>1402.9608154</v>
      </c>
      <c r="J582">
        <v>1383.0146483999999</v>
      </c>
      <c r="K582">
        <v>0</v>
      </c>
      <c r="L582">
        <v>2400</v>
      </c>
      <c r="M582">
        <v>2400</v>
      </c>
      <c r="N582">
        <v>0</v>
      </c>
    </row>
    <row r="583" spans="1:14" x14ac:dyDescent="0.25">
      <c r="A583">
        <v>201.98487800000001</v>
      </c>
      <c r="B583" s="1">
        <f>DATE(2010,11,18) + TIME(23,38,13)</f>
        <v>40500.984872685185</v>
      </c>
      <c r="C583">
        <v>80</v>
      </c>
      <c r="D583">
        <v>76.097000121999997</v>
      </c>
      <c r="E583">
        <v>50</v>
      </c>
      <c r="F583">
        <v>49.942852019999997</v>
      </c>
      <c r="G583">
        <v>1299.4407959</v>
      </c>
      <c r="H583">
        <v>1286.6833495999999</v>
      </c>
      <c r="I583">
        <v>1402.8323975000001</v>
      </c>
      <c r="J583">
        <v>1382.901001</v>
      </c>
      <c r="K583">
        <v>0</v>
      </c>
      <c r="L583">
        <v>2400</v>
      </c>
      <c r="M583">
        <v>2400</v>
      </c>
      <c r="N583">
        <v>0</v>
      </c>
    </row>
    <row r="584" spans="1:14" x14ac:dyDescent="0.25">
      <c r="A584">
        <v>202.58684199999999</v>
      </c>
      <c r="B584" s="1">
        <f>DATE(2010,11,19) + TIME(14,5,3)</f>
        <v>40501.586840277778</v>
      </c>
      <c r="C584">
        <v>80</v>
      </c>
      <c r="D584">
        <v>75.999938964999998</v>
      </c>
      <c r="E584">
        <v>50</v>
      </c>
      <c r="F584">
        <v>49.942893982000001</v>
      </c>
      <c r="G584">
        <v>1299.4007568</v>
      </c>
      <c r="H584">
        <v>1286.6356201000001</v>
      </c>
      <c r="I584">
        <v>1402.7060547000001</v>
      </c>
      <c r="J584">
        <v>1382.7890625</v>
      </c>
      <c r="K584">
        <v>0</v>
      </c>
      <c r="L584">
        <v>2400</v>
      </c>
      <c r="M584">
        <v>2400</v>
      </c>
      <c r="N584">
        <v>0</v>
      </c>
    </row>
    <row r="585" spans="1:14" x14ac:dyDescent="0.25">
      <c r="A585">
        <v>203.20505399999999</v>
      </c>
      <c r="B585" s="1">
        <f>DATE(2010,11,20) + TIME(4,55,16)</f>
        <v>40502.205046296294</v>
      </c>
      <c r="C585">
        <v>80</v>
      </c>
      <c r="D585">
        <v>75.901527404999996</v>
      </c>
      <c r="E585">
        <v>50</v>
      </c>
      <c r="F585">
        <v>49.942932128999999</v>
      </c>
      <c r="G585">
        <v>1299.3596190999999</v>
      </c>
      <c r="H585">
        <v>1286.5865478999999</v>
      </c>
      <c r="I585">
        <v>1402.5811768000001</v>
      </c>
      <c r="J585">
        <v>1382.6785889</v>
      </c>
      <c r="K585">
        <v>0</v>
      </c>
      <c r="L585">
        <v>2400</v>
      </c>
      <c r="M585">
        <v>2400</v>
      </c>
      <c r="N585">
        <v>0</v>
      </c>
    </row>
    <row r="586" spans="1:14" x14ac:dyDescent="0.25">
      <c r="A586">
        <v>203.84258199999999</v>
      </c>
      <c r="B586" s="1">
        <f>DATE(2010,11,20) + TIME(20,13,19)</f>
        <v>40502.842581018522</v>
      </c>
      <c r="C586">
        <v>80</v>
      </c>
      <c r="D586">
        <v>75.801437378000003</v>
      </c>
      <c r="E586">
        <v>50</v>
      </c>
      <c r="F586">
        <v>49.942974091000004</v>
      </c>
      <c r="G586">
        <v>1299.3173827999999</v>
      </c>
      <c r="H586">
        <v>1286.5357666</v>
      </c>
      <c r="I586">
        <v>1402.4576416</v>
      </c>
      <c r="J586">
        <v>1382.5689697</v>
      </c>
      <c r="K586">
        <v>0</v>
      </c>
      <c r="L586">
        <v>2400</v>
      </c>
      <c r="M586">
        <v>2400</v>
      </c>
      <c r="N586">
        <v>0</v>
      </c>
    </row>
    <row r="587" spans="1:14" x14ac:dyDescent="0.25">
      <c r="A587">
        <v>204.500946</v>
      </c>
      <c r="B587" s="1">
        <f>DATE(2010,11,21) + TIME(12,1,21)</f>
        <v>40503.500937500001</v>
      </c>
      <c r="C587">
        <v>80</v>
      </c>
      <c r="D587">
        <v>75.699447632000002</v>
      </c>
      <c r="E587">
        <v>50</v>
      </c>
      <c r="F587">
        <v>49.943016051999997</v>
      </c>
      <c r="G587">
        <v>1299.2736815999999</v>
      </c>
      <c r="H587">
        <v>1286.4830322</v>
      </c>
      <c r="I587">
        <v>1402.3347168</v>
      </c>
      <c r="J587">
        <v>1382.4600829999999</v>
      </c>
      <c r="K587">
        <v>0</v>
      </c>
      <c r="L587">
        <v>2400</v>
      </c>
      <c r="M587">
        <v>2400</v>
      </c>
      <c r="N587">
        <v>0</v>
      </c>
    </row>
    <row r="588" spans="1:14" x14ac:dyDescent="0.25">
      <c r="A588">
        <v>205.18377799999999</v>
      </c>
      <c r="B588" s="1">
        <f>DATE(2010,11,22) + TIME(4,24,38)</f>
        <v>40504.18377314815</v>
      </c>
      <c r="C588">
        <v>80</v>
      </c>
      <c r="D588">
        <v>75.595191955999994</v>
      </c>
      <c r="E588">
        <v>50</v>
      </c>
      <c r="F588">
        <v>49.943061829000001</v>
      </c>
      <c r="G588">
        <v>1299.2283935999999</v>
      </c>
      <c r="H588">
        <v>1286.4282227000001</v>
      </c>
      <c r="I588">
        <v>1402.2122803</v>
      </c>
      <c r="J588">
        <v>1382.3515625</v>
      </c>
      <c r="K588">
        <v>0</v>
      </c>
      <c r="L588">
        <v>2400</v>
      </c>
      <c r="M588">
        <v>2400</v>
      </c>
      <c r="N588">
        <v>0</v>
      </c>
    </row>
    <row r="589" spans="1:14" x14ac:dyDescent="0.25">
      <c r="A589">
        <v>205.89343400000001</v>
      </c>
      <c r="B589" s="1">
        <f>DATE(2010,11,22) + TIME(21,26,32)</f>
        <v>40504.893425925926</v>
      </c>
      <c r="C589">
        <v>80</v>
      </c>
      <c r="D589">
        <v>75.488372803000004</v>
      </c>
      <c r="E589">
        <v>50</v>
      </c>
      <c r="F589">
        <v>49.943103790000002</v>
      </c>
      <c r="G589">
        <v>1299.1811522999999</v>
      </c>
      <c r="H589">
        <v>1286.3707274999999</v>
      </c>
      <c r="I589">
        <v>1402.0899658000001</v>
      </c>
      <c r="J589">
        <v>1382.2430420000001</v>
      </c>
      <c r="K589">
        <v>0</v>
      </c>
      <c r="L589">
        <v>2400</v>
      </c>
      <c r="M589">
        <v>2400</v>
      </c>
      <c r="N589">
        <v>0</v>
      </c>
    </row>
    <row r="590" spans="1:14" x14ac:dyDescent="0.25">
      <c r="A590">
        <v>206.60959600000001</v>
      </c>
      <c r="B590" s="1">
        <f>DATE(2010,11,23) + TIME(14,37,49)</f>
        <v>40505.609594907408</v>
      </c>
      <c r="C590">
        <v>80</v>
      </c>
      <c r="D590">
        <v>75.380508422999995</v>
      </c>
      <c r="E590">
        <v>50</v>
      </c>
      <c r="F590">
        <v>49.943149566999999</v>
      </c>
      <c r="G590">
        <v>1299.1320800999999</v>
      </c>
      <c r="H590">
        <v>1286.3107910000001</v>
      </c>
      <c r="I590">
        <v>1401.9677733999999</v>
      </c>
      <c r="J590">
        <v>1382.1346435999999</v>
      </c>
      <c r="K590">
        <v>0</v>
      </c>
      <c r="L590">
        <v>2400</v>
      </c>
      <c r="M590">
        <v>2400</v>
      </c>
      <c r="N590">
        <v>0</v>
      </c>
    </row>
    <row r="591" spans="1:14" x14ac:dyDescent="0.25">
      <c r="A591">
        <v>207.33285699999999</v>
      </c>
      <c r="B591" s="1">
        <f>DATE(2010,11,24) + TIME(7,59,18)</f>
        <v>40506.33284722222</v>
      </c>
      <c r="C591">
        <v>80</v>
      </c>
      <c r="D591">
        <v>75.272178650000001</v>
      </c>
      <c r="E591">
        <v>50</v>
      </c>
      <c r="F591">
        <v>49.943195342999999</v>
      </c>
      <c r="G591">
        <v>1299.0819091999999</v>
      </c>
      <c r="H591">
        <v>1286.2493896000001</v>
      </c>
      <c r="I591">
        <v>1401.8485106999999</v>
      </c>
      <c r="J591">
        <v>1382.0288086</v>
      </c>
      <c r="K591">
        <v>0</v>
      </c>
      <c r="L591">
        <v>2400</v>
      </c>
      <c r="M591">
        <v>2400</v>
      </c>
      <c r="N591">
        <v>0</v>
      </c>
    </row>
    <row r="592" spans="1:14" x14ac:dyDescent="0.25">
      <c r="A592">
        <v>208.06374400000001</v>
      </c>
      <c r="B592" s="1">
        <f>DATE(2010,11,25) + TIME(1,31,47)</f>
        <v>40507.063738425924</v>
      </c>
      <c r="C592">
        <v>80</v>
      </c>
      <c r="D592">
        <v>75.163665770999998</v>
      </c>
      <c r="E592">
        <v>50</v>
      </c>
      <c r="F592">
        <v>49.943241119</v>
      </c>
      <c r="G592">
        <v>1299.0307617000001</v>
      </c>
      <c r="H592">
        <v>1286.1864014</v>
      </c>
      <c r="I592">
        <v>1401.7322998</v>
      </c>
      <c r="J592">
        <v>1381.9254149999999</v>
      </c>
      <c r="K592">
        <v>0</v>
      </c>
      <c r="L592">
        <v>2400</v>
      </c>
      <c r="M592">
        <v>2400</v>
      </c>
      <c r="N592">
        <v>0</v>
      </c>
    </row>
    <row r="593" spans="1:14" x14ac:dyDescent="0.25">
      <c r="A593">
        <v>208.80614</v>
      </c>
      <c r="B593" s="1">
        <f>DATE(2010,11,25) + TIME(19,20,50)</f>
        <v>40507.806134259263</v>
      </c>
      <c r="C593">
        <v>80</v>
      </c>
      <c r="D593">
        <v>75.054832458000007</v>
      </c>
      <c r="E593">
        <v>50</v>
      </c>
      <c r="F593">
        <v>49.943290709999999</v>
      </c>
      <c r="G593">
        <v>1298.9785156</v>
      </c>
      <c r="H593">
        <v>1286.1217041</v>
      </c>
      <c r="I593">
        <v>1401.6186522999999</v>
      </c>
      <c r="J593">
        <v>1381.8244629000001</v>
      </c>
      <c r="K593">
        <v>0</v>
      </c>
      <c r="L593">
        <v>2400</v>
      </c>
      <c r="M593">
        <v>2400</v>
      </c>
      <c r="N593">
        <v>0</v>
      </c>
    </row>
    <row r="594" spans="1:14" x14ac:dyDescent="0.25">
      <c r="A594">
        <v>209.56395599999999</v>
      </c>
      <c r="B594" s="1">
        <f>DATE(2010,11,26) + TIME(13,32,5)</f>
        <v>40508.563946759263</v>
      </c>
      <c r="C594">
        <v>80</v>
      </c>
      <c r="D594">
        <v>74.945358275999993</v>
      </c>
      <c r="E594">
        <v>50</v>
      </c>
      <c r="F594">
        <v>49.943340302000003</v>
      </c>
      <c r="G594">
        <v>1298.9249268000001</v>
      </c>
      <c r="H594">
        <v>1286.0550536999999</v>
      </c>
      <c r="I594">
        <v>1401.5072021000001</v>
      </c>
      <c r="J594">
        <v>1381.7253418</v>
      </c>
      <c r="K594">
        <v>0</v>
      </c>
      <c r="L594">
        <v>2400</v>
      </c>
      <c r="M594">
        <v>2400</v>
      </c>
      <c r="N594">
        <v>0</v>
      </c>
    </row>
    <row r="595" spans="1:14" x14ac:dyDescent="0.25">
      <c r="A595">
        <v>210.338088</v>
      </c>
      <c r="B595" s="1">
        <f>DATE(2010,11,27) + TIME(8,6,50)</f>
        <v>40509.338078703702</v>
      </c>
      <c r="C595">
        <v>80</v>
      </c>
      <c r="D595">
        <v>74.835014342999997</v>
      </c>
      <c r="E595">
        <v>50</v>
      </c>
      <c r="F595">
        <v>49.943393706999998</v>
      </c>
      <c r="G595">
        <v>1298.8695068</v>
      </c>
      <c r="H595">
        <v>1285.9860839999999</v>
      </c>
      <c r="I595">
        <v>1401.3970947</v>
      </c>
      <c r="J595">
        <v>1381.6274414</v>
      </c>
      <c r="K595">
        <v>0</v>
      </c>
      <c r="L595">
        <v>2400</v>
      </c>
      <c r="M595">
        <v>2400</v>
      </c>
      <c r="N595">
        <v>0</v>
      </c>
    </row>
    <row r="596" spans="1:14" x14ac:dyDescent="0.25">
      <c r="A596">
        <v>211.132014</v>
      </c>
      <c r="B596" s="1">
        <f>DATE(2010,11,28) + TIME(3,10,5)</f>
        <v>40510.132002314815</v>
      </c>
      <c r="C596">
        <v>80</v>
      </c>
      <c r="D596">
        <v>74.723503113000007</v>
      </c>
      <c r="E596">
        <v>50</v>
      </c>
      <c r="F596">
        <v>49.943447112999998</v>
      </c>
      <c r="G596">
        <v>1298.8123779</v>
      </c>
      <c r="H596">
        <v>1285.9144286999999</v>
      </c>
      <c r="I596">
        <v>1401.2883300999999</v>
      </c>
      <c r="J596">
        <v>1381.5305175999999</v>
      </c>
      <c r="K596">
        <v>0</v>
      </c>
      <c r="L596">
        <v>2400</v>
      </c>
      <c r="M596">
        <v>2400</v>
      </c>
      <c r="N596">
        <v>0</v>
      </c>
    </row>
    <row r="597" spans="1:14" x14ac:dyDescent="0.25">
      <c r="A597">
        <v>211.94885300000001</v>
      </c>
      <c r="B597" s="1">
        <f>DATE(2010,11,28) + TIME(22,46,20)</f>
        <v>40510.948842592596</v>
      </c>
      <c r="C597">
        <v>80</v>
      </c>
      <c r="D597">
        <v>74.610504149999997</v>
      </c>
      <c r="E597">
        <v>50</v>
      </c>
      <c r="F597">
        <v>49.943508147999999</v>
      </c>
      <c r="G597">
        <v>1298.7530518000001</v>
      </c>
      <c r="H597">
        <v>1285.8399658000001</v>
      </c>
      <c r="I597">
        <v>1401.1804199000001</v>
      </c>
      <c r="J597">
        <v>1381.4343262</v>
      </c>
      <c r="K597">
        <v>0</v>
      </c>
      <c r="L597">
        <v>2400</v>
      </c>
      <c r="M597">
        <v>2400</v>
      </c>
      <c r="N597">
        <v>0</v>
      </c>
    </row>
    <row r="598" spans="1:14" x14ac:dyDescent="0.25">
      <c r="A598">
        <v>212.79071300000001</v>
      </c>
      <c r="B598" s="1">
        <f>DATE(2010,11,29) + TIME(18,58,37)</f>
        <v>40511.790706018517</v>
      </c>
      <c r="C598">
        <v>80</v>
      </c>
      <c r="D598">
        <v>74.495727539000001</v>
      </c>
      <c r="E598">
        <v>50</v>
      </c>
      <c r="F598">
        <v>49.943565368999998</v>
      </c>
      <c r="G598">
        <v>1298.6914062000001</v>
      </c>
      <c r="H598">
        <v>1285.7620850000001</v>
      </c>
      <c r="I598">
        <v>1401.0729980000001</v>
      </c>
      <c r="J598">
        <v>1381.3386230000001</v>
      </c>
      <c r="K598">
        <v>0</v>
      </c>
      <c r="L598">
        <v>2400</v>
      </c>
      <c r="M598">
        <v>2400</v>
      </c>
      <c r="N598">
        <v>0</v>
      </c>
    </row>
    <row r="599" spans="1:14" x14ac:dyDescent="0.25">
      <c r="A599">
        <v>213.66284200000001</v>
      </c>
      <c r="B599" s="1">
        <f>DATE(2010,11,30) + TIME(15,54,29)</f>
        <v>40512.662835648145</v>
      </c>
      <c r="C599">
        <v>80</v>
      </c>
      <c r="D599">
        <v>74.378738403</v>
      </c>
      <c r="E599">
        <v>50</v>
      </c>
      <c r="F599">
        <v>49.943630218999999</v>
      </c>
      <c r="G599">
        <v>1298.6269531</v>
      </c>
      <c r="H599">
        <v>1285.6805420000001</v>
      </c>
      <c r="I599">
        <v>1400.9658202999999</v>
      </c>
      <c r="J599">
        <v>1381.2429199000001</v>
      </c>
      <c r="K599">
        <v>0</v>
      </c>
      <c r="L599">
        <v>2400</v>
      </c>
      <c r="M599">
        <v>2400</v>
      </c>
      <c r="N599">
        <v>0</v>
      </c>
    </row>
    <row r="600" spans="1:14" x14ac:dyDescent="0.25">
      <c r="A600">
        <v>214</v>
      </c>
      <c r="B600" s="1">
        <f>DATE(2010,12,1) + TIME(0,0,0)</f>
        <v>40513</v>
      </c>
      <c r="C600">
        <v>80</v>
      </c>
      <c r="D600">
        <v>74.312370299999998</v>
      </c>
      <c r="E600">
        <v>50</v>
      </c>
      <c r="F600">
        <v>49.943599700999997</v>
      </c>
      <c r="G600">
        <v>1298.5705565999999</v>
      </c>
      <c r="H600">
        <v>1285.6123047000001</v>
      </c>
      <c r="I600">
        <v>1400.8745117000001</v>
      </c>
      <c r="J600">
        <v>1381.1622314000001</v>
      </c>
      <c r="K600">
        <v>0</v>
      </c>
      <c r="L600">
        <v>2400</v>
      </c>
      <c r="M600">
        <v>2400</v>
      </c>
      <c r="N600">
        <v>0</v>
      </c>
    </row>
    <row r="601" spans="1:14" x14ac:dyDescent="0.25">
      <c r="A601">
        <v>214.89183</v>
      </c>
      <c r="B601" s="1">
        <f>DATE(2010,12,1) + TIME(21,24,14)</f>
        <v>40513.891828703701</v>
      </c>
      <c r="C601">
        <v>80</v>
      </c>
      <c r="D601">
        <v>74.204757689999994</v>
      </c>
      <c r="E601">
        <v>50</v>
      </c>
      <c r="F601">
        <v>49.943725585999999</v>
      </c>
      <c r="G601">
        <v>1298.5297852000001</v>
      </c>
      <c r="H601">
        <v>1285.5562743999999</v>
      </c>
      <c r="I601">
        <v>1400.8132324000001</v>
      </c>
      <c r="J601">
        <v>1381.1064452999999</v>
      </c>
      <c r="K601">
        <v>0</v>
      </c>
      <c r="L601">
        <v>2400</v>
      </c>
      <c r="M601">
        <v>2400</v>
      </c>
      <c r="N601">
        <v>0</v>
      </c>
    </row>
    <row r="602" spans="1:14" x14ac:dyDescent="0.25">
      <c r="A602">
        <v>215.79262</v>
      </c>
      <c r="B602" s="1">
        <f>DATE(2010,12,2) + TIME(19,1,22)</f>
        <v>40514.792615740742</v>
      </c>
      <c r="C602">
        <v>80</v>
      </c>
      <c r="D602">
        <v>74.090934752999999</v>
      </c>
      <c r="E602">
        <v>50</v>
      </c>
      <c r="F602">
        <v>49.943790436</v>
      </c>
      <c r="G602">
        <v>1298.4619141000001</v>
      </c>
      <c r="H602">
        <v>1285.4698486</v>
      </c>
      <c r="I602">
        <v>1400.7126464999999</v>
      </c>
      <c r="J602">
        <v>1381.0167236</v>
      </c>
      <c r="K602">
        <v>0</v>
      </c>
      <c r="L602">
        <v>2400</v>
      </c>
      <c r="M602">
        <v>2400</v>
      </c>
      <c r="N602">
        <v>0</v>
      </c>
    </row>
    <row r="603" spans="1:14" x14ac:dyDescent="0.25">
      <c r="A603">
        <v>216.70489799999999</v>
      </c>
      <c r="B603" s="1">
        <f>DATE(2010,12,3) + TIME(16,55,3)</f>
        <v>40515.704895833333</v>
      </c>
      <c r="C603">
        <v>80</v>
      </c>
      <c r="D603">
        <v>73.974143982000001</v>
      </c>
      <c r="E603">
        <v>50</v>
      </c>
      <c r="F603">
        <v>49.943859099999997</v>
      </c>
      <c r="G603">
        <v>1298.3903809000001</v>
      </c>
      <c r="H603">
        <v>1285.3785399999999</v>
      </c>
      <c r="I603">
        <v>1400.6105957</v>
      </c>
      <c r="J603">
        <v>1380.9254149999999</v>
      </c>
      <c r="K603">
        <v>0</v>
      </c>
      <c r="L603">
        <v>2400</v>
      </c>
      <c r="M603">
        <v>2400</v>
      </c>
      <c r="N603">
        <v>0</v>
      </c>
    </row>
    <row r="604" spans="1:14" x14ac:dyDescent="0.25">
      <c r="A604">
        <v>217.633759</v>
      </c>
      <c r="B604" s="1">
        <f>DATE(2010,12,4) + TIME(15,12,36)</f>
        <v>40516.633750000001</v>
      </c>
      <c r="C604">
        <v>80</v>
      </c>
      <c r="D604">
        <v>73.855628967000001</v>
      </c>
      <c r="E604">
        <v>50</v>
      </c>
      <c r="F604">
        <v>49.943927764999998</v>
      </c>
      <c r="G604">
        <v>1298.3166504000001</v>
      </c>
      <c r="H604">
        <v>1285.2836914</v>
      </c>
      <c r="I604">
        <v>1400.5100098</v>
      </c>
      <c r="J604">
        <v>1380.8353271000001</v>
      </c>
      <c r="K604">
        <v>0</v>
      </c>
      <c r="L604">
        <v>2400</v>
      </c>
      <c r="M604">
        <v>2400</v>
      </c>
      <c r="N604">
        <v>0</v>
      </c>
    </row>
    <row r="605" spans="1:14" x14ac:dyDescent="0.25">
      <c r="A605">
        <v>218.57915800000001</v>
      </c>
      <c r="B605" s="1">
        <f>DATE(2010,12,5) + TIME(13,53,59)</f>
        <v>40517.579155092593</v>
      </c>
      <c r="C605">
        <v>80</v>
      </c>
      <c r="D605">
        <v>73.735961914000001</v>
      </c>
      <c r="E605">
        <v>50</v>
      </c>
      <c r="F605">
        <v>49.944000244000001</v>
      </c>
      <c r="G605">
        <v>1298.2403564000001</v>
      </c>
      <c r="H605">
        <v>1285.1853027</v>
      </c>
      <c r="I605">
        <v>1400.4106445</v>
      </c>
      <c r="J605">
        <v>1380.7463379000001</v>
      </c>
      <c r="K605">
        <v>0</v>
      </c>
      <c r="L605">
        <v>2400</v>
      </c>
      <c r="M605">
        <v>2400</v>
      </c>
      <c r="N605">
        <v>0</v>
      </c>
    </row>
    <row r="606" spans="1:14" x14ac:dyDescent="0.25">
      <c r="A606">
        <v>219.54573500000001</v>
      </c>
      <c r="B606" s="1">
        <f>DATE(2010,12,6) + TIME(13,5,51)</f>
        <v>40518.545729166668</v>
      </c>
      <c r="C606">
        <v>80</v>
      </c>
      <c r="D606">
        <v>73.615180968999994</v>
      </c>
      <c r="E606">
        <v>50</v>
      </c>
      <c r="F606">
        <v>49.944076537999997</v>
      </c>
      <c r="G606">
        <v>1298.1616211</v>
      </c>
      <c r="H606">
        <v>1285.083374</v>
      </c>
      <c r="I606">
        <v>1400.3125</v>
      </c>
      <c r="J606">
        <v>1380.6584473</v>
      </c>
      <c r="K606">
        <v>0</v>
      </c>
      <c r="L606">
        <v>2400</v>
      </c>
      <c r="M606">
        <v>2400</v>
      </c>
      <c r="N606">
        <v>0</v>
      </c>
    </row>
    <row r="607" spans="1:14" x14ac:dyDescent="0.25">
      <c r="A607">
        <v>220.53728699999999</v>
      </c>
      <c r="B607" s="1">
        <f>DATE(2010,12,7) + TIME(12,53,41)</f>
        <v>40519.537280092591</v>
      </c>
      <c r="C607">
        <v>80</v>
      </c>
      <c r="D607">
        <v>73.493080139</v>
      </c>
      <c r="E607">
        <v>50</v>
      </c>
      <c r="F607">
        <v>49.944156647</v>
      </c>
      <c r="G607">
        <v>1298.0799560999999</v>
      </c>
      <c r="H607">
        <v>1284.9772949000001</v>
      </c>
      <c r="I607">
        <v>1400.215332</v>
      </c>
      <c r="J607">
        <v>1380.5711670000001</v>
      </c>
      <c r="K607">
        <v>0</v>
      </c>
      <c r="L607">
        <v>2400</v>
      </c>
      <c r="M607">
        <v>2400</v>
      </c>
      <c r="N607">
        <v>0</v>
      </c>
    </row>
    <row r="608" spans="1:14" x14ac:dyDescent="0.25">
      <c r="A608">
        <v>221.55577</v>
      </c>
      <c r="B608" s="1">
        <f>DATE(2010,12,8) + TIME(13,20,18)</f>
        <v>40520.555763888886</v>
      </c>
      <c r="C608">
        <v>80</v>
      </c>
      <c r="D608">
        <v>73.369453429999993</v>
      </c>
      <c r="E608">
        <v>50</v>
      </c>
      <c r="F608">
        <v>49.944236754999999</v>
      </c>
      <c r="G608">
        <v>1297.9951172000001</v>
      </c>
      <c r="H608">
        <v>1284.8665771000001</v>
      </c>
      <c r="I608">
        <v>1400.1185303</v>
      </c>
      <c r="J608">
        <v>1380.484375</v>
      </c>
      <c r="K608">
        <v>0</v>
      </c>
      <c r="L608">
        <v>2400</v>
      </c>
      <c r="M608">
        <v>2400</v>
      </c>
      <c r="N608">
        <v>0</v>
      </c>
    </row>
    <row r="609" spans="1:14" x14ac:dyDescent="0.25">
      <c r="A609">
        <v>222.60587899999999</v>
      </c>
      <c r="B609" s="1">
        <f>DATE(2010,12,9) + TIME(14,32,27)</f>
        <v>40521.605868055558</v>
      </c>
      <c r="C609">
        <v>80</v>
      </c>
      <c r="D609">
        <v>73.243972778</v>
      </c>
      <c r="E609">
        <v>50</v>
      </c>
      <c r="F609">
        <v>49.944320679</v>
      </c>
      <c r="G609">
        <v>1297.9067382999999</v>
      </c>
      <c r="H609">
        <v>1284.7508545000001</v>
      </c>
      <c r="I609">
        <v>1400.0222168</v>
      </c>
      <c r="J609">
        <v>1380.3977050999999</v>
      </c>
      <c r="K609">
        <v>0</v>
      </c>
      <c r="L609">
        <v>2400</v>
      </c>
      <c r="M609">
        <v>2400</v>
      </c>
      <c r="N609">
        <v>0</v>
      </c>
    </row>
    <row r="610" spans="1:14" x14ac:dyDescent="0.25">
      <c r="A610">
        <v>223.67273800000001</v>
      </c>
      <c r="B610" s="1">
        <f>DATE(2010,12,10) + TIME(16,8,44)</f>
        <v>40522.672731481478</v>
      </c>
      <c r="C610">
        <v>80</v>
      </c>
      <c r="D610">
        <v>73.117248535000002</v>
      </c>
      <c r="E610">
        <v>50</v>
      </c>
      <c r="F610">
        <v>49.944408416999998</v>
      </c>
      <c r="G610">
        <v>1297.8144531</v>
      </c>
      <c r="H610">
        <v>1284.6300048999999</v>
      </c>
      <c r="I610">
        <v>1399.9260254000001</v>
      </c>
      <c r="J610">
        <v>1380.3112793</v>
      </c>
      <c r="K610">
        <v>0</v>
      </c>
      <c r="L610">
        <v>2400</v>
      </c>
      <c r="M610">
        <v>2400</v>
      </c>
      <c r="N610">
        <v>0</v>
      </c>
    </row>
    <row r="611" spans="1:14" x14ac:dyDescent="0.25">
      <c r="A611">
        <v>224.747354</v>
      </c>
      <c r="B611" s="1">
        <f>DATE(2010,12,11) + TIME(17,56,11)</f>
        <v>40523.747349537036</v>
      </c>
      <c r="C611">
        <v>80</v>
      </c>
      <c r="D611">
        <v>72.990234375</v>
      </c>
      <c r="E611">
        <v>50</v>
      </c>
      <c r="F611">
        <v>49.944492339999996</v>
      </c>
      <c r="G611">
        <v>1297.7194824000001</v>
      </c>
      <c r="H611">
        <v>1284.5048827999999</v>
      </c>
      <c r="I611">
        <v>1399.8312988</v>
      </c>
      <c r="J611">
        <v>1380.2259521000001</v>
      </c>
      <c r="K611">
        <v>0</v>
      </c>
      <c r="L611">
        <v>2400</v>
      </c>
      <c r="M611">
        <v>2400</v>
      </c>
      <c r="N611">
        <v>0</v>
      </c>
    </row>
    <row r="612" spans="1:14" x14ac:dyDescent="0.25">
      <c r="A612">
        <v>225.83571599999999</v>
      </c>
      <c r="B612" s="1">
        <f>DATE(2010,12,12) + TIME(20,3,25)</f>
        <v>40524.835706018515</v>
      </c>
      <c r="C612">
        <v>80</v>
      </c>
      <c r="D612">
        <v>72.863197326999995</v>
      </c>
      <c r="E612">
        <v>50</v>
      </c>
      <c r="F612">
        <v>49.944583893000001</v>
      </c>
      <c r="G612">
        <v>1297.6221923999999</v>
      </c>
      <c r="H612">
        <v>1284.3764647999999</v>
      </c>
      <c r="I612">
        <v>1399.7385254000001</v>
      </c>
      <c r="J612">
        <v>1380.1424560999999</v>
      </c>
      <c r="K612">
        <v>0</v>
      </c>
      <c r="L612">
        <v>2400</v>
      </c>
      <c r="M612">
        <v>2400</v>
      </c>
      <c r="N612">
        <v>0</v>
      </c>
    </row>
    <row r="613" spans="1:14" x14ac:dyDescent="0.25">
      <c r="A613">
        <v>226.93876900000001</v>
      </c>
      <c r="B613" s="1">
        <f>DATE(2010,12,13) + TIME(22,31,49)</f>
        <v>40525.938761574071</v>
      </c>
      <c r="C613">
        <v>80</v>
      </c>
      <c r="D613">
        <v>72.736099242999998</v>
      </c>
      <c r="E613">
        <v>50</v>
      </c>
      <c r="F613">
        <v>49.944675445999998</v>
      </c>
      <c r="G613">
        <v>1297.5223389</v>
      </c>
      <c r="H613">
        <v>1284.2440185999999</v>
      </c>
      <c r="I613">
        <v>1399.6473389</v>
      </c>
      <c r="J613">
        <v>1380.0603027</v>
      </c>
      <c r="K613">
        <v>0</v>
      </c>
      <c r="L613">
        <v>2400</v>
      </c>
      <c r="M613">
        <v>2400</v>
      </c>
      <c r="N613">
        <v>0</v>
      </c>
    </row>
    <row r="614" spans="1:14" x14ac:dyDescent="0.25">
      <c r="A614">
        <v>228.05986200000001</v>
      </c>
      <c r="B614" s="1">
        <f>DATE(2010,12,15) + TIME(1,26,12)</f>
        <v>40527.059861111113</v>
      </c>
      <c r="C614">
        <v>80</v>
      </c>
      <c r="D614">
        <v>72.608757018999995</v>
      </c>
      <c r="E614">
        <v>50</v>
      </c>
      <c r="F614">
        <v>49.944766997999999</v>
      </c>
      <c r="G614">
        <v>1297.4195557</v>
      </c>
      <c r="H614">
        <v>1284.1075439000001</v>
      </c>
      <c r="I614">
        <v>1399.5574951000001</v>
      </c>
      <c r="J614">
        <v>1379.9792480000001</v>
      </c>
      <c r="K614">
        <v>0</v>
      </c>
      <c r="L614">
        <v>2400</v>
      </c>
      <c r="M614">
        <v>2400</v>
      </c>
      <c r="N614">
        <v>0</v>
      </c>
    </row>
    <row r="615" spans="1:14" x14ac:dyDescent="0.25">
      <c r="A615">
        <v>229.205095</v>
      </c>
      <c r="B615" s="1">
        <f>DATE(2010,12,16) + TIME(4,55,20)</f>
        <v>40528.205092592594</v>
      </c>
      <c r="C615">
        <v>80</v>
      </c>
      <c r="D615">
        <v>72.480766295999999</v>
      </c>
      <c r="E615">
        <v>50</v>
      </c>
      <c r="F615">
        <v>49.944862366000002</v>
      </c>
      <c r="G615">
        <v>1297.3137207</v>
      </c>
      <c r="H615">
        <v>1283.9665527</v>
      </c>
      <c r="I615">
        <v>1399.4688721</v>
      </c>
      <c r="J615">
        <v>1379.8991699000001</v>
      </c>
      <c r="K615">
        <v>0</v>
      </c>
      <c r="L615">
        <v>2400</v>
      </c>
      <c r="M615">
        <v>2400</v>
      </c>
      <c r="N615">
        <v>0</v>
      </c>
    </row>
    <row r="616" spans="1:14" x14ac:dyDescent="0.25">
      <c r="A616">
        <v>230.376465</v>
      </c>
      <c r="B616" s="1">
        <f>DATE(2010,12,17) + TIME(9,2,6)</f>
        <v>40529.376458333332</v>
      </c>
      <c r="C616">
        <v>80</v>
      </c>
      <c r="D616">
        <v>72.351760863999999</v>
      </c>
      <c r="E616">
        <v>50</v>
      </c>
      <c r="F616">
        <v>49.944961548000002</v>
      </c>
      <c r="G616">
        <v>1297.2042236</v>
      </c>
      <c r="H616">
        <v>1283.8201904</v>
      </c>
      <c r="I616">
        <v>1399.3809814000001</v>
      </c>
      <c r="J616">
        <v>1379.8198242000001</v>
      </c>
      <c r="K616">
        <v>0</v>
      </c>
      <c r="L616">
        <v>2400</v>
      </c>
      <c r="M616">
        <v>2400</v>
      </c>
      <c r="N616">
        <v>0</v>
      </c>
    </row>
    <row r="617" spans="1:14" x14ac:dyDescent="0.25">
      <c r="A617">
        <v>231.577754</v>
      </c>
      <c r="B617" s="1">
        <f>DATE(2010,12,18) + TIME(13,51,57)</f>
        <v>40530.577743055554</v>
      </c>
      <c r="C617">
        <v>80</v>
      </c>
      <c r="D617">
        <v>72.221420288000004</v>
      </c>
      <c r="E617">
        <v>50</v>
      </c>
      <c r="F617">
        <v>49.945060730000002</v>
      </c>
      <c r="G617">
        <v>1297.0905762</v>
      </c>
      <c r="H617">
        <v>1283.6679687999999</v>
      </c>
      <c r="I617">
        <v>1399.2935791</v>
      </c>
      <c r="J617">
        <v>1379.7407227000001</v>
      </c>
      <c r="K617">
        <v>0</v>
      </c>
      <c r="L617">
        <v>2400</v>
      </c>
      <c r="M617">
        <v>2400</v>
      </c>
      <c r="N617">
        <v>0</v>
      </c>
    </row>
    <row r="618" spans="1:14" x14ac:dyDescent="0.25">
      <c r="A618">
        <v>232.814819</v>
      </c>
      <c r="B618" s="1">
        <f>DATE(2010,12,19) + TIME(19,33,20)</f>
        <v>40531.814814814818</v>
      </c>
      <c r="C618">
        <v>80</v>
      </c>
      <c r="D618">
        <v>72.089294433999996</v>
      </c>
      <c r="E618">
        <v>50</v>
      </c>
      <c r="F618">
        <v>49.945167542</v>
      </c>
      <c r="G618">
        <v>1296.9725341999999</v>
      </c>
      <c r="H618">
        <v>1283.5093993999999</v>
      </c>
      <c r="I618">
        <v>1399.206543</v>
      </c>
      <c r="J618">
        <v>1379.6618652</v>
      </c>
      <c r="K618">
        <v>0</v>
      </c>
      <c r="L618">
        <v>2400</v>
      </c>
      <c r="M618">
        <v>2400</v>
      </c>
      <c r="N618">
        <v>0</v>
      </c>
    </row>
    <row r="619" spans="1:14" x14ac:dyDescent="0.25">
      <c r="A619">
        <v>234.07928200000001</v>
      </c>
      <c r="B619" s="1">
        <f>DATE(2010,12,21) + TIME(1,54,9)</f>
        <v>40533.079270833332</v>
      </c>
      <c r="C619">
        <v>80</v>
      </c>
      <c r="D619">
        <v>71.955474854000002</v>
      </c>
      <c r="E619">
        <v>50</v>
      </c>
      <c r="F619">
        <v>49.945274353000002</v>
      </c>
      <c r="G619">
        <v>1296.8496094</v>
      </c>
      <c r="H619">
        <v>1283.34375</v>
      </c>
      <c r="I619">
        <v>1399.1195068</v>
      </c>
      <c r="J619">
        <v>1379.5830077999999</v>
      </c>
      <c r="K619">
        <v>0</v>
      </c>
      <c r="L619">
        <v>2400</v>
      </c>
      <c r="M619">
        <v>2400</v>
      </c>
      <c r="N619">
        <v>0</v>
      </c>
    </row>
    <row r="620" spans="1:14" x14ac:dyDescent="0.25">
      <c r="A620">
        <v>235.35518400000001</v>
      </c>
      <c r="B620" s="1">
        <f>DATE(2010,12,22) + TIME(8,31,27)</f>
        <v>40534.355173611111</v>
      </c>
      <c r="C620">
        <v>80</v>
      </c>
      <c r="D620">
        <v>71.820831299000005</v>
      </c>
      <c r="E620">
        <v>50</v>
      </c>
      <c r="F620">
        <v>49.945381165000001</v>
      </c>
      <c r="G620">
        <v>1296.7222899999999</v>
      </c>
      <c r="H620">
        <v>1283.1719971</v>
      </c>
      <c r="I620">
        <v>1399.0330810999999</v>
      </c>
      <c r="J620">
        <v>1379.5047606999999</v>
      </c>
      <c r="K620">
        <v>0</v>
      </c>
      <c r="L620">
        <v>2400</v>
      </c>
      <c r="M620">
        <v>2400</v>
      </c>
      <c r="N620">
        <v>0</v>
      </c>
    </row>
    <row r="621" spans="1:14" x14ac:dyDescent="0.25">
      <c r="A621">
        <v>236.64214899999999</v>
      </c>
      <c r="B621" s="1">
        <f>DATE(2010,12,23) + TIME(15,24,41)</f>
        <v>40535.642141203702</v>
      </c>
      <c r="C621">
        <v>80</v>
      </c>
      <c r="D621">
        <v>71.686096191000004</v>
      </c>
      <c r="E621">
        <v>50</v>
      </c>
      <c r="F621">
        <v>49.945491791000002</v>
      </c>
      <c r="G621">
        <v>1296.5917969</v>
      </c>
      <c r="H621">
        <v>1282.9954834</v>
      </c>
      <c r="I621">
        <v>1398.9483643000001</v>
      </c>
      <c r="J621">
        <v>1379.4278564000001</v>
      </c>
      <c r="K621">
        <v>0</v>
      </c>
      <c r="L621">
        <v>2400</v>
      </c>
      <c r="M621">
        <v>2400</v>
      </c>
      <c r="N621">
        <v>0</v>
      </c>
    </row>
    <row r="622" spans="1:14" x14ac:dyDescent="0.25">
      <c r="A622">
        <v>237.94474700000001</v>
      </c>
      <c r="B622" s="1">
        <f>DATE(2010,12,24) + TIME(22,40,26)</f>
        <v>40536.944745370369</v>
      </c>
      <c r="C622">
        <v>80</v>
      </c>
      <c r="D622">
        <v>71.551361084000007</v>
      </c>
      <c r="E622">
        <v>50</v>
      </c>
      <c r="F622">
        <v>49.945602417000003</v>
      </c>
      <c r="G622">
        <v>1296.458374</v>
      </c>
      <c r="H622">
        <v>1282.8142089999999</v>
      </c>
      <c r="I622">
        <v>1398.8651123</v>
      </c>
      <c r="J622">
        <v>1379.3522949000001</v>
      </c>
      <c r="K622">
        <v>0</v>
      </c>
      <c r="L622">
        <v>2400</v>
      </c>
      <c r="M622">
        <v>2400</v>
      </c>
      <c r="N622">
        <v>0</v>
      </c>
    </row>
    <row r="623" spans="1:14" x14ac:dyDescent="0.25">
      <c r="A623">
        <v>239.27014700000001</v>
      </c>
      <c r="B623" s="1">
        <f>DATE(2010,12,26) + TIME(6,29,0)</f>
        <v>40538.270138888889</v>
      </c>
      <c r="C623">
        <v>80</v>
      </c>
      <c r="D623">
        <v>71.416236877000003</v>
      </c>
      <c r="E623">
        <v>50</v>
      </c>
      <c r="F623">
        <v>49.945716857999997</v>
      </c>
      <c r="G623">
        <v>1296.3214111</v>
      </c>
      <c r="H623">
        <v>1282.6279297000001</v>
      </c>
      <c r="I623">
        <v>1398.7832031</v>
      </c>
      <c r="J623">
        <v>1379.277832</v>
      </c>
      <c r="K623">
        <v>0</v>
      </c>
      <c r="L623">
        <v>2400</v>
      </c>
      <c r="M623">
        <v>2400</v>
      </c>
      <c r="N623">
        <v>0</v>
      </c>
    </row>
    <row r="624" spans="1:14" x14ac:dyDescent="0.25">
      <c r="A624">
        <v>240.62314699999999</v>
      </c>
      <c r="B624" s="1">
        <f>DATE(2010,12,27) + TIME(14,57,19)</f>
        <v>40539.623136574075</v>
      </c>
      <c r="C624">
        <v>80</v>
      </c>
      <c r="D624">
        <v>71.280235290999997</v>
      </c>
      <c r="E624">
        <v>50</v>
      </c>
      <c r="F624">
        <v>49.945831298999998</v>
      </c>
      <c r="G624">
        <v>1296.1802978999999</v>
      </c>
      <c r="H624">
        <v>1282.4354248</v>
      </c>
      <c r="I624">
        <v>1398.7021483999999</v>
      </c>
      <c r="J624">
        <v>1379.2039795000001</v>
      </c>
      <c r="K624">
        <v>0</v>
      </c>
      <c r="L624">
        <v>2400</v>
      </c>
      <c r="M624">
        <v>2400</v>
      </c>
      <c r="N624">
        <v>0</v>
      </c>
    </row>
    <row r="625" spans="1:14" x14ac:dyDescent="0.25">
      <c r="A625">
        <v>242.00418999999999</v>
      </c>
      <c r="B625" s="1">
        <f>DATE(2010,12,29) + TIME(0,6,2)</f>
        <v>40541.004189814812</v>
      </c>
      <c r="C625">
        <v>80</v>
      </c>
      <c r="D625">
        <v>71.143012999999996</v>
      </c>
      <c r="E625">
        <v>50</v>
      </c>
      <c r="F625">
        <v>49.945949554000002</v>
      </c>
      <c r="G625">
        <v>1296.0344238</v>
      </c>
      <c r="H625">
        <v>1282.2360839999999</v>
      </c>
      <c r="I625">
        <v>1398.6217041</v>
      </c>
      <c r="J625">
        <v>1379.1307373</v>
      </c>
      <c r="K625">
        <v>0</v>
      </c>
      <c r="L625">
        <v>2400</v>
      </c>
      <c r="M625">
        <v>2400</v>
      </c>
      <c r="N625">
        <v>0</v>
      </c>
    </row>
    <row r="626" spans="1:14" x14ac:dyDescent="0.25">
      <c r="A626">
        <v>243.421201</v>
      </c>
      <c r="B626" s="1">
        <f>DATE(2010,12,30) + TIME(10,6,31)</f>
        <v>40542.42119212963</v>
      </c>
      <c r="C626">
        <v>80</v>
      </c>
      <c r="D626">
        <v>71.004127502000003</v>
      </c>
      <c r="E626">
        <v>50</v>
      </c>
      <c r="F626">
        <v>49.946071625000002</v>
      </c>
      <c r="G626">
        <v>1295.8836670000001</v>
      </c>
      <c r="H626">
        <v>1282.0295410000001</v>
      </c>
      <c r="I626">
        <v>1398.541626</v>
      </c>
      <c r="J626">
        <v>1379.0577393000001</v>
      </c>
      <c r="K626">
        <v>0</v>
      </c>
      <c r="L626">
        <v>2400</v>
      </c>
      <c r="M626">
        <v>2400</v>
      </c>
      <c r="N626">
        <v>0</v>
      </c>
    </row>
    <row r="627" spans="1:14" x14ac:dyDescent="0.25">
      <c r="A627">
        <v>244.87669500000001</v>
      </c>
      <c r="B627" s="1">
        <f>DATE(2010,12,31) + TIME(21,2,26)</f>
        <v>40543.876689814817</v>
      </c>
      <c r="C627">
        <v>80</v>
      </c>
      <c r="D627">
        <v>70.863128661999994</v>
      </c>
      <c r="E627">
        <v>50</v>
      </c>
      <c r="F627">
        <v>49.946197509999998</v>
      </c>
      <c r="G627">
        <v>1295.7269286999999</v>
      </c>
      <c r="H627">
        <v>1281.8145752</v>
      </c>
      <c r="I627">
        <v>1398.4617920000001</v>
      </c>
      <c r="J627">
        <v>1378.9848632999999</v>
      </c>
      <c r="K627">
        <v>0</v>
      </c>
      <c r="L627">
        <v>2400</v>
      </c>
      <c r="M627">
        <v>2400</v>
      </c>
      <c r="N627">
        <v>0</v>
      </c>
    </row>
    <row r="628" spans="1:14" x14ac:dyDescent="0.25">
      <c r="A628">
        <v>245</v>
      </c>
      <c r="B628" s="1">
        <f>DATE(2011,1,1) + TIME(0,0,0)</f>
        <v>40544</v>
      </c>
      <c r="C628">
        <v>80</v>
      </c>
      <c r="D628">
        <v>70.833595275999997</v>
      </c>
      <c r="E628">
        <v>50</v>
      </c>
      <c r="F628">
        <v>49.946166992000002</v>
      </c>
      <c r="G628">
        <v>1295.6229248</v>
      </c>
      <c r="H628">
        <v>1281.6776123</v>
      </c>
      <c r="I628">
        <v>1398.4243164</v>
      </c>
      <c r="J628">
        <v>1378.9520264</v>
      </c>
      <c r="K628">
        <v>0</v>
      </c>
      <c r="L628">
        <v>2400</v>
      </c>
      <c r="M628">
        <v>2400</v>
      </c>
      <c r="N628">
        <v>0</v>
      </c>
    </row>
    <row r="629" spans="1:14" x14ac:dyDescent="0.25">
      <c r="A629">
        <v>246.45911599999999</v>
      </c>
      <c r="B629" s="1">
        <f>DATE(2011,1,2) + TIME(11,1,7)</f>
        <v>40545.459108796298</v>
      </c>
      <c r="C629">
        <v>80</v>
      </c>
      <c r="D629">
        <v>70.702682495000005</v>
      </c>
      <c r="E629">
        <v>50</v>
      </c>
      <c r="F629">
        <v>49.946331024000003</v>
      </c>
      <c r="G629">
        <v>1295.5452881000001</v>
      </c>
      <c r="H629">
        <v>1281.5639647999999</v>
      </c>
      <c r="I629">
        <v>1398.3724365</v>
      </c>
      <c r="J629">
        <v>1378.9033202999999</v>
      </c>
      <c r="K629">
        <v>0</v>
      </c>
      <c r="L629">
        <v>2400</v>
      </c>
      <c r="M629">
        <v>2400</v>
      </c>
      <c r="N629">
        <v>0</v>
      </c>
    </row>
    <row r="630" spans="1:14" x14ac:dyDescent="0.25">
      <c r="A630">
        <v>247.93217000000001</v>
      </c>
      <c r="B630" s="1">
        <f>DATE(2011,1,3) + TIME(22,22,19)</f>
        <v>40546.932164351849</v>
      </c>
      <c r="C630">
        <v>80</v>
      </c>
      <c r="D630">
        <v>70.564346313000001</v>
      </c>
      <c r="E630">
        <v>50</v>
      </c>
      <c r="F630">
        <v>49.946456908999998</v>
      </c>
      <c r="G630">
        <v>1295.3836670000001</v>
      </c>
      <c r="H630">
        <v>1281.3413086</v>
      </c>
      <c r="I630">
        <v>1398.2974853999999</v>
      </c>
      <c r="J630">
        <v>1378.8347168</v>
      </c>
      <c r="K630">
        <v>0</v>
      </c>
      <c r="L630">
        <v>2400</v>
      </c>
      <c r="M630">
        <v>2400</v>
      </c>
      <c r="N630">
        <v>0</v>
      </c>
    </row>
    <row r="631" spans="1:14" x14ac:dyDescent="0.25">
      <c r="A631">
        <v>249.42560499999999</v>
      </c>
      <c r="B631" s="1">
        <f>DATE(2011,1,5) + TIME(10,12,52)</f>
        <v>40548.42560185185</v>
      </c>
      <c r="C631">
        <v>80</v>
      </c>
      <c r="D631">
        <v>70.422912597999996</v>
      </c>
      <c r="E631">
        <v>50</v>
      </c>
      <c r="F631">
        <v>49.946586609000001</v>
      </c>
      <c r="G631">
        <v>1295.2150879000001</v>
      </c>
      <c r="H631">
        <v>1281.1087646000001</v>
      </c>
      <c r="I631">
        <v>1398.2213135</v>
      </c>
      <c r="J631">
        <v>1378.7651367000001</v>
      </c>
      <c r="K631">
        <v>0</v>
      </c>
      <c r="L631">
        <v>2400</v>
      </c>
      <c r="M631">
        <v>2400</v>
      </c>
      <c r="N631">
        <v>0</v>
      </c>
    </row>
    <row r="632" spans="1:14" x14ac:dyDescent="0.25">
      <c r="A632">
        <v>250.945705</v>
      </c>
      <c r="B632" s="1">
        <f>DATE(2011,1,6) + TIME(22,41,48)</f>
        <v>40549.945694444446</v>
      </c>
      <c r="C632">
        <v>80</v>
      </c>
      <c r="D632">
        <v>70.279510497999993</v>
      </c>
      <c r="E632">
        <v>50</v>
      </c>
      <c r="F632">
        <v>49.946716309000003</v>
      </c>
      <c r="G632">
        <v>1295.0415039</v>
      </c>
      <c r="H632">
        <v>1280.8685303</v>
      </c>
      <c r="I632">
        <v>1398.145874</v>
      </c>
      <c r="J632">
        <v>1378.6960449000001</v>
      </c>
      <c r="K632">
        <v>0</v>
      </c>
      <c r="L632">
        <v>2400</v>
      </c>
      <c r="M632">
        <v>2400</v>
      </c>
      <c r="N632">
        <v>0</v>
      </c>
    </row>
    <row r="633" spans="1:14" x14ac:dyDescent="0.25">
      <c r="A633">
        <v>252.49062900000001</v>
      </c>
      <c r="B633" s="1">
        <f>DATE(2011,1,8) + TIME(11,46,30)</f>
        <v>40551.490624999999</v>
      </c>
      <c r="C633">
        <v>80</v>
      </c>
      <c r="D633">
        <v>70.134422302000004</v>
      </c>
      <c r="E633">
        <v>50</v>
      </c>
      <c r="F633">
        <v>49.946846008000001</v>
      </c>
      <c r="G633">
        <v>1294.8625488</v>
      </c>
      <c r="H633">
        <v>1280.6204834</v>
      </c>
      <c r="I633">
        <v>1398.0710449000001</v>
      </c>
      <c r="J633">
        <v>1378.6274414</v>
      </c>
      <c r="K633">
        <v>0</v>
      </c>
      <c r="L633">
        <v>2400</v>
      </c>
      <c r="M633">
        <v>2400</v>
      </c>
      <c r="N633">
        <v>0</v>
      </c>
    </row>
    <row r="634" spans="1:14" x14ac:dyDescent="0.25">
      <c r="A634">
        <v>254.06904700000001</v>
      </c>
      <c r="B634" s="1">
        <f>DATE(2011,1,10) + TIME(1,39,25)</f>
        <v>40553.069039351853</v>
      </c>
      <c r="C634">
        <v>80</v>
      </c>
      <c r="D634">
        <v>69.987464904999996</v>
      </c>
      <c r="E634">
        <v>50</v>
      </c>
      <c r="F634">
        <v>49.946983336999999</v>
      </c>
      <c r="G634">
        <v>1294.6784668</v>
      </c>
      <c r="H634">
        <v>1280.3645019999999</v>
      </c>
      <c r="I634">
        <v>1397.9969481999999</v>
      </c>
      <c r="J634">
        <v>1378.5593262</v>
      </c>
      <c r="K634">
        <v>0</v>
      </c>
      <c r="L634">
        <v>2400</v>
      </c>
      <c r="M634">
        <v>2400</v>
      </c>
      <c r="N634">
        <v>0</v>
      </c>
    </row>
    <row r="635" spans="1:14" x14ac:dyDescent="0.25">
      <c r="A635">
        <v>255.68712400000001</v>
      </c>
      <c r="B635" s="1">
        <f>DATE(2011,1,11) + TIME(16,29,27)</f>
        <v>40554.687118055554</v>
      </c>
      <c r="C635">
        <v>80</v>
      </c>
      <c r="D635">
        <v>69.837882996000005</v>
      </c>
      <c r="E635">
        <v>50</v>
      </c>
      <c r="F635">
        <v>49.947120667</v>
      </c>
      <c r="G635">
        <v>1294.4880370999999</v>
      </c>
      <c r="H635">
        <v>1280.0994873</v>
      </c>
      <c r="I635">
        <v>1397.9229736</v>
      </c>
      <c r="J635">
        <v>1378.4915771000001</v>
      </c>
      <c r="K635">
        <v>0</v>
      </c>
      <c r="L635">
        <v>2400</v>
      </c>
      <c r="M635">
        <v>2400</v>
      </c>
      <c r="N635">
        <v>0</v>
      </c>
    </row>
    <row r="636" spans="1:14" x14ac:dyDescent="0.25">
      <c r="A636">
        <v>257.34036200000003</v>
      </c>
      <c r="B636" s="1">
        <f>DATE(2011,1,13) + TIME(8,10,7)</f>
        <v>40556.340358796297</v>
      </c>
      <c r="C636">
        <v>80</v>
      </c>
      <c r="D636">
        <v>69.685470581000004</v>
      </c>
      <c r="E636">
        <v>50</v>
      </c>
      <c r="F636">
        <v>49.947261810000001</v>
      </c>
      <c r="G636">
        <v>1294.2907714999999</v>
      </c>
      <c r="H636">
        <v>1279.8243408000001</v>
      </c>
      <c r="I636">
        <v>1397.8492432</v>
      </c>
      <c r="J636">
        <v>1378.4237060999999</v>
      </c>
      <c r="K636">
        <v>0</v>
      </c>
      <c r="L636">
        <v>2400</v>
      </c>
      <c r="M636">
        <v>2400</v>
      </c>
      <c r="N636">
        <v>0</v>
      </c>
    </row>
    <row r="637" spans="1:14" x14ac:dyDescent="0.25">
      <c r="A637">
        <v>259.00183099999998</v>
      </c>
      <c r="B637" s="1">
        <f>DATE(2011,1,15) + TIME(0,2,38)</f>
        <v>40558.001828703702</v>
      </c>
      <c r="C637">
        <v>80</v>
      </c>
      <c r="D637">
        <v>69.530960082999997</v>
      </c>
      <c r="E637">
        <v>50</v>
      </c>
      <c r="F637">
        <v>49.947399138999998</v>
      </c>
      <c r="G637">
        <v>1294.0871582</v>
      </c>
      <c r="H637">
        <v>1279.5399170000001</v>
      </c>
      <c r="I637">
        <v>1397.7758789</v>
      </c>
      <c r="J637">
        <v>1378.3563231999999</v>
      </c>
      <c r="K637">
        <v>0</v>
      </c>
      <c r="L637">
        <v>2400</v>
      </c>
      <c r="M637">
        <v>2400</v>
      </c>
      <c r="N637">
        <v>0</v>
      </c>
    </row>
    <row r="638" spans="1:14" x14ac:dyDescent="0.25">
      <c r="A638">
        <v>260.681084</v>
      </c>
      <c r="B638" s="1">
        <f>DATE(2011,1,16) + TIME(16,20,45)</f>
        <v>40559.681076388886</v>
      </c>
      <c r="C638">
        <v>80</v>
      </c>
      <c r="D638">
        <v>69.375091553000004</v>
      </c>
      <c r="E638">
        <v>50</v>
      </c>
      <c r="F638">
        <v>49.947544098000002</v>
      </c>
      <c r="G638">
        <v>1293.8795166</v>
      </c>
      <c r="H638">
        <v>1279.2491454999999</v>
      </c>
      <c r="I638">
        <v>1397.7038574000001</v>
      </c>
      <c r="J638">
        <v>1378.2899170000001</v>
      </c>
      <c r="K638">
        <v>0</v>
      </c>
      <c r="L638">
        <v>2400</v>
      </c>
      <c r="M638">
        <v>2400</v>
      </c>
      <c r="N638">
        <v>0</v>
      </c>
    </row>
    <row r="639" spans="1:14" x14ac:dyDescent="0.25">
      <c r="A639">
        <v>262.38675999999998</v>
      </c>
      <c r="B639" s="1">
        <f>DATE(2011,1,18) + TIME(9,16,56)</f>
        <v>40561.386759259258</v>
      </c>
      <c r="C639">
        <v>80</v>
      </c>
      <c r="D639">
        <v>69.217414856000005</v>
      </c>
      <c r="E639">
        <v>50</v>
      </c>
      <c r="F639">
        <v>49.947685241999999</v>
      </c>
      <c r="G639">
        <v>1293.6671143000001</v>
      </c>
      <c r="H639">
        <v>1278.9510498</v>
      </c>
      <c r="I639">
        <v>1397.6328125</v>
      </c>
      <c r="J639">
        <v>1378.2243652</v>
      </c>
      <c r="K639">
        <v>0</v>
      </c>
      <c r="L639">
        <v>2400</v>
      </c>
      <c r="M639">
        <v>2400</v>
      </c>
      <c r="N639">
        <v>0</v>
      </c>
    </row>
    <row r="640" spans="1:14" x14ac:dyDescent="0.25">
      <c r="A640">
        <v>264.11313699999999</v>
      </c>
      <c r="B640" s="1">
        <f>DATE(2011,1,20) + TIME(2,42,54)</f>
        <v>40563.113125000003</v>
      </c>
      <c r="C640">
        <v>80</v>
      </c>
      <c r="D640">
        <v>69.057525635000005</v>
      </c>
      <c r="E640">
        <v>50</v>
      </c>
      <c r="F640">
        <v>49.947830199999999</v>
      </c>
      <c r="G640">
        <v>1293.4490966999999</v>
      </c>
      <c r="H640">
        <v>1278.6447754000001</v>
      </c>
      <c r="I640">
        <v>1397.5623779</v>
      </c>
      <c r="J640">
        <v>1378.1594238</v>
      </c>
      <c r="K640">
        <v>0</v>
      </c>
      <c r="L640">
        <v>2400</v>
      </c>
      <c r="M640">
        <v>2400</v>
      </c>
      <c r="N640">
        <v>0</v>
      </c>
    </row>
    <row r="641" spans="1:14" x14ac:dyDescent="0.25">
      <c r="A641">
        <v>265.86982799999998</v>
      </c>
      <c r="B641" s="1">
        <f>DATE(2011,1,21) + TIME(20,52,33)</f>
        <v>40564.869826388887</v>
      </c>
      <c r="C641">
        <v>80</v>
      </c>
      <c r="D641">
        <v>68.895088196000003</v>
      </c>
      <c r="E641">
        <v>50</v>
      </c>
      <c r="F641">
        <v>49.947978972999998</v>
      </c>
      <c r="G641">
        <v>1293.2257079999999</v>
      </c>
      <c r="H641">
        <v>1278.3303223</v>
      </c>
      <c r="I641">
        <v>1397.4927978999999</v>
      </c>
      <c r="J641">
        <v>1378.0950928</v>
      </c>
      <c r="K641">
        <v>0</v>
      </c>
      <c r="L641">
        <v>2400</v>
      </c>
      <c r="M641">
        <v>2400</v>
      </c>
      <c r="N641">
        <v>0</v>
      </c>
    </row>
    <row r="642" spans="1:14" x14ac:dyDescent="0.25">
      <c r="A642">
        <v>267.66686600000003</v>
      </c>
      <c r="B642" s="1">
        <f>DATE(2011,1,23) + TIME(16,0,17)</f>
        <v>40566.666863425926</v>
      </c>
      <c r="C642">
        <v>80</v>
      </c>
      <c r="D642">
        <v>68.729217528999996</v>
      </c>
      <c r="E642">
        <v>50</v>
      </c>
      <c r="F642">
        <v>49.948127747000001</v>
      </c>
      <c r="G642">
        <v>1292.9959716999999</v>
      </c>
      <c r="H642">
        <v>1278.0061035000001</v>
      </c>
      <c r="I642">
        <v>1397.4235839999999</v>
      </c>
      <c r="J642">
        <v>1378.0311279</v>
      </c>
      <c r="K642">
        <v>0</v>
      </c>
      <c r="L642">
        <v>2400</v>
      </c>
      <c r="M642">
        <v>2400</v>
      </c>
      <c r="N642">
        <v>0</v>
      </c>
    </row>
    <row r="643" spans="1:14" x14ac:dyDescent="0.25">
      <c r="A643">
        <v>269.50334400000003</v>
      </c>
      <c r="B643" s="1">
        <f>DATE(2011,1,25) + TIME(12,4,48)</f>
        <v>40568.503333333334</v>
      </c>
      <c r="C643">
        <v>80</v>
      </c>
      <c r="D643">
        <v>68.559112549000005</v>
      </c>
      <c r="E643">
        <v>50</v>
      </c>
      <c r="F643">
        <v>49.948284149000003</v>
      </c>
      <c r="G643">
        <v>1292.7585449000001</v>
      </c>
      <c r="H643">
        <v>1277.6706543</v>
      </c>
      <c r="I643">
        <v>1397.3544922000001</v>
      </c>
      <c r="J643">
        <v>1377.9671631000001</v>
      </c>
      <c r="K643">
        <v>0</v>
      </c>
      <c r="L643">
        <v>2400</v>
      </c>
      <c r="M643">
        <v>2400</v>
      </c>
      <c r="N643">
        <v>0</v>
      </c>
    </row>
    <row r="644" spans="1:14" x14ac:dyDescent="0.25">
      <c r="A644">
        <v>271.37160399999999</v>
      </c>
      <c r="B644" s="1">
        <f>DATE(2011,1,27) + TIME(8,55,6)</f>
        <v>40570.37159722222</v>
      </c>
      <c r="C644">
        <v>80</v>
      </c>
      <c r="D644">
        <v>68.384544372999997</v>
      </c>
      <c r="E644">
        <v>50</v>
      </c>
      <c r="F644">
        <v>49.948436737000002</v>
      </c>
      <c r="G644">
        <v>1292.5133057</v>
      </c>
      <c r="H644">
        <v>1277.3237305</v>
      </c>
      <c r="I644">
        <v>1397.2856445</v>
      </c>
      <c r="J644">
        <v>1377.9033202999999</v>
      </c>
      <c r="K644">
        <v>0</v>
      </c>
      <c r="L644">
        <v>2400</v>
      </c>
      <c r="M644">
        <v>2400</v>
      </c>
      <c r="N644">
        <v>0</v>
      </c>
    </row>
    <row r="645" spans="1:14" x14ac:dyDescent="0.25">
      <c r="A645">
        <v>273.26137399999999</v>
      </c>
      <c r="B645" s="1">
        <f>DATE(2011,1,29) + TIME(6,16,22)</f>
        <v>40572.261365740742</v>
      </c>
      <c r="C645">
        <v>80</v>
      </c>
      <c r="D645">
        <v>68.205810546999999</v>
      </c>
      <c r="E645">
        <v>50</v>
      </c>
      <c r="F645">
        <v>49.94859314</v>
      </c>
      <c r="G645">
        <v>1292.2609863</v>
      </c>
      <c r="H645">
        <v>1276.9661865</v>
      </c>
      <c r="I645">
        <v>1397.2171631000001</v>
      </c>
      <c r="J645">
        <v>1377.8398437999999</v>
      </c>
      <c r="K645">
        <v>0</v>
      </c>
      <c r="L645">
        <v>2400</v>
      </c>
      <c r="M645">
        <v>2400</v>
      </c>
      <c r="N645">
        <v>0</v>
      </c>
    </row>
    <row r="646" spans="1:14" x14ac:dyDescent="0.25">
      <c r="A646">
        <v>275.163252</v>
      </c>
      <c r="B646" s="1">
        <f>DATE(2011,1,31) + TIME(3,55,4)</f>
        <v>40574.163240740738</v>
      </c>
      <c r="C646">
        <v>80</v>
      </c>
      <c r="D646">
        <v>68.023445128999995</v>
      </c>
      <c r="E646">
        <v>50</v>
      </c>
      <c r="F646">
        <v>49.948749542000002</v>
      </c>
      <c r="G646">
        <v>1292.0030518000001</v>
      </c>
      <c r="H646">
        <v>1276.5996094</v>
      </c>
      <c r="I646">
        <v>1397.1495361</v>
      </c>
      <c r="J646">
        <v>1377.7770995999999</v>
      </c>
      <c r="K646">
        <v>0</v>
      </c>
      <c r="L646">
        <v>2400</v>
      </c>
      <c r="M646">
        <v>2400</v>
      </c>
      <c r="N646">
        <v>0</v>
      </c>
    </row>
    <row r="647" spans="1:14" x14ac:dyDescent="0.25">
      <c r="A647">
        <v>276</v>
      </c>
      <c r="B647" s="1">
        <f>DATE(2011,2,1) + TIME(0,0,0)</f>
        <v>40575</v>
      </c>
      <c r="C647">
        <v>80</v>
      </c>
      <c r="D647">
        <v>67.886978149000001</v>
      </c>
      <c r="E647">
        <v>50</v>
      </c>
      <c r="F647">
        <v>49.948795318999998</v>
      </c>
      <c r="G647">
        <v>1291.7637939000001</v>
      </c>
      <c r="H647">
        <v>1276.2685547000001</v>
      </c>
      <c r="I647">
        <v>1397.0919189000001</v>
      </c>
      <c r="J647">
        <v>1377.723999</v>
      </c>
      <c r="K647">
        <v>0</v>
      </c>
      <c r="L647">
        <v>2400</v>
      </c>
      <c r="M647">
        <v>2400</v>
      </c>
      <c r="N647">
        <v>0</v>
      </c>
    </row>
    <row r="648" spans="1:14" x14ac:dyDescent="0.25">
      <c r="A648">
        <v>277.92455200000001</v>
      </c>
      <c r="B648" s="1">
        <f>DATE(2011,2,2) + TIME(22,11,21)</f>
        <v>40576.92454861111</v>
      </c>
      <c r="C648">
        <v>80</v>
      </c>
      <c r="D648">
        <v>67.739303589000002</v>
      </c>
      <c r="E648">
        <v>50</v>
      </c>
      <c r="F648">
        <v>49.948978424000003</v>
      </c>
      <c r="G648">
        <v>1291.6096190999999</v>
      </c>
      <c r="H648">
        <v>1276.0327147999999</v>
      </c>
      <c r="I648">
        <v>1397.0509033000001</v>
      </c>
      <c r="J648">
        <v>1377.6851807</v>
      </c>
      <c r="K648">
        <v>0</v>
      </c>
      <c r="L648">
        <v>2400</v>
      </c>
      <c r="M648">
        <v>2400</v>
      </c>
      <c r="N648">
        <v>0</v>
      </c>
    </row>
    <row r="649" spans="1:14" x14ac:dyDescent="0.25">
      <c r="A649">
        <v>279.90101600000003</v>
      </c>
      <c r="B649" s="1">
        <f>DATE(2011,2,4) + TIME(21,37,27)</f>
        <v>40578.901006944441</v>
      </c>
      <c r="C649">
        <v>80</v>
      </c>
      <c r="D649">
        <v>67.558631896999998</v>
      </c>
      <c r="E649">
        <v>50</v>
      </c>
      <c r="F649">
        <v>49.949138640999998</v>
      </c>
      <c r="G649">
        <v>1291.3494873</v>
      </c>
      <c r="H649">
        <v>1275.6657714999999</v>
      </c>
      <c r="I649">
        <v>1396.9879149999999</v>
      </c>
      <c r="J649">
        <v>1377.6267089999999</v>
      </c>
      <c r="K649">
        <v>0</v>
      </c>
      <c r="L649">
        <v>2400</v>
      </c>
      <c r="M649">
        <v>2400</v>
      </c>
      <c r="N649">
        <v>0</v>
      </c>
    </row>
    <row r="650" spans="1:14" x14ac:dyDescent="0.25">
      <c r="A650">
        <v>281.913343</v>
      </c>
      <c r="B650" s="1">
        <f>DATE(2011,2,6) + TIME(21,55,12)</f>
        <v>40580.91333333333</v>
      </c>
      <c r="C650">
        <v>80</v>
      </c>
      <c r="D650">
        <v>67.362854003999999</v>
      </c>
      <c r="E650">
        <v>50</v>
      </c>
      <c r="F650">
        <v>49.949302672999998</v>
      </c>
      <c r="G650">
        <v>1291.0723877</v>
      </c>
      <c r="H650">
        <v>1275.2709961</v>
      </c>
      <c r="I650">
        <v>1396.9226074000001</v>
      </c>
      <c r="J650">
        <v>1377.565918</v>
      </c>
      <c r="K650">
        <v>0</v>
      </c>
      <c r="L650">
        <v>2400</v>
      </c>
      <c r="M650">
        <v>2400</v>
      </c>
      <c r="N650">
        <v>0</v>
      </c>
    </row>
    <row r="651" spans="1:14" x14ac:dyDescent="0.25">
      <c r="A651">
        <v>283.96642100000003</v>
      </c>
      <c r="B651" s="1">
        <f>DATE(2011,2,8) + TIME(23,11,38)</f>
        <v>40582.966412037036</v>
      </c>
      <c r="C651">
        <v>80</v>
      </c>
      <c r="D651">
        <v>67.157730103000006</v>
      </c>
      <c r="E651">
        <v>50</v>
      </c>
      <c r="F651">
        <v>49.949466704999999</v>
      </c>
      <c r="G651">
        <v>1290.7852783000001</v>
      </c>
      <c r="H651">
        <v>1274.8602295000001</v>
      </c>
      <c r="I651">
        <v>1396.8572998</v>
      </c>
      <c r="J651">
        <v>1377.5050048999999</v>
      </c>
      <c r="K651">
        <v>0</v>
      </c>
      <c r="L651">
        <v>2400</v>
      </c>
      <c r="M651">
        <v>2400</v>
      </c>
      <c r="N651">
        <v>0</v>
      </c>
    </row>
    <row r="652" spans="1:14" x14ac:dyDescent="0.25">
      <c r="A652">
        <v>286.05647299999998</v>
      </c>
      <c r="B652" s="1">
        <f>DATE(2011,2,11) + TIME(1,21,19)</f>
        <v>40585.056469907409</v>
      </c>
      <c r="C652">
        <v>80</v>
      </c>
      <c r="D652">
        <v>66.944396972999996</v>
      </c>
      <c r="E652">
        <v>50</v>
      </c>
      <c r="F652">
        <v>49.949634551999999</v>
      </c>
      <c r="G652">
        <v>1290.4890137</v>
      </c>
      <c r="H652">
        <v>1274.4350586</v>
      </c>
      <c r="I652">
        <v>1396.7919922000001</v>
      </c>
      <c r="J652">
        <v>1377.4440918</v>
      </c>
      <c r="K652">
        <v>0</v>
      </c>
      <c r="L652">
        <v>2400</v>
      </c>
      <c r="M652">
        <v>2400</v>
      </c>
      <c r="N652">
        <v>0</v>
      </c>
    </row>
    <row r="653" spans="1:14" x14ac:dyDescent="0.25">
      <c r="A653">
        <v>288.15250700000001</v>
      </c>
      <c r="B653" s="1">
        <f>DATE(2011,2,13) + TIME(3,39,36)</f>
        <v>40587.152499999997</v>
      </c>
      <c r="C653">
        <v>80</v>
      </c>
      <c r="D653">
        <v>66.723762511999993</v>
      </c>
      <c r="E653">
        <v>50</v>
      </c>
      <c r="F653">
        <v>49.949802398999999</v>
      </c>
      <c r="G653">
        <v>1290.1844481999999</v>
      </c>
      <c r="H653">
        <v>1273.9973144999999</v>
      </c>
      <c r="I653">
        <v>1396.7270507999999</v>
      </c>
      <c r="J653">
        <v>1377.3833007999999</v>
      </c>
      <c r="K653">
        <v>0</v>
      </c>
      <c r="L653">
        <v>2400</v>
      </c>
      <c r="M653">
        <v>2400</v>
      </c>
      <c r="N653">
        <v>0</v>
      </c>
    </row>
    <row r="654" spans="1:14" x14ac:dyDescent="0.25">
      <c r="A654">
        <v>290.26833699999997</v>
      </c>
      <c r="B654" s="1">
        <f>DATE(2011,2,15) + TIME(6,26,24)</f>
        <v>40589.268333333333</v>
      </c>
      <c r="C654">
        <v>80</v>
      </c>
      <c r="D654">
        <v>66.496932982999994</v>
      </c>
      <c r="E654">
        <v>50</v>
      </c>
      <c r="F654">
        <v>49.949970245000003</v>
      </c>
      <c r="G654">
        <v>1289.8751221</v>
      </c>
      <c r="H654">
        <v>1273.5513916</v>
      </c>
      <c r="I654">
        <v>1396.6629639</v>
      </c>
      <c r="J654">
        <v>1377.3234863</v>
      </c>
      <c r="K654">
        <v>0</v>
      </c>
      <c r="L654">
        <v>2400</v>
      </c>
      <c r="M654">
        <v>2400</v>
      </c>
      <c r="N654">
        <v>0</v>
      </c>
    </row>
    <row r="655" spans="1:14" x14ac:dyDescent="0.25">
      <c r="A655">
        <v>292.416135</v>
      </c>
      <c r="B655" s="1">
        <f>DATE(2011,2,17) + TIME(9,59,14)</f>
        <v>40591.416134259256</v>
      </c>
      <c r="C655">
        <v>80</v>
      </c>
      <c r="D655">
        <v>66.262817382999998</v>
      </c>
      <c r="E655">
        <v>50</v>
      </c>
      <c r="F655">
        <v>49.950138092000003</v>
      </c>
      <c r="G655">
        <v>1289.5599365</v>
      </c>
      <c r="H655">
        <v>1273.0958252</v>
      </c>
      <c r="I655">
        <v>1396.5996094</v>
      </c>
      <c r="J655">
        <v>1377.2640381000001</v>
      </c>
      <c r="K655">
        <v>0</v>
      </c>
      <c r="L655">
        <v>2400</v>
      </c>
      <c r="M655">
        <v>2400</v>
      </c>
      <c r="N655">
        <v>0</v>
      </c>
    </row>
    <row r="656" spans="1:14" x14ac:dyDescent="0.25">
      <c r="A656">
        <v>294.603949</v>
      </c>
      <c r="B656" s="1">
        <f>DATE(2011,2,19) + TIME(14,29,41)</f>
        <v>40593.603946759256</v>
      </c>
      <c r="C656">
        <v>80</v>
      </c>
      <c r="D656">
        <v>66.019836425999998</v>
      </c>
      <c r="E656">
        <v>50</v>
      </c>
      <c r="F656">
        <v>49.950309752999999</v>
      </c>
      <c r="G656">
        <v>1289.2369385</v>
      </c>
      <c r="H656">
        <v>1272.6281738</v>
      </c>
      <c r="I656">
        <v>1396.536499</v>
      </c>
      <c r="J656">
        <v>1377.2049560999999</v>
      </c>
      <c r="K656">
        <v>0</v>
      </c>
      <c r="L656">
        <v>2400</v>
      </c>
      <c r="M656">
        <v>2400</v>
      </c>
      <c r="N656">
        <v>0</v>
      </c>
    </row>
    <row r="657" spans="1:14" x14ac:dyDescent="0.25">
      <c r="A657">
        <v>296.82365299999998</v>
      </c>
      <c r="B657" s="1">
        <f>DATE(2011,2,21) + TIME(19,46,3)</f>
        <v>40595.823645833334</v>
      </c>
      <c r="C657">
        <v>80</v>
      </c>
      <c r="D657">
        <v>65.766822814999998</v>
      </c>
      <c r="E657">
        <v>50</v>
      </c>
      <c r="F657">
        <v>49.950485229000002</v>
      </c>
      <c r="G657">
        <v>1288.9052733999999</v>
      </c>
      <c r="H657">
        <v>1272.1469727000001</v>
      </c>
      <c r="I657">
        <v>1396.4736327999999</v>
      </c>
      <c r="J657">
        <v>1377.1457519999999</v>
      </c>
      <c r="K657">
        <v>0</v>
      </c>
      <c r="L657">
        <v>2400</v>
      </c>
      <c r="M657">
        <v>2400</v>
      </c>
      <c r="N657">
        <v>0</v>
      </c>
    </row>
    <row r="658" spans="1:14" x14ac:dyDescent="0.25">
      <c r="A658">
        <v>299.08796799999999</v>
      </c>
      <c r="B658" s="1">
        <f>DATE(2011,2,24) + TIME(2,6,40)</f>
        <v>40598.087962962964</v>
      </c>
      <c r="C658">
        <v>80</v>
      </c>
      <c r="D658">
        <v>65.503097534000005</v>
      </c>
      <c r="E658">
        <v>50</v>
      </c>
      <c r="F658">
        <v>49.950660706000001</v>
      </c>
      <c r="G658">
        <v>1288.5655518000001</v>
      </c>
      <c r="H658">
        <v>1271.652832</v>
      </c>
      <c r="I658">
        <v>1396.4107666</v>
      </c>
      <c r="J658">
        <v>1377.0867920000001</v>
      </c>
      <c r="K658">
        <v>0</v>
      </c>
      <c r="L658">
        <v>2400</v>
      </c>
      <c r="M658">
        <v>2400</v>
      </c>
      <c r="N658">
        <v>0</v>
      </c>
    </row>
    <row r="659" spans="1:14" x14ac:dyDescent="0.25">
      <c r="A659">
        <v>301.39437700000002</v>
      </c>
      <c r="B659" s="1">
        <f>DATE(2011,2,26) + TIME(9,27,54)</f>
        <v>40600.394375000003</v>
      </c>
      <c r="C659">
        <v>80</v>
      </c>
      <c r="D659">
        <v>65.227218628000003</v>
      </c>
      <c r="E659">
        <v>50</v>
      </c>
      <c r="F659">
        <v>49.950836182000003</v>
      </c>
      <c r="G659">
        <v>1288.2161865</v>
      </c>
      <c r="H659">
        <v>1271.1434326000001</v>
      </c>
      <c r="I659">
        <v>1396.3480225000001</v>
      </c>
      <c r="J659">
        <v>1377.0277100000001</v>
      </c>
      <c r="K659">
        <v>0</v>
      </c>
      <c r="L659">
        <v>2400</v>
      </c>
      <c r="M659">
        <v>2400</v>
      </c>
      <c r="N659">
        <v>0</v>
      </c>
    </row>
    <row r="660" spans="1:14" x14ac:dyDescent="0.25">
      <c r="A660">
        <v>303.712492</v>
      </c>
      <c r="B660" s="1">
        <f>DATE(2011,2,28) + TIME(17,5,59)</f>
        <v>40602.712488425925</v>
      </c>
      <c r="C660">
        <v>80</v>
      </c>
      <c r="D660">
        <v>64.939338684000006</v>
      </c>
      <c r="E660">
        <v>50</v>
      </c>
      <c r="F660">
        <v>49.951015472000002</v>
      </c>
      <c r="G660">
        <v>1287.8576660000001</v>
      </c>
      <c r="H660">
        <v>1270.619751</v>
      </c>
      <c r="I660">
        <v>1396.2852783000001</v>
      </c>
      <c r="J660">
        <v>1376.9686279</v>
      </c>
      <c r="K660">
        <v>0</v>
      </c>
      <c r="L660">
        <v>2400</v>
      </c>
      <c r="M660">
        <v>2400</v>
      </c>
      <c r="N660">
        <v>0</v>
      </c>
    </row>
    <row r="661" spans="1:14" x14ac:dyDescent="0.25">
      <c r="A661">
        <v>304</v>
      </c>
      <c r="B661" s="1">
        <f>DATE(2011,3,1) + TIME(0,0,0)</f>
        <v>40603</v>
      </c>
      <c r="C661">
        <v>80</v>
      </c>
      <c r="D661">
        <v>64.825447083</v>
      </c>
      <c r="E661">
        <v>50</v>
      </c>
      <c r="F661">
        <v>49.951007842999999</v>
      </c>
      <c r="G661">
        <v>1287.5705565999999</v>
      </c>
      <c r="H661">
        <v>1270.2385254000001</v>
      </c>
      <c r="I661">
        <v>1396.2523193</v>
      </c>
      <c r="J661">
        <v>1376.9383545000001</v>
      </c>
      <c r="K661">
        <v>0</v>
      </c>
      <c r="L661">
        <v>2400</v>
      </c>
      <c r="M661">
        <v>2400</v>
      </c>
      <c r="N661">
        <v>0</v>
      </c>
    </row>
    <row r="662" spans="1:14" x14ac:dyDescent="0.25">
      <c r="A662">
        <v>306.34410200000002</v>
      </c>
      <c r="B662" s="1">
        <f>DATE(2011,3,3) + TIME(8,15,30)</f>
        <v>40605.344097222223</v>
      </c>
      <c r="C662">
        <v>80</v>
      </c>
      <c r="D662">
        <v>64.584983825999998</v>
      </c>
      <c r="E662">
        <v>50</v>
      </c>
      <c r="F662">
        <v>49.951213836999997</v>
      </c>
      <c r="G662">
        <v>1287.4333495999999</v>
      </c>
      <c r="H662">
        <v>1269.9898682</v>
      </c>
      <c r="I662">
        <v>1396.2126464999999</v>
      </c>
      <c r="J662">
        <v>1376.9000243999999</v>
      </c>
      <c r="K662">
        <v>0</v>
      </c>
      <c r="L662">
        <v>2400</v>
      </c>
      <c r="M662">
        <v>2400</v>
      </c>
      <c r="N662">
        <v>0</v>
      </c>
    </row>
    <row r="663" spans="1:14" x14ac:dyDescent="0.25">
      <c r="A663">
        <v>308.73528499999998</v>
      </c>
      <c r="B663" s="1">
        <f>DATE(2011,3,5) + TIME(17,38,48)</f>
        <v>40607.735277777778</v>
      </c>
      <c r="C663">
        <v>80</v>
      </c>
      <c r="D663">
        <v>64.286979674999998</v>
      </c>
      <c r="E663">
        <v>50</v>
      </c>
      <c r="F663">
        <v>49.951396942000002</v>
      </c>
      <c r="G663">
        <v>1287.0737305</v>
      </c>
      <c r="H663">
        <v>1269.4666748</v>
      </c>
      <c r="I663">
        <v>1396.1533202999999</v>
      </c>
      <c r="J663">
        <v>1376.8441161999999</v>
      </c>
      <c r="K663">
        <v>0</v>
      </c>
      <c r="L663">
        <v>2400</v>
      </c>
      <c r="M663">
        <v>2400</v>
      </c>
      <c r="N663">
        <v>0</v>
      </c>
    </row>
    <row r="664" spans="1:14" x14ac:dyDescent="0.25">
      <c r="A664">
        <v>311.15264300000001</v>
      </c>
      <c r="B664" s="1">
        <f>DATE(2011,3,8) + TIME(3,39,48)</f>
        <v>40610.152638888889</v>
      </c>
      <c r="C664">
        <v>80</v>
      </c>
      <c r="D664">
        <v>63.963317871000001</v>
      </c>
      <c r="E664">
        <v>50</v>
      </c>
      <c r="F664">
        <v>49.951576232999997</v>
      </c>
      <c r="G664">
        <v>1286.6949463000001</v>
      </c>
      <c r="H664">
        <v>1268.9102783000001</v>
      </c>
      <c r="I664">
        <v>1396.0919189000001</v>
      </c>
      <c r="J664">
        <v>1376.7860106999999</v>
      </c>
      <c r="K664">
        <v>0</v>
      </c>
      <c r="L664">
        <v>2400</v>
      </c>
      <c r="M664">
        <v>2400</v>
      </c>
      <c r="N664">
        <v>0</v>
      </c>
    </row>
    <row r="665" spans="1:14" x14ac:dyDescent="0.25">
      <c r="A665">
        <v>313.60849000000002</v>
      </c>
      <c r="B665" s="1">
        <f>DATE(2011,3,10) + TIME(14,36,13)</f>
        <v>40612.608483796299</v>
      </c>
      <c r="C665">
        <v>80</v>
      </c>
      <c r="D665">
        <v>63.623497008999998</v>
      </c>
      <c r="E665">
        <v>50</v>
      </c>
      <c r="F665">
        <v>49.951759338000002</v>
      </c>
      <c r="G665">
        <v>1286.3073730000001</v>
      </c>
      <c r="H665">
        <v>1268.3377685999999</v>
      </c>
      <c r="I665">
        <v>1396.0303954999999</v>
      </c>
      <c r="J665">
        <v>1376.7277832</v>
      </c>
      <c r="K665">
        <v>0</v>
      </c>
      <c r="L665">
        <v>2400</v>
      </c>
      <c r="M665">
        <v>2400</v>
      </c>
      <c r="N665">
        <v>0</v>
      </c>
    </row>
    <row r="666" spans="1:14" x14ac:dyDescent="0.25">
      <c r="A666">
        <v>316.11720200000002</v>
      </c>
      <c r="B666" s="1">
        <f>DATE(2011,3,13) + TIME(2,48,46)</f>
        <v>40615.117199074077</v>
      </c>
      <c r="C666">
        <v>80</v>
      </c>
      <c r="D666">
        <v>63.267246245999999</v>
      </c>
      <c r="E666">
        <v>50</v>
      </c>
      <c r="F666">
        <v>49.951942443999997</v>
      </c>
      <c r="G666">
        <v>1285.9107666</v>
      </c>
      <c r="H666">
        <v>1267.7496338000001</v>
      </c>
      <c r="I666">
        <v>1395.96875</v>
      </c>
      <c r="J666">
        <v>1376.6694336</v>
      </c>
      <c r="K666">
        <v>0</v>
      </c>
      <c r="L666">
        <v>2400</v>
      </c>
      <c r="M666">
        <v>2400</v>
      </c>
      <c r="N666">
        <v>0</v>
      </c>
    </row>
    <row r="667" spans="1:14" x14ac:dyDescent="0.25">
      <c r="A667">
        <v>318.66368299999999</v>
      </c>
      <c r="B667" s="1">
        <f>DATE(2011,3,15) + TIME(15,55,42)</f>
        <v>40617.663680555554</v>
      </c>
      <c r="C667">
        <v>80</v>
      </c>
      <c r="D667">
        <v>62.893318176000001</v>
      </c>
      <c r="E667">
        <v>50</v>
      </c>
      <c r="F667">
        <v>49.952129364000001</v>
      </c>
      <c r="G667">
        <v>1285.503418</v>
      </c>
      <c r="H667">
        <v>1267.1444091999999</v>
      </c>
      <c r="I667">
        <v>1395.9068603999999</v>
      </c>
      <c r="J667">
        <v>1376.6107178</v>
      </c>
      <c r="K667">
        <v>0</v>
      </c>
      <c r="L667">
        <v>2400</v>
      </c>
      <c r="M667">
        <v>2400</v>
      </c>
      <c r="N667">
        <v>0</v>
      </c>
    </row>
    <row r="668" spans="1:14" x14ac:dyDescent="0.25">
      <c r="A668">
        <v>321.23316499999999</v>
      </c>
      <c r="B668" s="1">
        <f>DATE(2011,3,18) + TIME(5,35,45)</f>
        <v>40620.233159722222</v>
      </c>
      <c r="C668">
        <v>80</v>
      </c>
      <c r="D668">
        <v>62.502677917</v>
      </c>
      <c r="E668">
        <v>50</v>
      </c>
      <c r="F668">
        <v>49.952316283999998</v>
      </c>
      <c r="G668">
        <v>1285.0877685999999</v>
      </c>
      <c r="H668">
        <v>1266.5245361</v>
      </c>
      <c r="I668">
        <v>1395.8449707</v>
      </c>
      <c r="J668">
        <v>1376.5518798999999</v>
      </c>
      <c r="K668">
        <v>0</v>
      </c>
      <c r="L668">
        <v>2400</v>
      </c>
      <c r="M668">
        <v>2400</v>
      </c>
      <c r="N668">
        <v>0</v>
      </c>
    </row>
    <row r="669" spans="1:14" x14ac:dyDescent="0.25">
      <c r="A669">
        <v>323.834</v>
      </c>
      <c r="B669" s="1">
        <f>DATE(2011,3,20) + TIME(20,0,57)</f>
        <v>40622.833993055552</v>
      </c>
      <c r="C669">
        <v>80</v>
      </c>
      <c r="D669">
        <v>62.096321105999998</v>
      </c>
      <c r="E669">
        <v>50</v>
      </c>
      <c r="F669">
        <v>49.952503204000003</v>
      </c>
      <c r="G669">
        <v>1284.6660156</v>
      </c>
      <c r="H669">
        <v>1265.8931885</v>
      </c>
      <c r="I669">
        <v>1395.7832031</v>
      </c>
      <c r="J669">
        <v>1376.4931641000001</v>
      </c>
      <c r="K669">
        <v>0</v>
      </c>
      <c r="L669">
        <v>2400</v>
      </c>
      <c r="M669">
        <v>2400</v>
      </c>
      <c r="N669">
        <v>0</v>
      </c>
    </row>
    <row r="670" spans="1:14" x14ac:dyDescent="0.25">
      <c r="A670">
        <v>326.45617600000003</v>
      </c>
      <c r="B670" s="1">
        <f>DATE(2011,3,23) + TIME(10,56,53)</f>
        <v>40625.45616898148</v>
      </c>
      <c r="C670">
        <v>80</v>
      </c>
      <c r="D670">
        <v>61.673866271999998</v>
      </c>
      <c r="E670">
        <v>50</v>
      </c>
      <c r="F670">
        <v>49.952690124999997</v>
      </c>
      <c r="G670">
        <v>1284.2376709</v>
      </c>
      <c r="H670">
        <v>1265.25</v>
      </c>
      <c r="I670">
        <v>1395.7215576000001</v>
      </c>
      <c r="J670">
        <v>1376.4344481999999</v>
      </c>
      <c r="K670">
        <v>0</v>
      </c>
      <c r="L670">
        <v>2400</v>
      </c>
      <c r="M670">
        <v>2400</v>
      </c>
      <c r="N670">
        <v>0</v>
      </c>
    </row>
    <row r="671" spans="1:14" x14ac:dyDescent="0.25">
      <c r="A671">
        <v>329.11861399999998</v>
      </c>
      <c r="B671" s="1">
        <f>DATE(2011,3,26) + TIME(2,50,48)</f>
        <v>40628.118611111109</v>
      </c>
      <c r="C671">
        <v>80</v>
      </c>
      <c r="D671">
        <v>61.235572814999998</v>
      </c>
      <c r="E671">
        <v>50</v>
      </c>
      <c r="F671">
        <v>49.952880858999997</v>
      </c>
      <c r="G671">
        <v>1283.8039550999999</v>
      </c>
      <c r="H671">
        <v>1264.5963135</v>
      </c>
      <c r="I671">
        <v>1395.6600341999999</v>
      </c>
      <c r="J671">
        <v>1376.3758545000001</v>
      </c>
      <c r="K671">
        <v>0</v>
      </c>
      <c r="L671">
        <v>2400</v>
      </c>
      <c r="M671">
        <v>2400</v>
      </c>
      <c r="N671">
        <v>0</v>
      </c>
    </row>
    <row r="672" spans="1:14" x14ac:dyDescent="0.25">
      <c r="A672">
        <v>331.83183700000001</v>
      </c>
      <c r="B672" s="1">
        <f>DATE(2011,3,28) + TIME(19,57,50)</f>
        <v>40630.831828703704</v>
      </c>
      <c r="C672">
        <v>80</v>
      </c>
      <c r="D672">
        <v>60.779022216999998</v>
      </c>
      <c r="E672">
        <v>50</v>
      </c>
      <c r="F672">
        <v>49.953071594000001</v>
      </c>
      <c r="G672">
        <v>1283.362793</v>
      </c>
      <c r="H672">
        <v>1263.9290771000001</v>
      </c>
      <c r="I672">
        <v>1395.5982666</v>
      </c>
      <c r="J672">
        <v>1376.3168945</v>
      </c>
      <c r="K672">
        <v>0</v>
      </c>
      <c r="L672">
        <v>2400</v>
      </c>
      <c r="M672">
        <v>2400</v>
      </c>
      <c r="N672">
        <v>0</v>
      </c>
    </row>
    <row r="673" spans="1:14" x14ac:dyDescent="0.25">
      <c r="A673">
        <v>334.59789499999999</v>
      </c>
      <c r="B673" s="1">
        <f>DATE(2011,3,31) + TIME(14,20,58)</f>
        <v>40633.597893518519</v>
      </c>
      <c r="C673">
        <v>80</v>
      </c>
      <c r="D673">
        <v>60.302318573000001</v>
      </c>
      <c r="E673">
        <v>50</v>
      </c>
      <c r="F673">
        <v>49.953262328999998</v>
      </c>
      <c r="G673">
        <v>1282.9128418</v>
      </c>
      <c r="H673">
        <v>1263.2460937999999</v>
      </c>
      <c r="I673">
        <v>1395.5361327999999</v>
      </c>
      <c r="J673">
        <v>1376.2574463000001</v>
      </c>
      <c r="K673">
        <v>0</v>
      </c>
      <c r="L673">
        <v>2400</v>
      </c>
      <c r="M673">
        <v>2400</v>
      </c>
      <c r="N673">
        <v>0</v>
      </c>
    </row>
    <row r="674" spans="1:14" x14ac:dyDescent="0.25">
      <c r="A674">
        <v>335</v>
      </c>
      <c r="B674" s="1">
        <f>DATE(2011,4,1) + TIME(0,0,0)</f>
        <v>40634</v>
      </c>
      <c r="C674">
        <v>80</v>
      </c>
      <c r="D674">
        <v>60.068008423000002</v>
      </c>
      <c r="E674">
        <v>50</v>
      </c>
      <c r="F674">
        <v>49.953266143999997</v>
      </c>
      <c r="G674">
        <v>1282.5222168</v>
      </c>
      <c r="H674">
        <v>1262.7235106999999</v>
      </c>
      <c r="I674">
        <v>1395.5024414</v>
      </c>
      <c r="J674">
        <v>1376.2260742000001</v>
      </c>
      <c r="K674">
        <v>0</v>
      </c>
      <c r="L674">
        <v>2400</v>
      </c>
      <c r="M674">
        <v>2400</v>
      </c>
      <c r="N674">
        <v>0</v>
      </c>
    </row>
    <row r="675" spans="1:14" x14ac:dyDescent="0.25">
      <c r="A675">
        <v>337.81437899999997</v>
      </c>
      <c r="B675" s="1">
        <f>DATE(2011,4,3) + TIME(19,32,42)</f>
        <v>40636.814375000002</v>
      </c>
      <c r="C675">
        <v>80</v>
      </c>
      <c r="D675">
        <v>59.699447632000002</v>
      </c>
      <c r="E675">
        <v>50</v>
      </c>
      <c r="F675">
        <v>49.953487396</v>
      </c>
      <c r="G675">
        <v>1282.3693848</v>
      </c>
      <c r="H675">
        <v>1262.4035644999999</v>
      </c>
      <c r="I675">
        <v>1395.4611815999999</v>
      </c>
      <c r="J675">
        <v>1376.1856689000001</v>
      </c>
      <c r="K675">
        <v>0</v>
      </c>
      <c r="L675">
        <v>2400</v>
      </c>
      <c r="M675">
        <v>2400</v>
      </c>
      <c r="N675">
        <v>0</v>
      </c>
    </row>
    <row r="676" spans="1:14" x14ac:dyDescent="0.25">
      <c r="A676">
        <v>340.64314999999999</v>
      </c>
      <c r="B676" s="1">
        <f>DATE(2011,4,6) + TIME(15,26,8)</f>
        <v>40639.643148148149</v>
      </c>
      <c r="C676">
        <v>80</v>
      </c>
      <c r="D676">
        <v>59.206119536999999</v>
      </c>
      <c r="E676">
        <v>50</v>
      </c>
      <c r="F676">
        <v>49.953681946000003</v>
      </c>
      <c r="G676">
        <v>1281.9177245999999</v>
      </c>
      <c r="H676">
        <v>1261.7238769999999</v>
      </c>
      <c r="I676">
        <v>1395.4007568</v>
      </c>
      <c r="J676">
        <v>1376.1278076000001</v>
      </c>
      <c r="K676">
        <v>0</v>
      </c>
      <c r="L676">
        <v>2400</v>
      </c>
      <c r="M676">
        <v>2400</v>
      </c>
      <c r="N676">
        <v>0</v>
      </c>
    </row>
    <row r="677" spans="1:14" x14ac:dyDescent="0.25">
      <c r="A677">
        <v>343.49200100000002</v>
      </c>
      <c r="B677" s="1">
        <f>DATE(2011,4,9) + TIME(11,48,28)</f>
        <v>40642.491990740738</v>
      </c>
      <c r="C677">
        <v>80</v>
      </c>
      <c r="D677">
        <v>58.676368713000002</v>
      </c>
      <c r="E677">
        <v>50</v>
      </c>
      <c r="F677">
        <v>49.953872681</v>
      </c>
      <c r="G677">
        <v>1281.4519043</v>
      </c>
      <c r="H677">
        <v>1261.010376</v>
      </c>
      <c r="I677">
        <v>1395.3382568</v>
      </c>
      <c r="J677">
        <v>1376.0679932</v>
      </c>
      <c r="K677">
        <v>0</v>
      </c>
      <c r="L677">
        <v>2400</v>
      </c>
      <c r="M677">
        <v>2400</v>
      </c>
      <c r="N677">
        <v>0</v>
      </c>
    </row>
    <row r="678" spans="1:14" x14ac:dyDescent="0.25">
      <c r="A678">
        <v>346.38259599999998</v>
      </c>
      <c r="B678" s="1">
        <f>DATE(2011,4,12) + TIME(9,10,56)</f>
        <v>40645.382592592592</v>
      </c>
      <c r="C678">
        <v>80</v>
      </c>
      <c r="D678">
        <v>58.128459929999998</v>
      </c>
      <c r="E678">
        <v>50</v>
      </c>
      <c r="F678">
        <v>49.95406723</v>
      </c>
      <c r="G678">
        <v>1280.9820557</v>
      </c>
      <c r="H678">
        <v>1260.2855225000001</v>
      </c>
      <c r="I678">
        <v>1395.2755127</v>
      </c>
      <c r="J678">
        <v>1376.0076904</v>
      </c>
      <c r="K678">
        <v>0</v>
      </c>
      <c r="L678">
        <v>2400</v>
      </c>
      <c r="M678">
        <v>2400</v>
      </c>
      <c r="N678">
        <v>0</v>
      </c>
    </row>
    <row r="679" spans="1:14" x14ac:dyDescent="0.25">
      <c r="A679">
        <v>349.333913</v>
      </c>
      <c r="B679" s="1">
        <f>DATE(2011,4,15) + TIME(8,0,50)</f>
        <v>40648.333912037036</v>
      </c>
      <c r="C679">
        <v>80</v>
      </c>
      <c r="D679">
        <v>57.561981201000002</v>
      </c>
      <c r="E679">
        <v>50</v>
      </c>
      <c r="F679">
        <v>49.954265593999999</v>
      </c>
      <c r="G679">
        <v>1280.5069579999999</v>
      </c>
      <c r="H679">
        <v>1259.5491943</v>
      </c>
      <c r="I679">
        <v>1395.2122803</v>
      </c>
      <c r="J679">
        <v>1375.9468993999999</v>
      </c>
      <c r="K679">
        <v>0</v>
      </c>
      <c r="L679">
        <v>2400</v>
      </c>
      <c r="M679">
        <v>2400</v>
      </c>
      <c r="N679">
        <v>0</v>
      </c>
    </row>
    <row r="680" spans="1:14" x14ac:dyDescent="0.25">
      <c r="A680">
        <v>352.330626</v>
      </c>
      <c r="B680" s="1">
        <f>DATE(2011,4,18) + TIME(7,56,6)</f>
        <v>40651.330625000002</v>
      </c>
      <c r="C680">
        <v>80</v>
      </c>
      <c r="D680">
        <v>56.975639342999997</v>
      </c>
      <c r="E680">
        <v>50</v>
      </c>
      <c r="F680">
        <v>49.954463959000002</v>
      </c>
      <c r="G680">
        <v>1280.0250243999999</v>
      </c>
      <c r="H680">
        <v>1258.7994385</v>
      </c>
      <c r="I680">
        <v>1395.1483154</v>
      </c>
      <c r="J680">
        <v>1375.8852539</v>
      </c>
      <c r="K680">
        <v>0</v>
      </c>
      <c r="L680">
        <v>2400</v>
      </c>
      <c r="M680">
        <v>2400</v>
      </c>
      <c r="N680">
        <v>0</v>
      </c>
    </row>
    <row r="681" spans="1:14" x14ac:dyDescent="0.25">
      <c r="A681">
        <v>355.37319000000002</v>
      </c>
      <c r="B681" s="1">
        <f>DATE(2011,4,21) + TIME(8,57,23)</f>
        <v>40654.373182870368</v>
      </c>
      <c r="C681">
        <v>80</v>
      </c>
      <c r="D681">
        <v>56.371574402</v>
      </c>
      <c r="E681">
        <v>50</v>
      </c>
      <c r="F681">
        <v>49.954662323000001</v>
      </c>
      <c r="G681">
        <v>1279.5389404</v>
      </c>
      <c r="H681">
        <v>1258.0395507999999</v>
      </c>
      <c r="I681">
        <v>1395.0836182</v>
      </c>
      <c r="J681">
        <v>1375.8229980000001</v>
      </c>
      <c r="K681">
        <v>0</v>
      </c>
      <c r="L681">
        <v>2400</v>
      </c>
      <c r="M681">
        <v>2400</v>
      </c>
      <c r="N681">
        <v>0</v>
      </c>
    </row>
    <row r="682" spans="1:14" x14ac:dyDescent="0.25">
      <c r="A682">
        <v>358.44687299999998</v>
      </c>
      <c r="B682" s="1">
        <f>DATE(2011,4,24) + TIME(10,43,29)</f>
        <v>40657.446863425925</v>
      </c>
      <c r="C682">
        <v>80</v>
      </c>
      <c r="D682">
        <v>55.751621245999999</v>
      </c>
      <c r="E682">
        <v>50</v>
      </c>
      <c r="F682">
        <v>49.954860687</v>
      </c>
      <c r="G682">
        <v>1279.0496826000001</v>
      </c>
      <c r="H682">
        <v>1257.2714844</v>
      </c>
      <c r="I682">
        <v>1395.0185547000001</v>
      </c>
      <c r="J682">
        <v>1375.7601318</v>
      </c>
      <c r="K682">
        <v>0</v>
      </c>
      <c r="L682">
        <v>2400</v>
      </c>
      <c r="M682">
        <v>2400</v>
      </c>
      <c r="N682">
        <v>0</v>
      </c>
    </row>
    <row r="683" spans="1:14" x14ac:dyDescent="0.25">
      <c r="A683">
        <v>361.54012999999998</v>
      </c>
      <c r="B683" s="1">
        <f>DATE(2011,4,27) + TIME(12,57,47)</f>
        <v>40660.540127314816</v>
      </c>
      <c r="C683">
        <v>80</v>
      </c>
      <c r="D683">
        <v>55.119358063</v>
      </c>
      <c r="E683">
        <v>50</v>
      </c>
      <c r="F683">
        <v>49.955059052000003</v>
      </c>
      <c r="G683">
        <v>1278.5605469</v>
      </c>
      <c r="H683">
        <v>1256.4996338000001</v>
      </c>
      <c r="I683">
        <v>1394.953125</v>
      </c>
      <c r="J683">
        <v>1375.6970214999999</v>
      </c>
      <c r="K683">
        <v>0</v>
      </c>
      <c r="L683">
        <v>2400</v>
      </c>
      <c r="M683">
        <v>2400</v>
      </c>
      <c r="N683">
        <v>0</v>
      </c>
    </row>
    <row r="684" spans="1:14" x14ac:dyDescent="0.25">
      <c r="A684">
        <v>364.675206</v>
      </c>
      <c r="B684" s="1">
        <f>DATE(2011,4,30) + TIME(16,12,17)</f>
        <v>40663.675196759257</v>
      </c>
      <c r="C684">
        <v>80</v>
      </c>
      <c r="D684">
        <v>54.477512359999999</v>
      </c>
      <c r="E684">
        <v>50</v>
      </c>
      <c r="F684">
        <v>49.955257416000002</v>
      </c>
      <c r="G684">
        <v>1278.0738524999999</v>
      </c>
      <c r="H684">
        <v>1255.7276611</v>
      </c>
      <c r="I684">
        <v>1394.8874512</v>
      </c>
      <c r="J684">
        <v>1375.6335449000001</v>
      </c>
      <c r="K684">
        <v>0</v>
      </c>
      <c r="L684">
        <v>2400</v>
      </c>
      <c r="M684">
        <v>2400</v>
      </c>
      <c r="N684">
        <v>0</v>
      </c>
    </row>
    <row r="685" spans="1:14" x14ac:dyDescent="0.25">
      <c r="A685">
        <v>365</v>
      </c>
      <c r="B685" s="1">
        <f>DATE(2011,5,1) + TIME(0,0,0)</f>
        <v>40664</v>
      </c>
      <c r="C685">
        <v>80</v>
      </c>
      <c r="D685">
        <v>54.210800171000002</v>
      </c>
      <c r="E685">
        <v>50</v>
      </c>
      <c r="F685">
        <v>49.955257416000002</v>
      </c>
      <c r="G685">
        <v>1277.6538086</v>
      </c>
      <c r="H685">
        <v>1255.1813964999999</v>
      </c>
      <c r="I685">
        <v>1394.8608397999999</v>
      </c>
      <c r="J685">
        <v>1375.6085204999999</v>
      </c>
      <c r="K685">
        <v>0</v>
      </c>
      <c r="L685">
        <v>2400</v>
      </c>
      <c r="M685">
        <v>2400</v>
      </c>
      <c r="N685">
        <v>0</v>
      </c>
    </row>
    <row r="686" spans="1:14" x14ac:dyDescent="0.25">
      <c r="A686">
        <v>365.000001</v>
      </c>
      <c r="B686" s="1">
        <f>DATE(2011,5,1) + TIME(0,0,0)</f>
        <v>40664</v>
      </c>
      <c r="C686">
        <v>80</v>
      </c>
      <c r="D686">
        <v>54.210865020999996</v>
      </c>
      <c r="E686">
        <v>50</v>
      </c>
      <c r="F686">
        <v>49.955242157000001</v>
      </c>
      <c r="G686">
        <v>1300.3543701000001</v>
      </c>
      <c r="H686">
        <v>1277.6661377</v>
      </c>
      <c r="I686">
        <v>1375.5987548999999</v>
      </c>
      <c r="J686">
        <v>1356.5080565999999</v>
      </c>
      <c r="K686">
        <v>2400</v>
      </c>
      <c r="L686">
        <v>0</v>
      </c>
      <c r="M686">
        <v>0</v>
      </c>
      <c r="N686">
        <v>2400</v>
      </c>
    </row>
    <row r="687" spans="1:14" x14ac:dyDescent="0.25">
      <c r="A687">
        <v>365.00000399999999</v>
      </c>
      <c r="B687" s="1">
        <f>DATE(2011,5,1) + TIME(0,0,0)</f>
        <v>40664</v>
      </c>
      <c r="C687">
        <v>80</v>
      </c>
      <c r="D687">
        <v>54.211051941000001</v>
      </c>
      <c r="E687">
        <v>50</v>
      </c>
      <c r="F687">
        <v>49.955196381</v>
      </c>
      <c r="G687">
        <v>1300.3850098</v>
      </c>
      <c r="H687">
        <v>1277.7033690999999</v>
      </c>
      <c r="I687">
        <v>1375.5693358999999</v>
      </c>
      <c r="J687">
        <v>1356.4786377</v>
      </c>
      <c r="K687">
        <v>2400</v>
      </c>
      <c r="L687">
        <v>0</v>
      </c>
      <c r="M687">
        <v>0</v>
      </c>
      <c r="N687">
        <v>2400</v>
      </c>
    </row>
    <row r="688" spans="1:14" x14ac:dyDescent="0.25">
      <c r="A688">
        <v>365.00001300000002</v>
      </c>
      <c r="B688" s="1">
        <f>DATE(2011,5,1) + TIME(0,0,1)</f>
        <v>40664.000011574077</v>
      </c>
      <c r="C688">
        <v>80</v>
      </c>
      <c r="D688">
        <v>54.211620330999999</v>
      </c>
      <c r="E688">
        <v>50</v>
      </c>
      <c r="F688">
        <v>49.955055237000003</v>
      </c>
      <c r="G688">
        <v>1300.4769286999999</v>
      </c>
      <c r="H688">
        <v>1277.8145752</v>
      </c>
      <c r="I688">
        <v>1375.4813231999999</v>
      </c>
      <c r="J688">
        <v>1356.390625</v>
      </c>
      <c r="K688">
        <v>2400</v>
      </c>
      <c r="L688">
        <v>0</v>
      </c>
      <c r="M688">
        <v>0</v>
      </c>
      <c r="N688">
        <v>2400</v>
      </c>
    </row>
    <row r="689" spans="1:14" x14ac:dyDescent="0.25">
      <c r="A689">
        <v>365.00004000000001</v>
      </c>
      <c r="B689" s="1">
        <f>DATE(2011,5,1) + TIME(0,0,3)</f>
        <v>40664.000034722223</v>
      </c>
      <c r="C689">
        <v>80</v>
      </c>
      <c r="D689">
        <v>54.213306426999999</v>
      </c>
      <c r="E689">
        <v>50</v>
      </c>
      <c r="F689">
        <v>49.954643249999997</v>
      </c>
      <c r="G689">
        <v>1300.7492675999999</v>
      </c>
      <c r="H689">
        <v>1278.1431885</v>
      </c>
      <c r="I689">
        <v>1375.2209473</v>
      </c>
      <c r="J689">
        <v>1356.1298827999999</v>
      </c>
      <c r="K689">
        <v>2400</v>
      </c>
      <c r="L689">
        <v>0</v>
      </c>
      <c r="M689">
        <v>0</v>
      </c>
      <c r="N689">
        <v>2400</v>
      </c>
    </row>
    <row r="690" spans="1:14" x14ac:dyDescent="0.25">
      <c r="A690">
        <v>365.00012099999998</v>
      </c>
      <c r="B690" s="1">
        <f>DATE(2011,5,1) + TIME(0,0,10)</f>
        <v>40664.000115740739</v>
      </c>
      <c r="C690">
        <v>80</v>
      </c>
      <c r="D690">
        <v>54.218276977999999</v>
      </c>
      <c r="E690">
        <v>50</v>
      </c>
      <c r="F690">
        <v>49.953449249000002</v>
      </c>
      <c r="G690">
        <v>1301.5385742000001</v>
      </c>
      <c r="H690">
        <v>1279.0886230000001</v>
      </c>
      <c r="I690">
        <v>1374.4680175999999</v>
      </c>
      <c r="J690">
        <v>1355.3762207</v>
      </c>
      <c r="K690">
        <v>2400</v>
      </c>
      <c r="L690">
        <v>0</v>
      </c>
      <c r="M690">
        <v>0</v>
      </c>
      <c r="N690">
        <v>2400</v>
      </c>
    </row>
    <row r="691" spans="1:14" x14ac:dyDescent="0.25">
      <c r="A691">
        <v>365.00036399999999</v>
      </c>
      <c r="B691" s="1">
        <f>DATE(2011,5,1) + TIME(0,0,31)</f>
        <v>40664.000358796293</v>
      </c>
      <c r="C691">
        <v>80</v>
      </c>
      <c r="D691">
        <v>54.232498169000003</v>
      </c>
      <c r="E691">
        <v>50</v>
      </c>
      <c r="F691">
        <v>49.950214385999999</v>
      </c>
      <c r="G691">
        <v>1303.6890868999999</v>
      </c>
      <c r="H691">
        <v>1281.6130370999999</v>
      </c>
      <c r="I691">
        <v>1372.4307861</v>
      </c>
      <c r="J691">
        <v>1353.3370361</v>
      </c>
      <c r="K691">
        <v>2400</v>
      </c>
      <c r="L691">
        <v>0</v>
      </c>
      <c r="M691">
        <v>0</v>
      </c>
      <c r="N691">
        <v>2400</v>
      </c>
    </row>
    <row r="692" spans="1:14" x14ac:dyDescent="0.25">
      <c r="A692">
        <v>365.00109300000003</v>
      </c>
      <c r="B692" s="1">
        <f>DATE(2011,5,1) + TIME(0,1,34)</f>
        <v>40664.001087962963</v>
      </c>
      <c r="C692">
        <v>80</v>
      </c>
      <c r="D692">
        <v>54.271099091000004</v>
      </c>
      <c r="E692">
        <v>50</v>
      </c>
      <c r="F692">
        <v>49.942726135000001</v>
      </c>
      <c r="G692">
        <v>1308.7537841999999</v>
      </c>
      <c r="H692">
        <v>1287.2947998</v>
      </c>
      <c r="I692">
        <v>1367.7200928</v>
      </c>
      <c r="J692">
        <v>1348.6228027</v>
      </c>
      <c r="K692">
        <v>2400</v>
      </c>
      <c r="L692">
        <v>0</v>
      </c>
      <c r="M692">
        <v>0</v>
      </c>
      <c r="N692">
        <v>2400</v>
      </c>
    </row>
    <row r="693" spans="1:14" x14ac:dyDescent="0.25">
      <c r="A693">
        <v>365.00328000000002</v>
      </c>
      <c r="B693" s="1">
        <f>DATE(2011,5,1) + TIME(0,4,43)</f>
        <v>40664.003275462965</v>
      </c>
      <c r="C693">
        <v>80</v>
      </c>
      <c r="D693">
        <v>54.372100830000001</v>
      </c>
      <c r="E693">
        <v>50</v>
      </c>
      <c r="F693">
        <v>49.929519653</v>
      </c>
      <c r="G693">
        <v>1317.9150391000001</v>
      </c>
      <c r="H693">
        <v>1296.9023437999999</v>
      </c>
      <c r="I693">
        <v>1359.4855957</v>
      </c>
      <c r="J693">
        <v>1340.3852539</v>
      </c>
      <c r="K693">
        <v>2400</v>
      </c>
      <c r="L693">
        <v>0</v>
      </c>
      <c r="M693">
        <v>0</v>
      </c>
      <c r="N693">
        <v>2400</v>
      </c>
    </row>
    <row r="694" spans="1:14" x14ac:dyDescent="0.25">
      <c r="A694">
        <v>365.00984099999999</v>
      </c>
      <c r="B694" s="1">
        <f>DATE(2011,5,1) + TIME(0,14,10)</f>
        <v>40664.009837962964</v>
      </c>
      <c r="C694">
        <v>80</v>
      </c>
      <c r="D694">
        <v>54.642715453999998</v>
      </c>
      <c r="E694">
        <v>50</v>
      </c>
      <c r="F694">
        <v>49.912090302000003</v>
      </c>
      <c r="G694">
        <v>1329.9348144999999</v>
      </c>
      <c r="H694">
        <v>1308.901001</v>
      </c>
      <c r="I694">
        <v>1349.0297852000001</v>
      </c>
      <c r="J694">
        <v>1329.9302978999999</v>
      </c>
      <c r="K694">
        <v>2400</v>
      </c>
      <c r="L694">
        <v>0</v>
      </c>
      <c r="M694">
        <v>0</v>
      </c>
      <c r="N694">
        <v>2400</v>
      </c>
    </row>
    <row r="695" spans="1:14" x14ac:dyDescent="0.25">
      <c r="A695">
        <v>365.02950900000002</v>
      </c>
      <c r="B695" s="1">
        <f>DATE(2011,5,1) + TIME(0,42,29)</f>
        <v>40664.029502314814</v>
      </c>
      <c r="C695">
        <v>80</v>
      </c>
      <c r="D695">
        <v>55.397888184000003</v>
      </c>
      <c r="E695">
        <v>50</v>
      </c>
      <c r="F695">
        <v>49.891841888000002</v>
      </c>
      <c r="G695">
        <v>1342.5352783000001</v>
      </c>
      <c r="H695">
        <v>1321.4492187999999</v>
      </c>
      <c r="I695">
        <v>1338.0875243999999</v>
      </c>
      <c r="J695">
        <v>1318.9908447</v>
      </c>
      <c r="K695">
        <v>2400</v>
      </c>
      <c r="L695">
        <v>0</v>
      </c>
      <c r="M695">
        <v>0</v>
      </c>
      <c r="N695">
        <v>2400</v>
      </c>
    </row>
    <row r="696" spans="1:14" x14ac:dyDescent="0.25">
      <c r="A696">
        <v>365.050207</v>
      </c>
      <c r="B696" s="1">
        <f>DATE(2011,5,1) + TIME(1,12,17)</f>
        <v>40664.050196759257</v>
      </c>
      <c r="C696">
        <v>80</v>
      </c>
      <c r="D696">
        <v>56.161888122999997</v>
      </c>
      <c r="E696">
        <v>50</v>
      </c>
      <c r="F696">
        <v>49.879146575999997</v>
      </c>
      <c r="G696">
        <v>1349.2741699000001</v>
      </c>
      <c r="H696">
        <v>1328.2529297000001</v>
      </c>
      <c r="I696">
        <v>1332.1474608999999</v>
      </c>
      <c r="J696">
        <v>1313.0518798999999</v>
      </c>
      <c r="K696">
        <v>2400</v>
      </c>
      <c r="L696">
        <v>0</v>
      </c>
      <c r="M696">
        <v>0</v>
      </c>
      <c r="N696">
        <v>2400</v>
      </c>
    </row>
    <row r="697" spans="1:14" x14ac:dyDescent="0.25">
      <c r="A697">
        <v>365.07160900000002</v>
      </c>
      <c r="B697" s="1">
        <f>DATE(2011,5,1) + TIME(1,43,7)</f>
        <v>40664.071608796294</v>
      </c>
      <c r="C697">
        <v>80</v>
      </c>
      <c r="D697">
        <v>56.925998688</v>
      </c>
      <c r="E697">
        <v>50</v>
      </c>
      <c r="F697">
        <v>49.869411468999999</v>
      </c>
      <c r="G697">
        <v>1353.6616211</v>
      </c>
      <c r="H697">
        <v>1332.7644043</v>
      </c>
      <c r="I697">
        <v>1328.2006836</v>
      </c>
      <c r="J697">
        <v>1309.1049805</v>
      </c>
      <c r="K697">
        <v>2400</v>
      </c>
      <c r="L697">
        <v>0</v>
      </c>
      <c r="M697">
        <v>0</v>
      </c>
      <c r="N697">
        <v>2400</v>
      </c>
    </row>
    <row r="698" spans="1:14" x14ac:dyDescent="0.25">
      <c r="A698">
        <v>365.09359599999999</v>
      </c>
      <c r="B698" s="1">
        <f>DATE(2011,5,1) + TIME(2,14,46)</f>
        <v>40664.093587962961</v>
      </c>
      <c r="C698">
        <v>80</v>
      </c>
      <c r="D698">
        <v>57.685977936</v>
      </c>
      <c r="E698">
        <v>50</v>
      </c>
      <c r="F698">
        <v>49.861145020000002</v>
      </c>
      <c r="G698">
        <v>1356.8663329999999</v>
      </c>
      <c r="H698">
        <v>1336.1204834</v>
      </c>
      <c r="I698">
        <v>1325.2624512</v>
      </c>
      <c r="J698">
        <v>1306.1656493999999</v>
      </c>
      <c r="K698">
        <v>2400</v>
      </c>
      <c r="L698">
        <v>0</v>
      </c>
      <c r="M698">
        <v>0</v>
      </c>
      <c r="N698">
        <v>2400</v>
      </c>
    </row>
    <row r="699" spans="1:14" x14ac:dyDescent="0.25">
      <c r="A699">
        <v>365.11613</v>
      </c>
      <c r="B699" s="1">
        <f>DATE(2011,5,1) + TIME(2,47,13)</f>
        <v>40664.116122685184</v>
      </c>
      <c r="C699">
        <v>80</v>
      </c>
      <c r="D699">
        <v>58.439685822000001</v>
      </c>
      <c r="E699">
        <v>50</v>
      </c>
      <c r="F699">
        <v>49.853713988999999</v>
      </c>
      <c r="G699">
        <v>1359.3781738</v>
      </c>
      <c r="H699">
        <v>1338.7982178</v>
      </c>
      <c r="I699">
        <v>1322.9179687999999</v>
      </c>
      <c r="J699">
        <v>1303.8194579999999</v>
      </c>
      <c r="K699">
        <v>2400</v>
      </c>
      <c r="L699">
        <v>0</v>
      </c>
      <c r="M699">
        <v>0</v>
      </c>
      <c r="N699">
        <v>2400</v>
      </c>
    </row>
    <row r="700" spans="1:14" x14ac:dyDescent="0.25">
      <c r="A700">
        <v>365.13919900000002</v>
      </c>
      <c r="B700" s="1">
        <f>DATE(2011,5,1) + TIME(3,20,26)</f>
        <v>40664.139189814814</v>
      </c>
      <c r="C700">
        <v>80</v>
      </c>
      <c r="D700">
        <v>59.185741425000003</v>
      </c>
      <c r="E700">
        <v>50</v>
      </c>
      <c r="F700">
        <v>49.846805572999997</v>
      </c>
      <c r="G700">
        <v>1361.4410399999999</v>
      </c>
      <c r="H700">
        <v>1341.0350341999999</v>
      </c>
      <c r="I700">
        <v>1320.9595947</v>
      </c>
      <c r="J700">
        <v>1301.8587646000001</v>
      </c>
      <c r="K700">
        <v>2400</v>
      </c>
      <c r="L700">
        <v>0</v>
      </c>
      <c r="M700">
        <v>0</v>
      </c>
      <c r="N700">
        <v>2400</v>
      </c>
    </row>
    <row r="701" spans="1:14" x14ac:dyDescent="0.25">
      <c r="A701">
        <v>365.16280399999999</v>
      </c>
      <c r="B701" s="1">
        <f>DATE(2011,5,1) + TIME(3,54,26)</f>
        <v>40664.162800925929</v>
      </c>
      <c r="C701">
        <v>80</v>
      </c>
      <c r="D701">
        <v>59.923145294000001</v>
      </c>
      <c r="E701">
        <v>50</v>
      </c>
      <c r="F701">
        <v>49.840240479000002</v>
      </c>
      <c r="G701">
        <v>1363.1922606999999</v>
      </c>
      <c r="H701">
        <v>1342.9638672000001</v>
      </c>
      <c r="I701">
        <v>1319.2697754000001</v>
      </c>
      <c r="J701">
        <v>1300.1660156</v>
      </c>
      <c r="K701">
        <v>2400</v>
      </c>
      <c r="L701">
        <v>0</v>
      </c>
      <c r="M701">
        <v>0</v>
      </c>
      <c r="N701">
        <v>2400</v>
      </c>
    </row>
    <row r="702" spans="1:14" x14ac:dyDescent="0.25">
      <c r="A702">
        <v>365.18695200000002</v>
      </c>
      <c r="B702" s="1">
        <f>DATE(2011,5,1) + TIME(4,29,12)</f>
        <v>40664.186944444446</v>
      </c>
      <c r="C702">
        <v>80</v>
      </c>
      <c r="D702">
        <v>60.650699615000001</v>
      </c>
      <c r="E702">
        <v>50</v>
      </c>
      <c r="F702">
        <v>49.833904265999998</v>
      </c>
      <c r="G702">
        <v>1364.7155762</v>
      </c>
      <c r="H702">
        <v>1344.6662598</v>
      </c>
      <c r="I702">
        <v>1317.7761230000001</v>
      </c>
      <c r="J702">
        <v>1298.6693115</v>
      </c>
      <c r="K702">
        <v>2400</v>
      </c>
      <c r="L702">
        <v>0</v>
      </c>
      <c r="M702">
        <v>0</v>
      </c>
      <c r="N702">
        <v>2400</v>
      </c>
    </row>
    <row r="703" spans="1:14" x14ac:dyDescent="0.25">
      <c r="A703">
        <v>365.211657</v>
      </c>
      <c r="B703" s="1">
        <f>DATE(2011,5,1) + TIME(5,4,47)</f>
        <v>40664.211655092593</v>
      </c>
      <c r="C703">
        <v>80</v>
      </c>
      <c r="D703">
        <v>61.368186950999998</v>
      </c>
      <c r="E703">
        <v>50</v>
      </c>
      <c r="F703">
        <v>49.827728270999998</v>
      </c>
      <c r="G703">
        <v>1366.0657959</v>
      </c>
      <c r="H703">
        <v>1346.1951904</v>
      </c>
      <c r="I703">
        <v>1316.4312743999999</v>
      </c>
      <c r="J703">
        <v>1297.3212891000001</v>
      </c>
      <c r="K703">
        <v>2400</v>
      </c>
      <c r="L703">
        <v>0</v>
      </c>
      <c r="M703">
        <v>0</v>
      </c>
      <c r="N703">
        <v>2400</v>
      </c>
    </row>
    <row r="704" spans="1:14" x14ac:dyDescent="0.25">
      <c r="A704">
        <v>365.23693400000002</v>
      </c>
      <c r="B704" s="1">
        <f>DATE(2011,5,1) + TIME(5,41,11)</f>
        <v>40664.236932870372</v>
      </c>
      <c r="C704">
        <v>80</v>
      </c>
      <c r="D704">
        <v>62.075164794999999</v>
      </c>
      <c r="E704">
        <v>50</v>
      </c>
      <c r="F704">
        <v>49.821655272999998</v>
      </c>
      <c r="G704">
        <v>1367.2806396000001</v>
      </c>
      <c r="H704">
        <v>1347.5867920000001</v>
      </c>
      <c r="I704">
        <v>1315.2027588000001</v>
      </c>
      <c r="J704">
        <v>1296.0897216999999</v>
      </c>
      <c r="K704">
        <v>2400</v>
      </c>
      <c r="L704">
        <v>0</v>
      </c>
      <c r="M704">
        <v>0</v>
      </c>
      <c r="N704">
        <v>2400</v>
      </c>
    </row>
    <row r="705" spans="1:14" x14ac:dyDescent="0.25">
      <c r="A705">
        <v>365.26280500000001</v>
      </c>
      <c r="B705" s="1">
        <f>DATE(2011,5,1) + TIME(6,18,26)</f>
        <v>40664.262800925928</v>
      </c>
      <c r="C705">
        <v>80</v>
      </c>
      <c r="D705">
        <v>62.771255492999998</v>
      </c>
      <c r="E705">
        <v>50</v>
      </c>
      <c r="F705">
        <v>49.815654754999997</v>
      </c>
      <c r="G705">
        <v>1368.3867187999999</v>
      </c>
      <c r="H705">
        <v>1348.8670654</v>
      </c>
      <c r="I705">
        <v>1314.0676269999999</v>
      </c>
      <c r="J705">
        <v>1294.9515381000001</v>
      </c>
      <c r="K705">
        <v>2400</v>
      </c>
      <c r="L705">
        <v>0</v>
      </c>
      <c r="M705">
        <v>0</v>
      </c>
      <c r="N705">
        <v>2400</v>
      </c>
    </row>
    <row r="706" spans="1:14" x14ac:dyDescent="0.25">
      <c r="A706">
        <v>365.28925299999997</v>
      </c>
      <c r="B706" s="1">
        <f>DATE(2011,5,1) + TIME(6,56,31)</f>
        <v>40664.289247685185</v>
      </c>
      <c r="C706">
        <v>80</v>
      </c>
      <c r="D706">
        <v>63.455177307</v>
      </c>
      <c r="E706">
        <v>50</v>
      </c>
      <c r="F706">
        <v>49.809703827</v>
      </c>
      <c r="G706">
        <v>1369.4023437999999</v>
      </c>
      <c r="H706">
        <v>1350.0533447</v>
      </c>
      <c r="I706">
        <v>1313.010376</v>
      </c>
      <c r="J706">
        <v>1293.8914795000001</v>
      </c>
      <c r="K706">
        <v>2400</v>
      </c>
      <c r="L706">
        <v>0</v>
      </c>
      <c r="M706">
        <v>0</v>
      </c>
      <c r="N706">
        <v>2400</v>
      </c>
    </row>
    <row r="707" spans="1:14" x14ac:dyDescent="0.25">
      <c r="A707">
        <v>365.31629099999998</v>
      </c>
      <c r="B707" s="1">
        <f>DATE(2011,5,1) + TIME(7,35,27)</f>
        <v>40664.316284722219</v>
      </c>
      <c r="C707">
        <v>80</v>
      </c>
      <c r="D707">
        <v>64.126487732000001</v>
      </c>
      <c r="E707">
        <v>50</v>
      </c>
      <c r="F707">
        <v>49.803779601999999</v>
      </c>
      <c r="G707">
        <v>1370.3422852000001</v>
      </c>
      <c r="H707">
        <v>1351.1600341999999</v>
      </c>
      <c r="I707">
        <v>1312.0184326000001</v>
      </c>
      <c r="J707">
        <v>1292.8968506000001</v>
      </c>
      <c r="K707">
        <v>2400</v>
      </c>
      <c r="L707">
        <v>0</v>
      </c>
      <c r="M707">
        <v>0</v>
      </c>
      <c r="N707">
        <v>2400</v>
      </c>
    </row>
    <row r="708" spans="1:14" x14ac:dyDescent="0.25">
      <c r="A708">
        <v>365.34394400000002</v>
      </c>
      <c r="B708" s="1">
        <f>DATE(2011,5,1) + TIME(8,15,16)</f>
        <v>40664.343935185185</v>
      </c>
      <c r="C708">
        <v>80</v>
      </c>
      <c r="D708">
        <v>64.784980774000005</v>
      </c>
      <c r="E708">
        <v>50</v>
      </c>
      <c r="F708">
        <v>49.797863006999997</v>
      </c>
      <c r="G708">
        <v>1371.2182617000001</v>
      </c>
      <c r="H708">
        <v>1352.1983643000001</v>
      </c>
      <c r="I708">
        <v>1311.0821533000001</v>
      </c>
      <c r="J708">
        <v>1291.9580077999999</v>
      </c>
      <c r="K708">
        <v>2400</v>
      </c>
      <c r="L708">
        <v>0</v>
      </c>
      <c r="M708">
        <v>0</v>
      </c>
      <c r="N708">
        <v>2400</v>
      </c>
    </row>
    <row r="709" spans="1:14" x14ac:dyDescent="0.25">
      <c r="A709">
        <v>365.37223799999998</v>
      </c>
      <c r="B709" s="1">
        <f>DATE(2011,5,1) + TIME(8,56,1)</f>
        <v>40664.372233796297</v>
      </c>
      <c r="C709">
        <v>80</v>
      </c>
      <c r="D709">
        <v>65.430603027000004</v>
      </c>
      <c r="E709">
        <v>50</v>
      </c>
      <c r="F709">
        <v>49.791946410999998</v>
      </c>
      <c r="G709">
        <v>1372.0391846</v>
      </c>
      <c r="H709">
        <v>1353.1773682</v>
      </c>
      <c r="I709">
        <v>1310.1936035000001</v>
      </c>
      <c r="J709">
        <v>1291.0671387</v>
      </c>
      <c r="K709">
        <v>2400</v>
      </c>
      <c r="L709">
        <v>0</v>
      </c>
      <c r="M709">
        <v>0</v>
      </c>
      <c r="N709">
        <v>2400</v>
      </c>
    </row>
    <row r="710" spans="1:14" x14ac:dyDescent="0.25">
      <c r="A710">
        <v>365.40119800000002</v>
      </c>
      <c r="B710" s="1">
        <f>DATE(2011,5,1) + TIME(9,37,43)</f>
        <v>40664.401192129626</v>
      </c>
      <c r="C710">
        <v>80</v>
      </c>
      <c r="D710">
        <v>66.063110351999995</v>
      </c>
      <c r="E710">
        <v>50</v>
      </c>
      <c r="F710">
        <v>49.786014557000001</v>
      </c>
      <c r="G710">
        <v>1372.8125</v>
      </c>
      <c r="H710">
        <v>1354.104126</v>
      </c>
      <c r="I710">
        <v>1309.3470459</v>
      </c>
      <c r="J710">
        <v>1290.2183838000001</v>
      </c>
      <c r="K710">
        <v>2400</v>
      </c>
      <c r="L710">
        <v>0</v>
      </c>
      <c r="M710">
        <v>0</v>
      </c>
      <c r="N710">
        <v>2400</v>
      </c>
    </row>
    <row r="711" spans="1:14" x14ac:dyDescent="0.25">
      <c r="A711">
        <v>365.43085500000001</v>
      </c>
      <c r="B711" s="1">
        <f>DATE(2011,5,1) + TIME(10,20,25)</f>
        <v>40664.430844907409</v>
      </c>
      <c r="C711">
        <v>80</v>
      </c>
      <c r="D711">
        <v>66.682350158999995</v>
      </c>
      <c r="E711">
        <v>50</v>
      </c>
      <c r="F711">
        <v>49.780052185000002</v>
      </c>
      <c r="G711">
        <v>1373.5440673999999</v>
      </c>
      <c r="H711">
        <v>1354.9846190999999</v>
      </c>
      <c r="I711">
        <v>1308.5373535000001</v>
      </c>
      <c r="J711">
        <v>1289.4067382999999</v>
      </c>
      <c r="K711">
        <v>2400</v>
      </c>
      <c r="L711">
        <v>0</v>
      </c>
      <c r="M711">
        <v>0</v>
      </c>
      <c r="N711">
        <v>2400</v>
      </c>
    </row>
    <row r="712" spans="1:14" x14ac:dyDescent="0.25">
      <c r="A712">
        <v>365.46124800000001</v>
      </c>
      <c r="B712" s="1">
        <f>DATE(2011,5,1) + TIME(11,4,11)</f>
        <v>40664.461238425924</v>
      </c>
      <c r="C712">
        <v>80</v>
      </c>
      <c r="D712">
        <v>67.288307189999998</v>
      </c>
      <c r="E712">
        <v>50</v>
      </c>
      <c r="F712">
        <v>49.774051665999998</v>
      </c>
      <c r="G712">
        <v>1374.2387695</v>
      </c>
      <c r="H712">
        <v>1355.8237305</v>
      </c>
      <c r="I712">
        <v>1307.7604980000001</v>
      </c>
      <c r="J712">
        <v>1288.6280518000001</v>
      </c>
      <c r="K712">
        <v>2400</v>
      </c>
      <c r="L712">
        <v>0</v>
      </c>
      <c r="M712">
        <v>0</v>
      </c>
      <c r="N712">
        <v>2400</v>
      </c>
    </row>
    <row r="713" spans="1:14" x14ac:dyDescent="0.25">
      <c r="A713">
        <v>365.492392</v>
      </c>
      <c r="B713" s="1">
        <f>DATE(2011,5,1) + TIME(11,49,2)</f>
        <v>40664.492384259262</v>
      </c>
      <c r="C713">
        <v>80</v>
      </c>
      <c r="D713">
        <v>67.880508422999995</v>
      </c>
      <c r="E713">
        <v>50</v>
      </c>
      <c r="F713">
        <v>49.768005371000001</v>
      </c>
      <c r="G713">
        <v>1374.9003906</v>
      </c>
      <c r="H713">
        <v>1356.6252440999999</v>
      </c>
      <c r="I713">
        <v>1307.0136719</v>
      </c>
      <c r="J713">
        <v>1287.8795166</v>
      </c>
      <c r="K713">
        <v>2400</v>
      </c>
      <c r="L713">
        <v>0</v>
      </c>
      <c r="M713">
        <v>0</v>
      </c>
      <c r="N713">
        <v>2400</v>
      </c>
    </row>
    <row r="714" spans="1:14" x14ac:dyDescent="0.25">
      <c r="A714">
        <v>365.52429899999998</v>
      </c>
      <c r="B714" s="1">
        <f>DATE(2011,5,1) + TIME(12,34,59)</f>
        <v>40664.524293981478</v>
      </c>
      <c r="C714">
        <v>80</v>
      </c>
      <c r="D714">
        <v>68.458450317</v>
      </c>
      <c r="E714">
        <v>50</v>
      </c>
      <c r="F714">
        <v>49.761913300000003</v>
      </c>
      <c r="G714">
        <v>1375.5319824000001</v>
      </c>
      <c r="H714">
        <v>1357.3920897999999</v>
      </c>
      <c r="I714">
        <v>1306.2945557</v>
      </c>
      <c r="J714">
        <v>1287.1585693</v>
      </c>
      <c r="K714">
        <v>2400</v>
      </c>
      <c r="L714">
        <v>0</v>
      </c>
      <c r="M714">
        <v>0</v>
      </c>
      <c r="N714">
        <v>2400</v>
      </c>
    </row>
    <row r="715" spans="1:14" x14ac:dyDescent="0.25">
      <c r="A715">
        <v>365.55701099999999</v>
      </c>
      <c r="B715" s="1">
        <f>DATE(2011,5,1) + TIME(13,22,5)</f>
        <v>40664.557002314818</v>
      </c>
      <c r="C715">
        <v>80</v>
      </c>
      <c r="D715">
        <v>69.022140503000003</v>
      </c>
      <c r="E715">
        <v>50</v>
      </c>
      <c r="F715">
        <v>49.755764008</v>
      </c>
      <c r="G715">
        <v>1376.1365966999999</v>
      </c>
      <c r="H715">
        <v>1358.1273193</v>
      </c>
      <c r="I715">
        <v>1305.6004639</v>
      </c>
      <c r="J715">
        <v>1286.4630127</v>
      </c>
      <c r="K715">
        <v>2400</v>
      </c>
      <c r="L715">
        <v>0</v>
      </c>
      <c r="M715">
        <v>0</v>
      </c>
      <c r="N715">
        <v>2400</v>
      </c>
    </row>
    <row r="716" spans="1:14" x14ac:dyDescent="0.25">
      <c r="A716">
        <v>365.59057100000001</v>
      </c>
      <c r="B716" s="1">
        <f>DATE(2011,5,1) + TIME(14,10,25)</f>
        <v>40664.590567129628</v>
      </c>
      <c r="C716">
        <v>80</v>
      </c>
      <c r="D716">
        <v>69.571578978999995</v>
      </c>
      <c r="E716">
        <v>50</v>
      </c>
      <c r="F716">
        <v>49.749549866000002</v>
      </c>
      <c r="G716">
        <v>1376.7165527</v>
      </c>
      <c r="H716">
        <v>1358.8338623</v>
      </c>
      <c r="I716">
        <v>1304.9293213000001</v>
      </c>
      <c r="J716">
        <v>1285.7902832</v>
      </c>
      <c r="K716">
        <v>2400</v>
      </c>
      <c r="L716">
        <v>0</v>
      </c>
      <c r="M716">
        <v>0</v>
      </c>
      <c r="N716">
        <v>2400</v>
      </c>
    </row>
    <row r="717" spans="1:14" x14ac:dyDescent="0.25">
      <c r="A717">
        <v>365.625023</v>
      </c>
      <c r="B717" s="1">
        <f>DATE(2011,5,1) + TIME(15,0,2)</f>
        <v>40664.625023148146</v>
      </c>
      <c r="C717">
        <v>80</v>
      </c>
      <c r="D717">
        <v>70.106658936000002</v>
      </c>
      <c r="E717">
        <v>50</v>
      </c>
      <c r="F717">
        <v>49.743259430000002</v>
      </c>
      <c r="G717">
        <v>1377.2744141000001</v>
      </c>
      <c r="H717">
        <v>1359.5137939000001</v>
      </c>
      <c r="I717">
        <v>1304.2791748</v>
      </c>
      <c r="J717">
        <v>1285.1387939000001</v>
      </c>
      <c r="K717">
        <v>2400</v>
      </c>
      <c r="L717">
        <v>0</v>
      </c>
      <c r="M717">
        <v>0</v>
      </c>
      <c r="N717">
        <v>2400</v>
      </c>
    </row>
    <row r="718" spans="1:14" x14ac:dyDescent="0.25">
      <c r="A718">
        <v>365.66041999999999</v>
      </c>
      <c r="B718" s="1">
        <f>DATE(2011,5,1) + TIME(15,51,0)</f>
        <v>40664.660416666666</v>
      </c>
      <c r="C718">
        <v>80</v>
      </c>
      <c r="D718">
        <v>70.627166747999993</v>
      </c>
      <c r="E718">
        <v>50</v>
      </c>
      <c r="F718">
        <v>49.736885071000003</v>
      </c>
      <c r="G718">
        <v>1377.8121338000001</v>
      </c>
      <c r="H718">
        <v>1360.1694336</v>
      </c>
      <c r="I718">
        <v>1303.6484375</v>
      </c>
      <c r="J718">
        <v>1284.5067139</v>
      </c>
      <c r="K718">
        <v>2400</v>
      </c>
      <c r="L718">
        <v>0</v>
      </c>
      <c r="M718">
        <v>0</v>
      </c>
      <c r="N718">
        <v>2400</v>
      </c>
    </row>
    <row r="719" spans="1:14" x14ac:dyDescent="0.25">
      <c r="A719">
        <v>365.69681400000002</v>
      </c>
      <c r="B719" s="1">
        <f>DATE(2011,5,1) + TIME(16,43,24)</f>
        <v>40664.696805555555</v>
      </c>
      <c r="C719">
        <v>80</v>
      </c>
      <c r="D719">
        <v>71.133384704999997</v>
      </c>
      <c r="E719">
        <v>50</v>
      </c>
      <c r="F719">
        <v>49.730419159</v>
      </c>
      <c r="G719">
        <v>1378.3312988</v>
      </c>
      <c r="H719">
        <v>1360.8026123</v>
      </c>
      <c r="I719">
        <v>1303.0355225000001</v>
      </c>
      <c r="J719">
        <v>1283.8924560999999</v>
      </c>
      <c r="K719">
        <v>2400</v>
      </c>
      <c r="L719">
        <v>0</v>
      </c>
      <c r="M719">
        <v>0</v>
      </c>
      <c r="N719">
        <v>2400</v>
      </c>
    </row>
    <row r="720" spans="1:14" x14ac:dyDescent="0.25">
      <c r="A720">
        <v>365.73426699999999</v>
      </c>
      <c r="B720" s="1">
        <f>DATE(2011,5,1) + TIME(17,37,20)</f>
        <v>40664.734259259261</v>
      </c>
      <c r="C720">
        <v>80</v>
      </c>
      <c r="D720">
        <v>71.625297545999999</v>
      </c>
      <c r="E720">
        <v>50</v>
      </c>
      <c r="F720">
        <v>49.723854064999998</v>
      </c>
      <c r="G720">
        <v>1378.8334961</v>
      </c>
      <c r="H720">
        <v>1361.4150391000001</v>
      </c>
      <c r="I720">
        <v>1302.4392089999999</v>
      </c>
      <c r="J720">
        <v>1283.2949219</v>
      </c>
      <c r="K720">
        <v>2400</v>
      </c>
      <c r="L720">
        <v>0</v>
      </c>
      <c r="M720">
        <v>0</v>
      </c>
      <c r="N720">
        <v>2400</v>
      </c>
    </row>
    <row r="721" spans="1:14" x14ac:dyDescent="0.25">
      <c r="A721">
        <v>365.77284200000003</v>
      </c>
      <c r="B721" s="1">
        <f>DATE(2011,5,1) + TIME(18,32,53)</f>
        <v>40664.772835648146</v>
      </c>
      <c r="C721">
        <v>80</v>
      </c>
      <c r="D721">
        <v>72.102920531999999</v>
      </c>
      <c r="E721">
        <v>50</v>
      </c>
      <c r="F721">
        <v>49.717178345000001</v>
      </c>
      <c r="G721">
        <v>1379.3201904</v>
      </c>
      <c r="H721">
        <v>1362.0080565999999</v>
      </c>
      <c r="I721">
        <v>1301.8581543</v>
      </c>
      <c r="J721">
        <v>1282.7126464999999</v>
      </c>
      <c r="K721">
        <v>2400</v>
      </c>
      <c r="L721">
        <v>0</v>
      </c>
      <c r="M721">
        <v>0</v>
      </c>
      <c r="N721">
        <v>2400</v>
      </c>
    </row>
    <row r="722" spans="1:14" x14ac:dyDescent="0.25">
      <c r="A722">
        <v>365.812611</v>
      </c>
      <c r="B722" s="1">
        <f>DATE(2011,5,1) + TIME(19,30,9)</f>
        <v>40664.812604166669</v>
      </c>
      <c r="C722">
        <v>80</v>
      </c>
      <c r="D722">
        <v>72.566238403</v>
      </c>
      <c r="E722">
        <v>50</v>
      </c>
      <c r="F722">
        <v>49.710380553999997</v>
      </c>
      <c r="G722">
        <v>1379.7924805</v>
      </c>
      <c r="H722">
        <v>1362.5831298999999</v>
      </c>
      <c r="I722">
        <v>1301.2915039</v>
      </c>
      <c r="J722">
        <v>1282.1447754000001</v>
      </c>
      <c r="K722">
        <v>2400</v>
      </c>
      <c r="L722">
        <v>0</v>
      </c>
      <c r="M722">
        <v>0</v>
      </c>
      <c r="N722">
        <v>2400</v>
      </c>
    </row>
    <row r="723" spans="1:14" x14ac:dyDescent="0.25">
      <c r="A723">
        <v>365.85366399999998</v>
      </c>
      <c r="B723" s="1">
        <f>DATE(2011,5,1) + TIME(20,29,16)</f>
        <v>40664.85365740741</v>
      </c>
      <c r="C723">
        <v>80</v>
      </c>
      <c r="D723">
        <v>73.015396117999998</v>
      </c>
      <c r="E723">
        <v>50</v>
      </c>
      <c r="F723">
        <v>49.703449249000002</v>
      </c>
      <c r="G723">
        <v>1380.2515868999999</v>
      </c>
      <c r="H723">
        <v>1363.1416016000001</v>
      </c>
      <c r="I723">
        <v>1300.7379149999999</v>
      </c>
      <c r="J723">
        <v>1281.5899658000001</v>
      </c>
      <c r="K723">
        <v>2400</v>
      </c>
      <c r="L723">
        <v>0</v>
      </c>
      <c r="M723">
        <v>0</v>
      </c>
      <c r="N723">
        <v>2400</v>
      </c>
    </row>
    <row r="724" spans="1:14" x14ac:dyDescent="0.25">
      <c r="A724">
        <v>365.89608500000003</v>
      </c>
      <c r="B724" s="1">
        <f>DATE(2011,5,1) + TIME(21,30,21)</f>
        <v>40664.89607638889</v>
      </c>
      <c r="C724">
        <v>80</v>
      </c>
      <c r="D724">
        <v>73.450340271000002</v>
      </c>
      <c r="E724">
        <v>50</v>
      </c>
      <c r="F724">
        <v>49.696372986</v>
      </c>
      <c r="G724">
        <v>1380.6984863</v>
      </c>
      <c r="H724">
        <v>1363.6844481999999</v>
      </c>
      <c r="I724">
        <v>1300.1965332</v>
      </c>
      <c r="J724">
        <v>1281.0476074000001</v>
      </c>
      <c r="K724">
        <v>2400</v>
      </c>
      <c r="L724">
        <v>0</v>
      </c>
      <c r="M724">
        <v>0</v>
      </c>
      <c r="N724">
        <v>2400</v>
      </c>
    </row>
    <row r="725" spans="1:14" x14ac:dyDescent="0.25">
      <c r="A725">
        <v>365.93995899999999</v>
      </c>
      <c r="B725" s="1">
        <f>DATE(2011,5,1) + TIME(22,33,32)</f>
        <v>40664.939953703702</v>
      </c>
      <c r="C725">
        <v>80</v>
      </c>
      <c r="D725">
        <v>73.870994568</v>
      </c>
      <c r="E725">
        <v>50</v>
      </c>
      <c r="F725">
        <v>49.68914032</v>
      </c>
      <c r="G725">
        <v>1381.1340332</v>
      </c>
      <c r="H725">
        <v>1364.2126464999999</v>
      </c>
      <c r="I725">
        <v>1299.6667480000001</v>
      </c>
      <c r="J725">
        <v>1280.5167236</v>
      </c>
      <c r="K725">
        <v>2400</v>
      </c>
      <c r="L725">
        <v>0</v>
      </c>
      <c r="M725">
        <v>0</v>
      </c>
      <c r="N725">
        <v>2400</v>
      </c>
    </row>
    <row r="726" spans="1:14" x14ac:dyDescent="0.25">
      <c r="A726">
        <v>365.98539099999999</v>
      </c>
      <c r="B726" s="1">
        <f>DATE(2011,5,1) + TIME(23,38,57)</f>
        <v>40664.985381944447</v>
      </c>
      <c r="C726">
        <v>80</v>
      </c>
      <c r="D726">
        <v>74.277359008999994</v>
      </c>
      <c r="E726">
        <v>50</v>
      </c>
      <c r="F726">
        <v>49.681735992</v>
      </c>
      <c r="G726">
        <v>1381.5589600000001</v>
      </c>
      <c r="H726">
        <v>1364.7271728999999</v>
      </c>
      <c r="I726">
        <v>1299.1478271000001</v>
      </c>
      <c r="J726">
        <v>1279.9967041</v>
      </c>
      <c r="K726">
        <v>2400</v>
      </c>
      <c r="L726">
        <v>0</v>
      </c>
      <c r="M726">
        <v>0</v>
      </c>
      <c r="N726">
        <v>2400</v>
      </c>
    </row>
    <row r="727" spans="1:14" x14ac:dyDescent="0.25">
      <c r="A727">
        <v>366.03249799999998</v>
      </c>
      <c r="B727" s="1">
        <f>DATE(2011,5,2) + TIME(0,46,47)</f>
        <v>40665.032488425924</v>
      </c>
      <c r="C727">
        <v>80</v>
      </c>
      <c r="D727">
        <v>74.669433593999997</v>
      </c>
      <c r="E727">
        <v>50</v>
      </c>
      <c r="F727">
        <v>49.674152374000002</v>
      </c>
      <c r="G727">
        <v>1381.973999</v>
      </c>
      <c r="H727">
        <v>1365.2288818</v>
      </c>
      <c r="I727">
        <v>1298.6389160000001</v>
      </c>
      <c r="J727">
        <v>1279.4866943</v>
      </c>
      <c r="K727">
        <v>2400</v>
      </c>
      <c r="L727">
        <v>0</v>
      </c>
      <c r="M727">
        <v>0</v>
      </c>
      <c r="N727">
        <v>2400</v>
      </c>
    </row>
    <row r="728" spans="1:14" x14ac:dyDescent="0.25">
      <c r="A728">
        <v>366.08140800000001</v>
      </c>
      <c r="B728" s="1">
        <f>DATE(2011,5,2) + TIME(1,57,13)</f>
        <v>40665.081400462965</v>
      </c>
      <c r="C728">
        <v>80</v>
      </c>
      <c r="D728">
        <v>75.047195435000006</v>
      </c>
      <c r="E728">
        <v>50</v>
      </c>
      <c r="F728">
        <v>49.666362761999999</v>
      </c>
      <c r="G728">
        <v>1382.3798827999999</v>
      </c>
      <c r="H728">
        <v>1365.7185059000001</v>
      </c>
      <c r="I728">
        <v>1298.1394043</v>
      </c>
      <c r="J728">
        <v>1278.9862060999999</v>
      </c>
      <c r="K728">
        <v>2400</v>
      </c>
      <c r="L728">
        <v>0</v>
      </c>
      <c r="M728">
        <v>0</v>
      </c>
      <c r="N728">
        <v>2400</v>
      </c>
    </row>
    <row r="729" spans="1:14" x14ac:dyDescent="0.25">
      <c r="A729">
        <v>366.13226400000002</v>
      </c>
      <c r="B729" s="1">
        <f>DATE(2011,5,2) + TIME(3,10,27)</f>
        <v>40665.132256944446</v>
      </c>
      <c r="C729">
        <v>80</v>
      </c>
      <c r="D729">
        <v>75.410438537999994</v>
      </c>
      <c r="E729">
        <v>50</v>
      </c>
      <c r="F729">
        <v>49.658359527999998</v>
      </c>
      <c r="G729">
        <v>1382.7772216999999</v>
      </c>
      <c r="H729">
        <v>1366.1966553</v>
      </c>
      <c r="I729">
        <v>1297.6486815999999</v>
      </c>
      <c r="J729">
        <v>1278.4945068</v>
      </c>
      <c r="K729">
        <v>2400</v>
      </c>
      <c r="L729">
        <v>0</v>
      </c>
      <c r="M729">
        <v>0</v>
      </c>
      <c r="N729">
        <v>2400</v>
      </c>
    </row>
    <row r="730" spans="1:14" x14ac:dyDescent="0.25">
      <c r="A730">
        <v>366.18522899999999</v>
      </c>
      <c r="B730" s="1">
        <f>DATE(2011,5,2) + TIME(4,26,43)</f>
        <v>40665.185219907406</v>
      </c>
      <c r="C730">
        <v>80</v>
      </c>
      <c r="D730">
        <v>75.759407042999996</v>
      </c>
      <c r="E730">
        <v>50</v>
      </c>
      <c r="F730">
        <v>49.650115966999998</v>
      </c>
      <c r="G730">
        <v>1383.166626</v>
      </c>
      <c r="H730">
        <v>1366.6644286999999</v>
      </c>
      <c r="I730">
        <v>1297.1662598</v>
      </c>
      <c r="J730">
        <v>1278.0108643000001</v>
      </c>
      <c r="K730">
        <v>2400</v>
      </c>
      <c r="L730">
        <v>0</v>
      </c>
      <c r="M730">
        <v>0</v>
      </c>
      <c r="N730">
        <v>2400</v>
      </c>
    </row>
    <row r="731" spans="1:14" x14ac:dyDescent="0.25">
      <c r="A731">
        <v>366.24048399999998</v>
      </c>
      <c r="B731" s="1">
        <f>DATE(2011,5,2) + TIME(5,46,17)</f>
        <v>40665.240474537037</v>
      </c>
      <c r="C731">
        <v>80</v>
      </c>
      <c r="D731">
        <v>76.094085692999997</v>
      </c>
      <c r="E731">
        <v>50</v>
      </c>
      <c r="F731">
        <v>49.641609191999997</v>
      </c>
      <c r="G731">
        <v>1383.5487060999999</v>
      </c>
      <c r="H731">
        <v>1367.1220702999999</v>
      </c>
      <c r="I731">
        <v>1296.6912841999999</v>
      </c>
      <c r="J731">
        <v>1277.5349120999999</v>
      </c>
      <c r="K731">
        <v>2400</v>
      </c>
      <c r="L731">
        <v>0</v>
      </c>
      <c r="M731">
        <v>0</v>
      </c>
      <c r="N731">
        <v>2400</v>
      </c>
    </row>
    <row r="732" spans="1:14" x14ac:dyDescent="0.25">
      <c r="A732">
        <v>366.29823499999998</v>
      </c>
      <c r="B732" s="1">
        <f>DATE(2011,5,2) + TIME(7,9,27)</f>
        <v>40665.298229166663</v>
      </c>
      <c r="C732">
        <v>80</v>
      </c>
      <c r="D732">
        <v>76.414497374999996</v>
      </c>
      <c r="E732">
        <v>50</v>
      </c>
      <c r="F732">
        <v>49.632823944000002</v>
      </c>
      <c r="G732">
        <v>1383.9238281</v>
      </c>
      <c r="H732">
        <v>1367.5704346</v>
      </c>
      <c r="I732">
        <v>1296.2233887</v>
      </c>
      <c r="J732">
        <v>1277.0660399999999</v>
      </c>
      <c r="K732">
        <v>2400</v>
      </c>
      <c r="L732">
        <v>0</v>
      </c>
      <c r="M732">
        <v>0</v>
      </c>
      <c r="N732">
        <v>2400</v>
      </c>
    </row>
    <row r="733" spans="1:14" x14ac:dyDescent="0.25">
      <c r="A733">
        <v>366.35872599999999</v>
      </c>
      <c r="B733" s="1">
        <f>DATE(2011,5,2) + TIME(8,36,33)</f>
        <v>40665.358715277776</v>
      </c>
      <c r="C733">
        <v>80</v>
      </c>
      <c r="D733">
        <v>76.720687866000006</v>
      </c>
      <c r="E733">
        <v>50</v>
      </c>
      <c r="F733">
        <v>49.623718261999997</v>
      </c>
      <c r="G733">
        <v>1384.2926024999999</v>
      </c>
      <c r="H733">
        <v>1368.0102539</v>
      </c>
      <c r="I733">
        <v>1295.7619629000001</v>
      </c>
      <c r="J733">
        <v>1276.6036377</v>
      </c>
      <c r="K733">
        <v>2400</v>
      </c>
      <c r="L733">
        <v>0</v>
      </c>
      <c r="M733">
        <v>0</v>
      </c>
      <c r="N733">
        <v>2400</v>
      </c>
    </row>
    <row r="734" spans="1:14" x14ac:dyDescent="0.25">
      <c r="A734">
        <v>366.422259</v>
      </c>
      <c r="B734" s="1">
        <f>DATE(2011,5,2) + TIME(10,8,3)</f>
        <v>40665.422256944446</v>
      </c>
      <c r="C734">
        <v>80</v>
      </c>
      <c r="D734">
        <v>77.012802124000004</v>
      </c>
      <c r="E734">
        <v>50</v>
      </c>
      <c r="F734">
        <v>49.614265441999997</v>
      </c>
      <c r="G734">
        <v>1384.6557617000001</v>
      </c>
      <c r="H734">
        <v>1368.4421387</v>
      </c>
      <c r="I734">
        <v>1295.3063964999999</v>
      </c>
      <c r="J734">
        <v>1276.1469727000001</v>
      </c>
      <c r="K734">
        <v>2400</v>
      </c>
      <c r="L734">
        <v>0</v>
      </c>
      <c r="M734">
        <v>0</v>
      </c>
      <c r="N734">
        <v>2400</v>
      </c>
    </row>
    <row r="735" spans="1:14" x14ac:dyDescent="0.25">
      <c r="A735">
        <v>366.48910799999999</v>
      </c>
      <c r="B735" s="1">
        <f>DATE(2011,5,2) + TIME(11,44,18)</f>
        <v>40665.48909722222</v>
      </c>
      <c r="C735">
        <v>80</v>
      </c>
      <c r="D735">
        <v>77.290679932000003</v>
      </c>
      <c r="E735">
        <v>50</v>
      </c>
      <c r="F735">
        <v>49.604434967000003</v>
      </c>
      <c r="G735">
        <v>1385.0134277</v>
      </c>
      <c r="H735">
        <v>1368.8664550999999</v>
      </c>
      <c r="I735">
        <v>1294.8562012</v>
      </c>
      <c r="J735">
        <v>1275.6958007999999</v>
      </c>
      <c r="K735">
        <v>2400</v>
      </c>
      <c r="L735">
        <v>0</v>
      </c>
      <c r="M735">
        <v>0</v>
      </c>
      <c r="N735">
        <v>2400</v>
      </c>
    </row>
    <row r="736" spans="1:14" x14ac:dyDescent="0.25">
      <c r="A736">
        <v>366.55963500000001</v>
      </c>
      <c r="B736" s="1">
        <f>DATE(2011,5,2) + TIME(13,25,52)</f>
        <v>40665.559629629628</v>
      </c>
      <c r="C736">
        <v>80</v>
      </c>
      <c r="D736">
        <v>77.554321289000001</v>
      </c>
      <c r="E736">
        <v>50</v>
      </c>
      <c r="F736">
        <v>49.594177246000001</v>
      </c>
      <c r="G736">
        <v>1385.3660889</v>
      </c>
      <c r="H736">
        <v>1369.2836914</v>
      </c>
      <c r="I736">
        <v>1294.4111327999999</v>
      </c>
      <c r="J736">
        <v>1275.2497559000001</v>
      </c>
      <c r="K736">
        <v>2400</v>
      </c>
      <c r="L736">
        <v>0</v>
      </c>
      <c r="M736">
        <v>0</v>
      </c>
      <c r="N736">
        <v>2400</v>
      </c>
    </row>
    <row r="737" spans="1:14" x14ac:dyDescent="0.25">
      <c r="A737">
        <v>366.63426099999998</v>
      </c>
      <c r="B737" s="1">
        <f>DATE(2011,5,2) + TIME(15,13,20)</f>
        <v>40665.634259259263</v>
      </c>
      <c r="C737">
        <v>80</v>
      </c>
      <c r="D737">
        <v>77.803764342999997</v>
      </c>
      <c r="E737">
        <v>50</v>
      </c>
      <c r="F737">
        <v>49.583450317</v>
      </c>
      <c r="G737">
        <v>1385.7141113</v>
      </c>
      <c r="H737">
        <v>1369.6945800999999</v>
      </c>
      <c r="I737">
        <v>1293.9707031</v>
      </c>
      <c r="J737">
        <v>1274.8082274999999</v>
      </c>
      <c r="K737">
        <v>2400</v>
      </c>
      <c r="L737">
        <v>0</v>
      </c>
      <c r="M737">
        <v>0</v>
      </c>
      <c r="N737">
        <v>2400</v>
      </c>
    </row>
    <row r="738" spans="1:14" x14ac:dyDescent="0.25">
      <c r="A738">
        <v>366.713483</v>
      </c>
      <c r="B738" s="1">
        <f>DATE(2011,5,2) + TIME(17,7,24)</f>
        <v>40665.713472222225</v>
      </c>
      <c r="C738">
        <v>80</v>
      </c>
      <c r="D738">
        <v>78.039016724000007</v>
      </c>
      <c r="E738">
        <v>50</v>
      </c>
      <c r="F738">
        <v>49.572196959999999</v>
      </c>
      <c r="G738">
        <v>1386.0579834</v>
      </c>
      <c r="H738">
        <v>1370.0993652</v>
      </c>
      <c r="I738">
        <v>1293.5345459</v>
      </c>
      <c r="J738">
        <v>1274.3708495999999</v>
      </c>
      <c r="K738">
        <v>2400</v>
      </c>
      <c r="L738">
        <v>0</v>
      </c>
      <c r="M738">
        <v>0</v>
      </c>
      <c r="N738">
        <v>2400</v>
      </c>
    </row>
    <row r="739" spans="1:14" x14ac:dyDescent="0.25">
      <c r="A739">
        <v>366.79786999999999</v>
      </c>
      <c r="B739" s="1">
        <f>DATE(2011,5,2) + TIME(19,8,55)</f>
        <v>40665.797858796293</v>
      </c>
      <c r="C739">
        <v>80</v>
      </c>
      <c r="D739">
        <v>78.260070800999998</v>
      </c>
      <c r="E739">
        <v>50</v>
      </c>
      <c r="F739">
        <v>49.560352324999997</v>
      </c>
      <c r="G739">
        <v>1386.3979492000001</v>
      </c>
      <c r="H739">
        <v>1370.4986572</v>
      </c>
      <c r="I739">
        <v>1293.1020507999999</v>
      </c>
      <c r="J739">
        <v>1273.9373779</v>
      </c>
      <c r="K739">
        <v>2400</v>
      </c>
      <c r="L739">
        <v>0</v>
      </c>
      <c r="M739">
        <v>0</v>
      </c>
      <c r="N739">
        <v>2400</v>
      </c>
    </row>
    <row r="740" spans="1:14" x14ac:dyDescent="0.25">
      <c r="A740">
        <v>366.88814600000001</v>
      </c>
      <c r="B740" s="1">
        <f>DATE(2011,5,2) + TIME(21,18,55)</f>
        <v>40665.888136574074</v>
      </c>
      <c r="C740">
        <v>80</v>
      </c>
      <c r="D740">
        <v>78.466995238999999</v>
      </c>
      <c r="E740">
        <v>50</v>
      </c>
      <c r="F740">
        <v>49.547836304</v>
      </c>
      <c r="G740">
        <v>1386.734375</v>
      </c>
      <c r="H740">
        <v>1370.8930664</v>
      </c>
      <c r="I740">
        <v>1292.6730957</v>
      </c>
      <c r="J740">
        <v>1273.5072021000001</v>
      </c>
      <c r="K740">
        <v>2400</v>
      </c>
      <c r="L740">
        <v>0</v>
      </c>
      <c r="M740">
        <v>0</v>
      </c>
      <c r="N740">
        <v>2400</v>
      </c>
    </row>
    <row r="741" spans="1:14" x14ac:dyDescent="0.25">
      <c r="A741">
        <v>366.98316199999999</v>
      </c>
      <c r="B741" s="1">
        <f>DATE(2011,5,2) + TIME(23,35,45)</f>
        <v>40665.983159722222</v>
      </c>
      <c r="C741">
        <v>80</v>
      </c>
      <c r="D741">
        <v>78.656356811999999</v>
      </c>
      <c r="E741">
        <v>50</v>
      </c>
      <c r="F741">
        <v>49.534801483000003</v>
      </c>
      <c r="G741">
        <v>1387.0610352000001</v>
      </c>
      <c r="H741">
        <v>1371.2750243999999</v>
      </c>
      <c r="I741">
        <v>1292.2551269999999</v>
      </c>
      <c r="J741">
        <v>1273.0881348</v>
      </c>
      <c r="K741">
        <v>2400</v>
      </c>
      <c r="L741">
        <v>0</v>
      </c>
      <c r="M741">
        <v>0</v>
      </c>
      <c r="N741">
        <v>2400</v>
      </c>
    </row>
    <row r="742" spans="1:14" x14ac:dyDescent="0.25">
      <c r="A742">
        <v>367.07870600000001</v>
      </c>
      <c r="B742" s="1">
        <f>DATE(2011,5,3) + TIME(1,53,20)</f>
        <v>40666.078703703701</v>
      </c>
      <c r="C742">
        <v>80</v>
      </c>
      <c r="D742">
        <v>78.821830750000004</v>
      </c>
      <c r="E742">
        <v>50</v>
      </c>
      <c r="F742">
        <v>49.521762848000002</v>
      </c>
      <c r="G742">
        <v>1387.3632812000001</v>
      </c>
      <c r="H742">
        <v>1371.6279297000001</v>
      </c>
      <c r="I742">
        <v>1291.8657227000001</v>
      </c>
      <c r="J742">
        <v>1272.6976318</v>
      </c>
      <c r="K742">
        <v>2400</v>
      </c>
      <c r="L742">
        <v>0</v>
      </c>
      <c r="M742">
        <v>0</v>
      </c>
      <c r="N742">
        <v>2400</v>
      </c>
    </row>
    <row r="743" spans="1:14" x14ac:dyDescent="0.25">
      <c r="A743">
        <v>367.17514199999999</v>
      </c>
      <c r="B743" s="1">
        <f>DATE(2011,5,3) + TIME(4,12,12)</f>
        <v>40666.175138888888</v>
      </c>
      <c r="C743">
        <v>80</v>
      </c>
      <c r="D743">
        <v>78.966812133999994</v>
      </c>
      <c r="E743">
        <v>50</v>
      </c>
      <c r="F743">
        <v>49.508674622000001</v>
      </c>
      <c r="G743">
        <v>1387.6446533000001</v>
      </c>
      <c r="H743">
        <v>1371.9562988</v>
      </c>
      <c r="I743">
        <v>1291.5014647999999</v>
      </c>
      <c r="J743">
        <v>1272.3322754000001</v>
      </c>
      <c r="K743">
        <v>2400</v>
      </c>
      <c r="L743">
        <v>0</v>
      </c>
      <c r="M743">
        <v>0</v>
      </c>
      <c r="N743">
        <v>2400</v>
      </c>
    </row>
    <row r="744" spans="1:14" x14ac:dyDescent="0.25">
      <c r="A744">
        <v>367.27266700000001</v>
      </c>
      <c r="B744" s="1">
        <f>DATE(2011,5,3) + TIME(6,32,38)</f>
        <v>40666.272662037038</v>
      </c>
      <c r="C744">
        <v>80</v>
      </c>
      <c r="D744">
        <v>79.093933105000005</v>
      </c>
      <c r="E744">
        <v>50</v>
      </c>
      <c r="F744">
        <v>49.495510101000001</v>
      </c>
      <c r="G744">
        <v>1387.9073486</v>
      </c>
      <c r="H744">
        <v>1372.2630615</v>
      </c>
      <c r="I744">
        <v>1291.1599120999999</v>
      </c>
      <c r="J744">
        <v>1271.9897461</v>
      </c>
      <c r="K744">
        <v>2400</v>
      </c>
      <c r="L744">
        <v>0</v>
      </c>
      <c r="M744">
        <v>0</v>
      </c>
      <c r="N744">
        <v>2400</v>
      </c>
    </row>
    <row r="745" spans="1:14" x14ac:dyDescent="0.25">
      <c r="A745">
        <v>367.37123700000001</v>
      </c>
      <c r="B745" s="1">
        <f>DATE(2011,5,3) + TIME(8,54,34)</f>
        <v>40666.37122685185</v>
      </c>
      <c r="C745">
        <v>80</v>
      </c>
      <c r="D745">
        <v>79.205200195000003</v>
      </c>
      <c r="E745">
        <v>50</v>
      </c>
      <c r="F745">
        <v>49.482276917</v>
      </c>
      <c r="G745">
        <v>1388.1525879000001</v>
      </c>
      <c r="H745">
        <v>1372.5494385</v>
      </c>
      <c r="I745">
        <v>1290.8399658000001</v>
      </c>
      <c r="J745">
        <v>1271.6685791</v>
      </c>
      <c r="K745">
        <v>2400</v>
      </c>
      <c r="L745">
        <v>0</v>
      </c>
      <c r="M745">
        <v>0</v>
      </c>
      <c r="N745">
        <v>2400</v>
      </c>
    </row>
    <row r="746" spans="1:14" x14ac:dyDescent="0.25">
      <c r="A746">
        <v>367.47080699999998</v>
      </c>
      <c r="B746" s="1">
        <f>DATE(2011,5,3) + TIME(11,17,57)</f>
        <v>40666.47079861111</v>
      </c>
      <c r="C746">
        <v>80</v>
      </c>
      <c r="D746">
        <v>79.302421570000007</v>
      </c>
      <c r="E746">
        <v>50</v>
      </c>
      <c r="F746">
        <v>49.468982697000001</v>
      </c>
      <c r="G746">
        <v>1388.3813477000001</v>
      </c>
      <c r="H746">
        <v>1372.8167725000001</v>
      </c>
      <c r="I746">
        <v>1290.5401611</v>
      </c>
      <c r="J746">
        <v>1271.3677978999999</v>
      </c>
      <c r="K746">
        <v>2400</v>
      </c>
      <c r="L746">
        <v>0</v>
      </c>
      <c r="M746">
        <v>0</v>
      </c>
      <c r="N746">
        <v>2400</v>
      </c>
    </row>
    <row r="747" spans="1:14" x14ac:dyDescent="0.25">
      <c r="A747">
        <v>367.57156099999997</v>
      </c>
      <c r="B747" s="1">
        <f>DATE(2011,5,3) + TIME(13,43,2)</f>
        <v>40666.571550925924</v>
      </c>
      <c r="C747">
        <v>80</v>
      </c>
      <c r="D747">
        <v>79.387397766000007</v>
      </c>
      <c r="E747">
        <v>50</v>
      </c>
      <c r="F747">
        <v>49.455600738999998</v>
      </c>
      <c r="G747">
        <v>1388.5950928</v>
      </c>
      <c r="H747">
        <v>1373.0670166</v>
      </c>
      <c r="I747">
        <v>1290.2589111</v>
      </c>
      <c r="J747">
        <v>1271.0855713000001</v>
      </c>
      <c r="K747">
        <v>2400</v>
      </c>
      <c r="L747">
        <v>0</v>
      </c>
      <c r="M747">
        <v>0</v>
      </c>
      <c r="N747">
        <v>2400</v>
      </c>
    </row>
    <row r="748" spans="1:14" x14ac:dyDescent="0.25">
      <c r="A748">
        <v>367.67367899999999</v>
      </c>
      <c r="B748" s="1">
        <f>DATE(2011,5,3) + TIME(16,10,5)</f>
        <v>40666.673668981479</v>
      </c>
      <c r="C748">
        <v>80</v>
      </c>
      <c r="D748">
        <v>79.461685181000007</v>
      </c>
      <c r="E748">
        <v>50</v>
      </c>
      <c r="F748">
        <v>49.442111969000003</v>
      </c>
      <c r="G748">
        <v>1388.7951660000001</v>
      </c>
      <c r="H748">
        <v>1373.3013916</v>
      </c>
      <c r="I748">
        <v>1289.9948730000001</v>
      </c>
      <c r="J748">
        <v>1270.8204346</v>
      </c>
      <c r="K748">
        <v>2400</v>
      </c>
      <c r="L748">
        <v>0</v>
      </c>
      <c r="M748">
        <v>0</v>
      </c>
      <c r="N748">
        <v>2400</v>
      </c>
    </row>
    <row r="749" spans="1:14" x14ac:dyDescent="0.25">
      <c r="A749">
        <v>367.77734099999998</v>
      </c>
      <c r="B749" s="1">
        <f>DATE(2011,5,3) + TIME(18,39,22)</f>
        <v>40666.777337962965</v>
      </c>
      <c r="C749">
        <v>80</v>
      </c>
      <c r="D749">
        <v>79.526618958</v>
      </c>
      <c r="E749">
        <v>50</v>
      </c>
      <c r="F749">
        <v>49.428497313999998</v>
      </c>
      <c r="G749">
        <v>1388.9824219</v>
      </c>
      <c r="H749">
        <v>1373.5214844</v>
      </c>
      <c r="I749">
        <v>1289.746582</v>
      </c>
      <c r="J749">
        <v>1270.5711670000001</v>
      </c>
      <c r="K749">
        <v>2400</v>
      </c>
      <c r="L749">
        <v>0</v>
      </c>
      <c r="M749">
        <v>0</v>
      </c>
      <c r="N749">
        <v>2400</v>
      </c>
    </row>
    <row r="750" spans="1:14" x14ac:dyDescent="0.25">
      <c r="A750">
        <v>367.88273500000003</v>
      </c>
      <c r="B750" s="1">
        <f>DATE(2011,5,3) + TIME(21,11,8)</f>
        <v>40666.882731481484</v>
      </c>
      <c r="C750">
        <v>80</v>
      </c>
      <c r="D750">
        <v>79.583335876000007</v>
      </c>
      <c r="E750">
        <v>50</v>
      </c>
      <c r="F750">
        <v>49.414730071999998</v>
      </c>
      <c r="G750">
        <v>1389.1579589999999</v>
      </c>
      <c r="H750">
        <v>1373.7282714999999</v>
      </c>
      <c r="I750">
        <v>1289.5129394999999</v>
      </c>
      <c r="J750">
        <v>1270.3365478999999</v>
      </c>
      <c r="K750">
        <v>2400</v>
      </c>
      <c r="L750">
        <v>0</v>
      </c>
      <c r="M750">
        <v>0</v>
      </c>
      <c r="N750">
        <v>2400</v>
      </c>
    </row>
    <row r="751" spans="1:14" x14ac:dyDescent="0.25">
      <c r="A751">
        <v>367.99005399999999</v>
      </c>
      <c r="B751" s="1">
        <f>DATE(2011,5,3) + TIME(23,45,40)</f>
        <v>40666.990046296298</v>
      </c>
      <c r="C751">
        <v>80</v>
      </c>
      <c r="D751">
        <v>79.632850646999998</v>
      </c>
      <c r="E751">
        <v>50</v>
      </c>
      <c r="F751">
        <v>49.400791167999998</v>
      </c>
      <c r="G751">
        <v>1389.3225098</v>
      </c>
      <c r="H751">
        <v>1373.9226074000001</v>
      </c>
      <c r="I751">
        <v>1289.2930908000001</v>
      </c>
      <c r="J751">
        <v>1270.1156006000001</v>
      </c>
      <c r="K751">
        <v>2400</v>
      </c>
      <c r="L751">
        <v>0</v>
      </c>
      <c r="M751">
        <v>0</v>
      </c>
      <c r="N751">
        <v>2400</v>
      </c>
    </row>
    <row r="752" spans="1:14" x14ac:dyDescent="0.25">
      <c r="A752">
        <v>368.09950099999998</v>
      </c>
      <c r="B752" s="1">
        <f>DATE(2011,5,4) + TIME(2,23,16)</f>
        <v>40667.099490740744</v>
      </c>
      <c r="C752">
        <v>80</v>
      </c>
      <c r="D752">
        <v>79.676040649000001</v>
      </c>
      <c r="E752">
        <v>50</v>
      </c>
      <c r="F752">
        <v>49.386657714999998</v>
      </c>
      <c r="G752">
        <v>1389.4765625</v>
      </c>
      <c r="H752">
        <v>1374.1054687999999</v>
      </c>
      <c r="I752">
        <v>1289.0860596</v>
      </c>
      <c r="J752">
        <v>1269.9075928</v>
      </c>
      <c r="K752">
        <v>2400</v>
      </c>
      <c r="L752">
        <v>0</v>
      </c>
      <c r="M752">
        <v>0</v>
      </c>
      <c r="N752">
        <v>2400</v>
      </c>
    </row>
    <row r="753" spans="1:14" x14ac:dyDescent="0.25">
      <c r="A753">
        <v>368.21133300000002</v>
      </c>
      <c r="B753" s="1">
        <f>DATE(2011,5,4) + TIME(5,4,19)</f>
        <v>40667.211331018516</v>
      </c>
      <c r="C753">
        <v>80</v>
      </c>
      <c r="D753">
        <v>79.713676453000005</v>
      </c>
      <c r="E753">
        <v>50</v>
      </c>
      <c r="F753">
        <v>49.372303008999999</v>
      </c>
      <c r="G753">
        <v>1389.6210937999999</v>
      </c>
      <c r="H753">
        <v>1374.2775879000001</v>
      </c>
      <c r="I753">
        <v>1288.8909911999999</v>
      </c>
      <c r="J753">
        <v>1269.7115478999999</v>
      </c>
      <c r="K753">
        <v>2400</v>
      </c>
      <c r="L753">
        <v>0</v>
      </c>
      <c r="M753">
        <v>0</v>
      </c>
      <c r="N753">
        <v>2400</v>
      </c>
    </row>
    <row r="754" spans="1:14" x14ac:dyDescent="0.25">
      <c r="A754">
        <v>368.32574499999998</v>
      </c>
      <c r="B754" s="1">
        <f>DATE(2011,5,4) + TIME(7,49,4)</f>
        <v>40667.325740740744</v>
      </c>
      <c r="C754">
        <v>80</v>
      </c>
      <c r="D754">
        <v>79.746414185000006</v>
      </c>
      <c r="E754">
        <v>50</v>
      </c>
      <c r="F754">
        <v>49.357700348000002</v>
      </c>
      <c r="G754">
        <v>1389.7562256000001</v>
      </c>
      <c r="H754">
        <v>1374.4396973</v>
      </c>
      <c r="I754">
        <v>1288.7073975000001</v>
      </c>
      <c r="J754">
        <v>1269.5268555</v>
      </c>
      <c r="K754">
        <v>2400</v>
      </c>
      <c r="L754">
        <v>0</v>
      </c>
      <c r="M754">
        <v>0</v>
      </c>
      <c r="N754">
        <v>2400</v>
      </c>
    </row>
    <row r="755" spans="1:14" x14ac:dyDescent="0.25">
      <c r="A755">
        <v>368.44241799999998</v>
      </c>
      <c r="B755" s="1">
        <f>DATE(2011,5,4) + TIME(10,37,4)</f>
        <v>40667.442407407405</v>
      </c>
      <c r="C755">
        <v>80</v>
      </c>
      <c r="D755">
        <v>79.774734496999997</v>
      </c>
      <c r="E755">
        <v>50</v>
      </c>
      <c r="F755">
        <v>49.342887877999999</v>
      </c>
      <c r="G755">
        <v>1389.8817139</v>
      </c>
      <c r="H755">
        <v>1374.5911865</v>
      </c>
      <c r="I755">
        <v>1288.5352783000001</v>
      </c>
      <c r="J755">
        <v>1269.3537598</v>
      </c>
      <c r="K755">
        <v>2400</v>
      </c>
      <c r="L755">
        <v>0</v>
      </c>
      <c r="M755">
        <v>0</v>
      </c>
      <c r="N755">
        <v>2400</v>
      </c>
    </row>
    <row r="756" spans="1:14" x14ac:dyDescent="0.25">
      <c r="A756">
        <v>368.56159100000002</v>
      </c>
      <c r="B756" s="1">
        <f>DATE(2011,5,4) + TIME(13,28,41)</f>
        <v>40667.561585648145</v>
      </c>
      <c r="C756">
        <v>80</v>
      </c>
      <c r="D756">
        <v>79.799201964999995</v>
      </c>
      <c r="E756">
        <v>50</v>
      </c>
      <c r="F756">
        <v>49.327842711999999</v>
      </c>
      <c r="G756">
        <v>1389.9984131000001</v>
      </c>
      <c r="H756">
        <v>1374.7331543</v>
      </c>
      <c r="I756">
        <v>1288.3741454999999</v>
      </c>
      <c r="J756">
        <v>1269.1915283000001</v>
      </c>
      <c r="K756">
        <v>2400</v>
      </c>
      <c r="L756">
        <v>0</v>
      </c>
      <c r="M756">
        <v>0</v>
      </c>
      <c r="N756">
        <v>2400</v>
      </c>
    </row>
    <row r="757" spans="1:14" x14ac:dyDescent="0.25">
      <c r="A757">
        <v>368.68353400000001</v>
      </c>
      <c r="B757" s="1">
        <f>DATE(2011,5,4) + TIME(16,24,17)</f>
        <v>40667.683530092596</v>
      </c>
      <c r="C757">
        <v>80</v>
      </c>
      <c r="D757">
        <v>79.820320128999995</v>
      </c>
      <c r="E757">
        <v>50</v>
      </c>
      <c r="F757">
        <v>49.312530518000003</v>
      </c>
      <c r="G757">
        <v>1390.1065673999999</v>
      </c>
      <c r="H757">
        <v>1374.8659668</v>
      </c>
      <c r="I757">
        <v>1288.2231445</v>
      </c>
      <c r="J757">
        <v>1269.0394286999999</v>
      </c>
      <c r="K757">
        <v>2400</v>
      </c>
      <c r="L757">
        <v>0</v>
      </c>
      <c r="M757">
        <v>0</v>
      </c>
      <c r="N757">
        <v>2400</v>
      </c>
    </row>
    <row r="758" spans="1:14" x14ac:dyDescent="0.25">
      <c r="A758">
        <v>368.80844400000001</v>
      </c>
      <c r="B758" s="1">
        <f>DATE(2011,5,4) + TIME(19,24,9)</f>
        <v>40667.808437500003</v>
      </c>
      <c r="C758">
        <v>80</v>
      </c>
      <c r="D758">
        <v>79.838493346999996</v>
      </c>
      <c r="E758">
        <v>50</v>
      </c>
      <c r="F758">
        <v>49.296932220000002</v>
      </c>
      <c r="G758">
        <v>1390.2066649999999</v>
      </c>
      <c r="H758">
        <v>1374.9901123</v>
      </c>
      <c r="I758">
        <v>1288.0819091999999</v>
      </c>
      <c r="J758">
        <v>1268.8970947</v>
      </c>
      <c r="K758">
        <v>2400</v>
      </c>
      <c r="L758">
        <v>0</v>
      </c>
      <c r="M758">
        <v>0</v>
      </c>
      <c r="N758">
        <v>2400</v>
      </c>
    </row>
    <row r="759" spans="1:14" x14ac:dyDescent="0.25">
      <c r="A759">
        <v>368.93658900000003</v>
      </c>
      <c r="B759" s="1">
        <f>DATE(2011,5,4) + TIME(22,28,41)</f>
        <v>40667.936585648145</v>
      </c>
      <c r="C759">
        <v>80</v>
      </c>
      <c r="D759">
        <v>79.854110718000001</v>
      </c>
      <c r="E759">
        <v>50</v>
      </c>
      <c r="F759">
        <v>49.281024932999998</v>
      </c>
      <c r="G759">
        <v>1390.2989502</v>
      </c>
      <c r="H759">
        <v>1375.105957</v>
      </c>
      <c r="I759">
        <v>1287.9499512</v>
      </c>
      <c r="J759">
        <v>1268.7640381000001</v>
      </c>
      <c r="K759">
        <v>2400</v>
      </c>
      <c r="L759">
        <v>0</v>
      </c>
      <c r="M759">
        <v>0</v>
      </c>
      <c r="N759">
        <v>2400</v>
      </c>
    </row>
    <row r="760" spans="1:14" x14ac:dyDescent="0.25">
      <c r="A760">
        <v>369.06826000000001</v>
      </c>
      <c r="B760" s="1">
        <f>DATE(2011,5,5) + TIME(1,38,17)</f>
        <v>40668.068252314813</v>
      </c>
      <c r="C760">
        <v>80</v>
      </c>
      <c r="D760">
        <v>79.867500304999993</v>
      </c>
      <c r="E760">
        <v>50</v>
      </c>
      <c r="F760">
        <v>49.264770507999998</v>
      </c>
      <c r="G760">
        <v>1390.3837891000001</v>
      </c>
      <c r="H760">
        <v>1375.2139893000001</v>
      </c>
      <c r="I760">
        <v>1287.8267822</v>
      </c>
      <c r="J760">
        <v>1268.6397704999999</v>
      </c>
      <c r="K760">
        <v>2400</v>
      </c>
      <c r="L760">
        <v>0</v>
      </c>
      <c r="M760">
        <v>0</v>
      </c>
      <c r="N760">
        <v>2400</v>
      </c>
    </row>
    <row r="761" spans="1:14" x14ac:dyDescent="0.25">
      <c r="A761">
        <v>369.203777</v>
      </c>
      <c r="B761" s="1">
        <f>DATE(2011,5,5) + TIME(4,53,26)</f>
        <v>40668.203773148147</v>
      </c>
      <c r="C761">
        <v>80</v>
      </c>
      <c r="D761">
        <v>79.878959656000006</v>
      </c>
      <c r="E761">
        <v>50</v>
      </c>
      <c r="F761">
        <v>49.248138427999997</v>
      </c>
      <c r="G761">
        <v>1390.4613036999999</v>
      </c>
      <c r="H761">
        <v>1375.3144531</v>
      </c>
      <c r="I761">
        <v>1287.7119141000001</v>
      </c>
      <c r="J761">
        <v>1268.5238036999999</v>
      </c>
      <c r="K761">
        <v>2400</v>
      </c>
      <c r="L761">
        <v>0</v>
      </c>
      <c r="M761">
        <v>0</v>
      </c>
      <c r="N761">
        <v>2400</v>
      </c>
    </row>
    <row r="762" spans="1:14" x14ac:dyDescent="0.25">
      <c r="A762">
        <v>369.34349099999997</v>
      </c>
      <c r="B762" s="1">
        <f>DATE(2011,5,5) + TIME(8,14,37)</f>
        <v>40668.3434837963</v>
      </c>
      <c r="C762">
        <v>80</v>
      </c>
      <c r="D762">
        <v>79.888725281000006</v>
      </c>
      <c r="E762">
        <v>50</v>
      </c>
      <c r="F762">
        <v>49.23109436</v>
      </c>
      <c r="G762">
        <v>1390.5318603999999</v>
      </c>
      <c r="H762">
        <v>1375.4077147999999</v>
      </c>
      <c r="I762">
        <v>1287.6052245999999</v>
      </c>
      <c r="J762">
        <v>1268.4158935999999</v>
      </c>
      <c r="K762">
        <v>2400</v>
      </c>
      <c r="L762">
        <v>0</v>
      </c>
      <c r="M762">
        <v>0</v>
      </c>
      <c r="N762">
        <v>2400</v>
      </c>
    </row>
    <row r="763" spans="1:14" x14ac:dyDescent="0.25">
      <c r="A763">
        <v>369.48779200000001</v>
      </c>
      <c r="B763" s="1">
        <f>DATE(2011,5,5) + TIME(11,42,25)</f>
        <v>40668.48778935185</v>
      </c>
      <c r="C763">
        <v>80</v>
      </c>
      <c r="D763">
        <v>79.897033691000004</v>
      </c>
      <c r="E763">
        <v>50</v>
      </c>
      <c r="F763">
        <v>49.213592529000003</v>
      </c>
      <c r="G763">
        <v>1390.5954589999999</v>
      </c>
      <c r="H763">
        <v>1375.4938964999999</v>
      </c>
      <c r="I763">
        <v>1287.5061035000001</v>
      </c>
      <c r="J763">
        <v>1268.3156738</v>
      </c>
      <c r="K763">
        <v>2400</v>
      </c>
      <c r="L763">
        <v>0</v>
      </c>
      <c r="M763">
        <v>0</v>
      </c>
      <c r="N763">
        <v>2400</v>
      </c>
    </row>
    <row r="764" spans="1:14" x14ac:dyDescent="0.25">
      <c r="A764">
        <v>369.63711699999999</v>
      </c>
      <c r="B764" s="1">
        <f>DATE(2011,5,5) + TIME(15,17,26)</f>
        <v>40668.637106481481</v>
      </c>
      <c r="C764">
        <v>80</v>
      </c>
      <c r="D764">
        <v>79.904083252000007</v>
      </c>
      <c r="E764">
        <v>50</v>
      </c>
      <c r="F764">
        <v>49.195598601999997</v>
      </c>
      <c r="G764">
        <v>1390.6523437999999</v>
      </c>
      <c r="H764">
        <v>1375.5732422000001</v>
      </c>
      <c r="I764">
        <v>1287.4143065999999</v>
      </c>
      <c r="J764">
        <v>1268.2226562000001</v>
      </c>
      <c r="K764">
        <v>2400</v>
      </c>
      <c r="L764">
        <v>0</v>
      </c>
      <c r="M764">
        <v>0</v>
      </c>
      <c r="N764">
        <v>2400</v>
      </c>
    </row>
    <row r="765" spans="1:14" x14ac:dyDescent="0.25">
      <c r="A765">
        <v>369.79172799999998</v>
      </c>
      <c r="B765" s="1">
        <f>DATE(2011,5,5) + TIME(19,0,5)</f>
        <v>40668.791724537034</v>
      </c>
      <c r="C765">
        <v>80</v>
      </c>
      <c r="D765">
        <v>79.910026549999998</v>
      </c>
      <c r="E765">
        <v>50</v>
      </c>
      <c r="F765">
        <v>49.177078246999997</v>
      </c>
      <c r="G765">
        <v>1390.7026367000001</v>
      </c>
      <c r="H765">
        <v>1375.6457519999999</v>
      </c>
      <c r="I765">
        <v>1287.3297118999999</v>
      </c>
      <c r="J765">
        <v>1268.1368408000001</v>
      </c>
      <c r="K765">
        <v>2400</v>
      </c>
      <c r="L765">
        <v>0</v>
      </c>
      <c r="M765">
        <v>0</v>
      </c>
      <c r="N765">
        <v>2400</v>
      </c>
    </row>
    <row r="766" spans="1:14" x14ac:dyDescent="0.25">
      <c r="A766">
        <v>369.95135900000002</v>
      </c>
      <c r="B766" s="1">
        <f>DATE(2011,5,5) + TIME(22,49,57)</f>
        <v>40668.951354166667</v>
      </c>
      <c r="C766">
        <v>80</v>
      </c>
      <c r="D766">
        <v>79.915000915999997</v>
      </c>
      <c r="E766">
        <v>50</v>
      </c>
      <c r="F766">
        <v>49.158058167</v>
      </c>
      <c r="G766">
        <v>1390.7457274999999</v>
      </c>
      <c r="H766">
        <v>1375.7111815999999</v>
      </c>
      <c r="I766">
        <v>1287.2523193</v>
      </c>
      <c r="J766">
        <v>1268.0581055</v>
      </c>
      <c r="K766">
        <v>2400</v>
      </c>
      <c r="L766">
        <v>0</v>
      </c>
      <c r="M766">
        <v>0</v>
      </c>
      <c r="N766">
        <v>2400</v>
      </c>
    </row>
    <row r="767" spans="1:14" x14ac:dyDescent="0.25">
      <c r="A767">
        <v>370.11653699999999</v>
      </c>
      <c r="B767" s="1">
        <f>DATE(2011,5,6) + TIME(2,47,48)</f>
        <v>40669.116527777776</v>
      </c>
      <c r="C767">
        <v>80</v>
      </c>
      <c r="D767">
        <v>79.919158936000002</v>
      </c>
      <c r="E767">
        <v>50</v>
      </c>
      <c r="F767">
        <v>49.138492583999998</v>
      </c>
      <c r="G767">
        <v>1390.7822266000001</v>
      </c>
      <c r="H767">
        <v>1375.7700195</v>
      </c>
      <c r="I767">
        <v>1287.1816406</v>
      </c>
      <c r="J767">
        <v>1267.9862060999999</v>
      </c>
      <c r="K767">
        <v>2400</v>
      </c>
      <c r="L767">
        <v>0</v>
      </c>
      <c r="M767">
        <v>0</v>
      </c>
      <c r="N767">
        <v>2400</v>
      </c>
    </row>
    <row r="768" spans="1:14" x14ac:dyDescent="0.25">
      <c r="A768">
        <v>370.287823</v>
      </c>
      <c r="B768" s="1">
        <f>DATE(2011,5,6) + TIME(6,54,27)</f>
        <v>40669.287812499999</v>
      </c>
      <c r="C768">
        <v>80</v>
      </c>
      <c r="D768">
        <v>79.922615050999994</v>
      </c>
      <c r="E768">
        <v>50</v>
      </c>
      <c r="F768">
        <v>49.118320464999996</v>
      </c>
      <c r="G768">
        <v>1390.8123779</v>
      </c>
      <c r="H768">
        <v>1375.8223877</v>
      </c>
      <c r="I768">
        <v>1287.1174315999999</v>
      </c>
      <c r="J768">
        <v>1267.9206543</v>
      </c>
      <c r="K768">
        <v>2400</v>
      </c>
      <c r="L768">
        <v>0</v>
      </c>
      <c r="M768">
        <v>0</v>
      </c>
      <c r="N768">
        <v>2400</v>
      </c>
    </row>
    <row r="769" spans="1:14" x14ac:dyDescent="0.25">
      <c r="A769">
        <v>370.46593799999999</v>
      </c>
      <c r="B769" s="1">
        <f>DATE(2011,5,6) + TIME(11,10,57)</f>
        <v>40669.465937499997</v>
      </c>
      <c r="C769">
        <v>80</v>
      </c>
      <c r="D769">
        <v>79.925491332999997</v>
      </c>
      <c r="E769">
        <v>50</v>
      </c>
      <c r="F769">
        <v>49.097476958999998</v>
      </c>
      <c r="G769">
        <v>1390.8360596</v>
      </c>
      <c r="H769">
        <v>1375.8685303</v>
      </c>
      <c r="I769">
        <v>1287.0594481999999</v>
      </c>
      <c r="J769">
        <v>1267.8613281</v>
      </c>
      <c r="K769">
        <v>2400</v>
      </c>
      <c r="L769">
        <v>0</v>
      </c>
      <c r="M769">
        <v>0</v>
      </c>
      <c r="N769">
        <v>2400</v>
      </c>
    </row>
    <row r="770" spans="1:14" x14ac:dyDescent="0.25">
      <c r="A770">
        <v>370.65157599999998</v>
      </c>
      <c r="B770" s="1">
        <f>DATE(2011,5,6) + TIME(15,38,16)</f>
        <v>40669.651574074072</v>
      </c>
      <c r="C770">
        <v>80</v>
      </c>
      <c r="D770">
        <v>79.927856445000003</v>
      </c>
      <c r="E770">
        <v>50</v>
      </c>
      <c r="F770">
        <v>49.075893401999998</v>
      </c>
      <c r="G770">
        <v>1390.8535156</v>
      </c>
      <c r="H770">
        <v>1375.9085693</v>
      </c>
      <c r="I770">
        <v>1287.0072021000001</v>
      </c>
      <c r="J770">
        <v>1267.8076172000001</v>
      </c>
      <c r="K770">
        <v>2400</v>
      </c>
      <c r="L770">
        <v>0</v>
      </c>
      <c r="M770">
        <v>0</v>
      </c>
      <c r="N770">
        <v>2400</v>
      </c>
    </row>
    <row r="771" spans="1:14" x14ac:dyDescent="0.25">
      <c r="A771">
        <v>370.84553099999999</v>
      </c>
      <c r="B771" s="1">
        <f>DATE(2011,5,6) + TIME(20,17,33)</f>
        <v>40669.845520833333</v>
      </c>
      <c r="C771">
        <v>80</v>
      </c>
      <c r="D771">
        <v>79.929809570000003</v>
      </c>
      <c r="E771">
        <v>50</v>
      </c>
      <c r="F771">
        <v>49.053493500000002</v>
      </c>
      <c r="G771">
        <v>1390.8647461</v>
      </c>
      <c r="H771">
        <v>1375.9426269999999</v>
      </c>
      <c r="I771">
        <v>1286.9605713000001</v>
      </c>
      <c r="J771">
        <v>1267.7595214999999</v>
      </c>
      <c r="K771">
        <v>2400</v>
      </c>
      <c r="L771">
        <v>0</v>
      </c>
      <c r="M771">
        <v>0</v>
      </c>
      <c r="N771">
        <v>2400</v>
      </c>
    </row>
    <row r="772" spans="1:14" x14ac:dyDescent="0.25">
      <c r="A772">
        <v>371.04269399999998</v>
      </c>
      <c r="B772" s="1">
        <f>DATE(2011,5,7) + TIME(1,1,28)</f>
        <v>40670.042685185188</v>
      </c>
      <c r="C772">
        <v>80</v>
      </c>
      <c r="D772">
        <v>79.931365967000005</v>
      </c>
      <c r="E772">
        <v>50</v>
      </c>
      <c r="F772">
        <v>49.030750275000003</v>
      </c>
      <c r="G772">
        <v>1390.8675536999999</v>
      </c>
      <c r="H772">
        <v>1375.9683838000001</v>
      </c>
      <c r="I772">
        <v>1286.9200439000001</v>
      </c>
      <c r="J772">
        <v>1267.7175293</v>
      </c>
      <c r="K772">
        <v>2400</v>
      </c>
      <c r="L772">
        <v>0</v>
      </c>
      <c r="M772">
        <v>0</v>
      </c>
      <c r="N772">
        <v>2400</v>
      </c>
    </row>
    <row r="773" spans="1:14" x14ac:dyDescent="0.25">
      <c r="A773">
        <v>371.24147099999999</v>
      </c>
      <c r="B773" s="1">
        <f>DATE(2011,5,7) + TIME(5,47,43)</f>
        <v>40670.241469907407</v>
      </c>
      <c r="C773">
        <v>80</v>
      </c>
      <c r="D773">
        <v>79.932601929</v>
      </c>
      <c r="E773">
        <v>50</v>
      </c>
      <c r="F773">
        <v>49.007820129000002</v>
      </c>
      <c r="G773">
        <v>1390.8637695</v>
      </c>
      <c r="H773">
        <v>1375.9873047000001</v>
      </c>
      <c r="I773">
        <v>1286.885376</v>
      </c>
      <c r="J773">
        <v>1267.6815185999999</v>
      </c>
      <c r="K773">
        <v>2400</v>
      </c>
      <c r="L773">
        <v>0</v>
      </c>
      <c r="M773">
        <v>0</v>
      </c>
      <c r="N773">
        <v>2400</v>
      </c>
    </row>
    <row r="774" spans="1:14" x14ac:dyDescent="0.25">
      <c r="A774">
        <v>371.44100300000002</v>
      </c>
      <c r="B774" s="1">
        <f>DATE(2011,5,7) + TIME(10,35,2)</f>
        <v>40670.440995370373</v>
      </c>
      <c r="C774">
        <v>80</v>
      </c>
      <c r="D774">
        <v>79.933570861999996</v>
      </c>
      <c r="E774">
        <v>50</v>
      </c>
      <c r="F774">
        <v>48.984798431000002</v>
      </c>
      <c r="G774">
        <v>1390.8543701000001</v>
      </c>
      <c r="H774">
        <v>1376.0001221</v>
      </c>
      <c r="I774">
        <v>1286.8560791</v>
      </c>
      <c r="J774">
        <v>1267.6506348</v>
      </c>
      <c r="K774">
        <v>2400</v>
      </c>
      <c r="L774">
        <v>0</v>
      </c>
      <c r="M774">
        <v>0</v>
      </c>
      <c r="N774">
        <v>2400</v>
      </c>
    </row>
    <row r="775" spans="1:14" x14ac:dyDescent="0.25">
      <c r="A775">
        <v>371.641706</v>
      </c>
      <c r="B775" s="1">
        <f>DATE(2011,5,7) + TIME(15,24,3)</f>
        <v>40670.641701388886</v>
      </c>
      <c r="C775">
        <v>80</v>
      </c>
      <c r="D775">
        <v>79.934341431000007</v>
      </c>
      <c r="E775">
        <v>50</v>
      </c>
      <c r="F775">
        <v>48.961677551000001</v>
      </c>
      <c r="G775">
        <v>1390.8404541</v>
      </c>
      <c r="H775">
        <v>1376.0078125</v>
      </c>
      <c r="I775">
        <v>1286.8312988</v>
      </c>
      <c r="J775">
        <v>1267.6243896000001</v>
      </c>
      <c r="K775">
        <v>2400</v>
      </c>
      <c r="L775">
        <v>0</v>
      </c>
      <c r="M775">
        <v>0</v>
      </c>
      <c r="N775">
        <v>2400</v>
      </c>
    </row>
    <row r="776" spans="1:14" x14ac:dyDescent="0.25">
      <c r="A776">
        <v>371.843975</v>
      </c>
      <c r="B776" s="1">
        <f>DATE(2011,5,7) + TIME(20,15,19)</f>
        <v>40670.843969907408</v>
      </c>
      <c r="C776">
        <v>80</v>
      </c>
      <c r="D776">
        <v>79.934959411999998</v>
      </c>
      <c r="E776">
        <v>50</v>
      </c>
      <c r="F776">
        <v>48.938423157000003</v>
      </c>
      <c r="G776">
        <v>1390.8223877</v>
      </c>
      <c r="H776">
        <v>1376.0109863</v>
      </c>
      <c r="I776">
        <v>1286.8105469</v>
      </c>
      <c r="J776">
        <v>1267.6021728999999</v>
      </c>
      <c r="K776">
        <v>2400</v>
      </c>
      <c r="L776">
        <v>0</v>
      </c>
      <c r="M776">
        <v>0</v>
      </c>
      <c r="N776">
        <v>2400</v>
      </c>
    </row>
    <row r="777" spans="1:14" x14ac:dyDescent="0.25">
      <c r="A777">
        <v>372.048202</v>
      </c>
      <c r="B777" s="1">
        <f>DATE(2011,5,8) + TIME(1,9,24)</f>
        <v>40671.048194444447</v>
      </c>
      <c r="C777">
        <v>80</v>
      </c>
      <c r="D777">
        <v>79.935447693</v>
      </c>
      <c r="E777">
        <v>50</v>
      </c>
      <c r="F777">
        <v>48.915016174000002</v>
      </c>
      <c r="G777">
        <v>1390.8005370999999</v>
      </c>
      <c r="H777">
        <v>1376.0100098</v>
      </c>
      <c r="I777">
        <v>1286.7932129000001</v>
      </c>
      <c r="J777">
        <v>1267.583374</v>
      </c>
      <c r="K777">
        <v>2400</v>
      </c>
      <c r="L777">
        <v>0</v>
      </c>
      <c r="M777">
        <v>0</v>
      </c>
      <c r="N777">
        <v>2400</v>
      </c>
    </row>
    <row r="778" spans="1:14" x14ac:dyDescent="0.25">
      <c r="A778">
        <v>372.25477599999999</v>
      </c>
      <c r="B778" s="1">
        <f>DATE(2011,5,8) + TIME(6,6,52)</f>
        <v>40671.25476851852</v>
      </c>
      <c r="C778">
        <v>80</v>
      </c>
      <c r="D778">
        <v>79.935844420999999</v>
      </c>
      <c r="E778">
        <v>50</v>
      </c>
      <c r="F778">
        <v>48.891426086000003</v>
      </c>
      <c r="G778">
        <v>1390.7752685999999</v>
      </c>
      <c r="H778">
        <v>1376.0053711</v>
      </c>
      <c r="I778">
        <v>1286.7789307</v>
      </c>
      <c r="J778">
        <v>1267.5675048999999</v>
      </c>
      <c r="K778">
        <v>2400</v>
      </c>
      <c r="L778">
        <v>0</v>
      </c>
      <c r="M778">
        <v>0</v>
      </c>
      <c r="N778">
        <v>2400</v>
      </c>
    </row>
    <row r="779" spans="1:14" x14ac:dyDescent="0.25">
      <c r="A779">
        <v>372.46409399999999</v>
      </c>
      <c r="B779" s="1">
        <f>DATE(2011,5,8) + TIME(11,8,17)</f>
        <v>40671.464085648149</v>
      </c>
      <c r="C779">
        <v>80</v>
      </c>
      <c r="D779">
        <v>79.936149596999996</v>
      </c>
      <c r="E779">
        <v>50</v>
      </c>
      <c r="F779">
        <v>48.867614746000001</v>
      </c>
      <c r="G779">
        <v>1390.7469481999999</v>
      </c>
      <c r="H779">
        <v>1375.9971923999999</v>
      </c>
      <c r="I779">
        <v>1286.7672118999999</v>
      </c>
      <c r="J779">
        <v>1267.5541992000001</v>
      </c>
      <c r="K779">
        <v>2400</v>
      </c>
      <c r="L779">
        <v>0</v>
      </c>
      <c r="M779">
        <v>0</v>
      </c>
      <c r="N779">
        <v>2400</v>
      </c>
    </row>
    <row r="780" spans="1:14" x14ac:dyDescent="0.25">
      <c r="A780">
        <v>372.67666700000001</v>
      </c>
      <c r="B780" s="1">
        <f>DATE(2011,5,8) + TIME(16,14,24)</f>
        <v>40671.676666666666</v>
      </c>
      <c r="C780">
        <v>80</v>
      </c>
      <c r="D780">
        <v>79.936401367000002</v>
      </c>
      <c r="E780">
        <v>50</v>
      </c>
      <c r="F780">
        <v>48.843547821000001</v>
      </c>
      <c r="G780">
        <v>1390.7155762</v>
      </c>
      <c r="H780">
        <v>1375.9858397999999</v>
      </c>
      <c r="I780">
        <v>1286.7576904</v>
      </c>
      <c r="J780">
        <v>1267.5430908000001</v>
      </c>
      <c r="K780">
        <v>2400</v>
      </c>
      <c r="L780">
        <v>0</v>
      </c>
      <c r="M780">
        <v>0</v>
      </c>
      <c r="N780">
        <v>2400</v>
      </c>
    </row>
    <row r="781" spans="1:14" x14ac:dyDescent="0.25">
      <c r="A781">
        <v>372.89282300000002</v>
      </c>
      <c r="B781" s="1">
        <f>DATE(2011,5,8) + TIME(21,25,39)</f>
        <v>40671.892812500002</v>
      </c>
      <c r="C781">
        <v>80</v>
      </c>
      <c r="D781">
        <v>79.936599731000001</v>
      </c>
      <c r="E781">
        <v>50</v>
      </c>
      <c r="F781">
        <v>48.819190978999998</v>
      </c>
      <c r="G781">
        <v>1390.6815185999999</v>
      </c>
      <c r="H781">
        <v>1375.9715576000001</v>
      </c>
      <c r="I781">
        <v>1286.7501221</v>
      </c>
      <c r="J781">
        <v>1267.5339355000001</v>
      </c>
      <c r="K781">
        <v>2400</v>
      </c>
      <c r="L781">
        <v>0</v>
      </c>
      <c r="M781">
        <v>0</v>
      </c>
      <c r="N781">
        <v>2400</v>
      </c>
    </row>
    <row r="782" spans="1:14" x14ac:dyDescent="0.25">
      <c r="A782">
        <v>373.11301300000002</v>
      </c>
      <c r="B782" s="1">
        <f>DATE(2011,5,9) + TIME(2,42,44)</f>
        <v>40672.113009259258</v>
      </c>
      <c r="C782">
        <v>80</v>
      </c>
      <c r="D782">
        <v>79.936752318999993</v>
      </c>
      <c r="E782">
        <v>50</v>
      </c>
      <c r="F782">
        <v>48.794506073000001</v>
      </c>
      <c r="G782">
        <v>1390.6446533000001</v>
      </c>
      <c r="H782">
        <v>1375.9543457</v>
      </c>
      <c r="I782">
        <v>1286.7442627</v>
      </c>
      <c r="J782">
        <v>1267.5263672000001</v>
      </c>
      <c r="K782">
        <v>2400</v>
      </c>
      <c r="L782">
        <v>0</v>
      </c>
      <c r="M782">
        <v>0</v>
      </c>
      <c r="N782">
        <v>2400</v>
      </c>
    </row>
    <row r="783" spans="1:14" x14ac:dyDescent="0.25">
      <c r="A783">
        <v>373.33771400000001</v>
      </c>
      <c r="B783" s="1">
        <f>DATE(2011,5,9) + TIME(8,6,18)</f>
        <v>40672.337708333333</v>
      </c>
      <c r="C783">
        <v>80</v>
      </c>
      <c r="D783">
        <v>79.936882018999995</v>
      </c>
      <c r="E783">
        <v>50</v>
      </c>
      <c r="F783">
        <v>48.769443512000002</v>
      </c>
      <c r="G783">
        <v>1390.6053466999999</v>
      </c>
      <c r="H783">
        <v>1375.9345702999999</v>
      </c>
      <c r="I783">
        <v>1286.7397461</v>
      </c>
      <c r="J783">
        <v>1267.5202637</v>
      </c>
      <c r="K783">
        <v>2400</v>
      </c>
      <c r="L783">
        <v>0</v>
      </c>
      <c r="M783">
        <v>0</v>
      </c>
      <c r="N783">
        <v>2400</v>
      </c>
    </row>
    <row r="784" spans="1:14" x14ac:dyDescent="0.25">
      <c r="A784">
        <v>373.56743799999998</v>
      </c>
      <c r="B784" s="1">
        <f>DATE(2011,5,9) + TIME(13,37,6)</f>
        <v>40672.567430555559</v>
      </c>
      <c r="C784">
        <v>80</v>
      </c>
      <c r="D784">
        <v>79.936973571999999</v>
      </c>
      <c r="E784">
        <v>50</v>
      </c>
      <c r="F784">
        <v>48.743965148999997</v>
      </c>
      <c r="G784">
        <v>1390.5635986</v>
      </c>
      <c r="H784">
        <v>1375.9123535000001</v>
      </c>
      <c r="I784">
        <v>1286.7364502</v>
      </c>
      <c r="J784">
        <v>1267.5152588000001</v>
      </c>
      <c r="K784">
        <v>2400</v>
      </c>
      <c r="L784">
        <v>0</v>
      </c>
      <c r="M784">
        <v>0</v>
      </c>
      <c r="N784">
        <v>2400</v>
      </c>
    </row>
    <row r="785" spans="1:14" x14ac:dyDescent="0.25">
      <c r="A785">
        <v>373.801175</v>
      </c>
      <c r="B785" s="1">
        <f>DATE(2011,5,9) + TIME(19,13,41)</f>
        <v>40672.801168981481</v>
      </c>
      <c r="C785">
        <v>80</v>
      </c>
      <c r="D785">
        <v>79.937042235999996</v>
      </c>
      <c r="E785">
        <v>50</v>
      </c>
      <c r="F785">
        <v>48.718151093000003</v>
      </c>
      <c r="G785">
        <v>1390.5194091999999</v>
      </c>
      <c r="H785">
        <v>1375.8874512</v>
      </c>
      <c r="I785">
        <v>1286.7341309000001</v>
      </c>
      <c r="J785">
        <v>1267.5112305</v>
      </c>
      <c r="K785">
        <v>2400</v>
      </c>
      <c r="L785">
        <v>0</v>
      </c>
      <c r="M785">
        <v>0</v>
      </c>
      <c r="N785">
        <v>2400</v>
      </c>
    </row>
    <row r="786" spans="1:14" x14ac:dyDescent="0.25">
      <c r="A786">
        <v>374.038971</v>
      </c>
      <c r="B786" s="1">
        <f>DATE(2011,5,10) + TIME(0,56,7)</f>
        <v>40673.038969907408</v>
      </c>
      <c r="C786">
        <v>80</v>
      </c>
      <c r="D786">
        <v>79.937095642000003</v>
      </c>
      <c r="E786">
        <v>50</v>
      </c>
      <c r="F786">
        <v>48.691997528000002</v>
      </c>
      <c r="G786">
        <v>1390.4730225000001</v>
      </c>
      <c r="H786">
        <v>1375.8604736</v>
      </c>
      <c r="I786">
        <v>1286.7326660000001</v>
      </c>
      <c r="J786">
        <v>1267.5079346</v>
      </c>
      <c r="K786">
        <v>2400</v>
      </c>
      <c r="L786">
        <v>0</v>
      </c>
      <c r="M786">
        <v>0</v>
      </c>
      <c r="N786">
        <v>2400</v>
      </c>
    </row>
    <row r="787" spans="1:14" x14ac:dyDescent="0.25">
      <c r="A787">
        <v>374.28128900000002</v>
      </c>
      <c r="B787" s="1">
        <f>DATE(2011,5,10) + TIME(6,45,3)</f>
        <v>40673.281284722223</v>
      </c>
      <c r="C787">
        <v>80</v>
      </c>
      <c r="D787">
        <v>79.937133789000001</v>
      </c>
      <c r="E787">
        <v>50</v>
      </c>
      <c r="F787">
        <v>48.665470122999999</v>
      </c>
      <c r="G787">
        <v>1390.4248047000001</v>
      </c>
      <c r="H787">
        <v>1375.8314209</v>
      </c>
      <c r="I787">
        <v>1286.7318115</v>
      </c>
      <c r="J787">
        <v>1267.505249</v>
      </c>
      <c r="K787">
        <v>2400</v>
      </c>
      <c r="L787">
        <v>0</v>
      </c>
      <c r="M787">
        <v>0</v>
      </c>
      <c r="N787">
        <v>2400</v>
      </c>
    </row>
    <row r="788" spans="1:14" x14ac:dyDescent="0.25">
      <c r="A788">
        <v>374.52861999999999</v>
      </c>
      <c r="B788" s="1">
        <f>DATE(2011,5,10) + TIME(12,41,12)</f>
        <v>40673.528611111113</v>
      </c>
      <c r="C788">
        <v>80</v>
      </c>
      <c r="D788">
        <v>79.937156677000004</v>
      </c>
      <c r="E788">
        <v>50</v>
      </c>
      <c r="F788">
        <v>48.638526917</v>
      </c>
      <c r="G788">
        <v>1390.3748779</v>
      </c>
      <c r="H788">
        <v>1375.8005370999999</v>
      </c>
      <c r="I788">
        <v>1286.7313231999999</v>
      </c>
      <c r="J788">
        <v>1267.5030518000001</v>
      </c>
      <c r="K788">
        <v>2400</v>
      </c>
      <c r="L788">
        <v>0</v>
      </c>
      <c r="M788">
        <v>0</v>
      </c>
      <c r="N788">
        <v>2400</v>
      </c>
    </row>
    <row r="789" spans="1:14" x14ac:dyDescent="0.25">
      <c r="A789">
        <v>374.78149500000001</v>
      </c>
      <c r="B789" s="1">
        <f>DATE(2011,5,10) + TIME(18,45,21)</f>
        <v>40673.781493055554</v>
      </c>
      <c r="C789">
        <v>80</v>
      </c>
      <c r="D789">
        <v>79.937164307000003</v>
      </c>
      <c r="E789">
        <v>50</v>
      </c>
      <c r="F789">
        <v>48.611125946000001</v>
      </c>
      <c r="G789">
        <v>1390.3231201000001</v>
      </c>
      <c r="H789">
        <v>1375.7678223</v>
      </c>
      <c r="I789">
        <v>1286.7313231999999</v>
      </c>
      <c r="J789">
        <v>1267.5010986</v>
      </c>
      <c r="K789">
        <v>2400</v>
      </c>
      <c r="L789">
        <v>0</v>
      </c>
      <c r="M789">
        <v>0</v>
      </c>
      <c r="N789">
        <v>2400</v>
      </c>
    </row>
    <row r="790" spans="1:14" x14ac:dyDescent="0.25">
      <c r="A790">
        <v>375.04049400000002</v>
      </c>
      <c r="B790" s="1">
        <f>DATE(2011,5,11) + TIME(0,58,18)</f>
        <v>40674.040486111109</v>
      </c>
      <c r="C790">
        <v>80</v>
      </c>
      <c r="D790">
        <v>79.937164307000003</v>
      </c>
      <c r="E790">
        <v>50</v>
      </c>
      <c r="F790">
        <v>48.583217621000003</v>
      </c>
      <c r="G790">
        <v>1390.2696533000001</v>
      </c>
      <c r="H790">
        <v>1375.7332764</v>
      </c>
      <c r="I790">
        <v>1286.7314452999999</v>
      </c>
      <c r="J790">
        <v>1267.4993896000001</v>
      </c>
      <c r="K790">
        <v>2400</v>
      </c>
      <c r="L790">
        <v>0</v>
      </c>
      <c r="M790">
        <v>0</v>
      </c>
      <c r="N790">
        <v>2400</v>
      </c>
    </row>
    <row r="791" spans="1:14" x14ac:dyDescent="0.25">
      <c r="A791">
        <v>375.30626000000001</v>
      </c>
      <c r="B791" s="1">
        <f>DATE(2011,5,11) + TIME(7,21,0)</f>
        <v>40674.306250000001</v>
      </c>
      <c r="C791">
        <v>80</v>
      </c>
      <c r="D791">
        <v>79.937164307000003</v>
      </c>
      <c r="E791">
        <v>50</v>
      </c>
      <c r="F791">
        <v>48.554744720000002</v>
      </c>
      <c r="G791">
        <v>1390.2143555</v>
      </c>
      <c r="H791">
        <v>1375.6970214999999</v>
      </c>
      <c r="I791">
        <v>1286.7318115</v>
      </c>
      <c r="J791">
        <v>1267.4976807</v>
      </c>
      <c r="K791">
        <v>2400</v>
      </c>
      <c r="L791">
        <v>0</v>
      </c>
      <c r="M791">
        <v>0</v>
      </c>
      <c r="N791">
        <v>2400</v>
      </c>
    </row>
    <row r="792" spans="1:14" x14ac:dyDescent="0.25">
      <c r="A792">
        <v>375.5795</v>
      </c>
      <c r="B792" s="1">
        <f>DATE(2011,5,11) + TIME(13,54,28)</f>
        <v>40674.57949074074</v>
      </c>
      <c r="C792">
        <v>80</v>
      </c>
      <c r="D792">
        <v>79.937149047999995</v>
      </c>
      <c r="E792">
        <v>50</v>
      </c>
      <c r="F792">
        <v>48.525646209999998</v>
      </c>
      <c r="G792">
        <v>1390.1573486</v>
      </c>
      <c r="H792">
        <v>1375.6590576000001</v>
      </c>
      <c r="I792">
        <v>1286.7320557</v>
      </c>
      <c r="J792">
        <v>1267.4959716999999</v>
      </c>
      <c r="K792">
        <v>2400</v>
      </c>
      <c r="L792">
        <v>0</v>
      </c>
      <c r="M792">
        <v>0</v>
      </c>
      <c r="N792">
        <v>2400</v>
      </c>
    </row>
    <row r="793" spans="1:14" x14ac:dyDescent="0.25">
      <c r="A793">
        <v>375.86100800000003</v>
      </c>
      <c r="B793" s="1">
        <f>DATE(2011,5,11) + TIME(20,39,51)</f>
        <v>40674.861006944448</v>
      </c>
      <c r="C793">
        <v>80</v>
      </c>
      <c r="D793">
        <v>79.937126160000005</v>
      </c>
      <c r="E793">
        <v>50</v>
      </c>
      <c r="F793">
        <v>48.495853424000003</v>
      </c>
      <c r="G793">
        <v>1390.0985106999999</v>
      </c>
      <c r="H793">
        <v>1375.6193848</v>
      </c>
      <c r="I793">
        <v>1286.7322998</v>
      </c>
      <c r="J793">
        <v>1267.4941406</v>
      </c>
      <c r="K793">
        <v>2400</v>
      </c>
      <c r="L793">
        <v>0</v>
      </c>
      <c r="M793">
        <v>0</v>
      </c>
      <c r="N793">
        <v>2400</v>
      </c>
    </row>
    <row r="794" spans="1:14" x14ac:dyDescent="0.25">
      <c r="A794">
        <v>376.151679</v>
      </c>
      <c r="B794" s="1">
        <f>DATE(2011,5,12) + TIME(3,38,25)</f>
        <v>40675.151678240742</v>
      </c>
      <c r="C794">
        <v>80</v>
      </c>
      <c r="D794">
        <v>79.937103270999998</v>
      </c>
      <c r="E794">
        <v>50</v>
      </c>
      <c r="F794">
        <v>48.465293883999998</v>
      </c>
      <c r="G794">
        <v>1390.0378418</v>
      </c>
      <c r="H794">
        <v>1375.5778809000001</v>
      </c>
      <c r="I794">
        <v>1286.7322998</v>
      </c>
      <c r="J794">
        <v>1267.4920654</v>
      </c>
      <c r="K794">
        <v>2400</v>
      </c>
      <c r="L794">
        <v>0</v>
      </c>
      <c r="M794">
        <v>0</v>
      </c>
      <c r="N794">
        <v>2400</v>
      </c>
    </row>
    <row r="795" spans="1:14" x14ac:dyDescent="0.25">
      <c r="A795">
        <v>376.45272599999998</v>
      </c>
      <c r="B795" s="1">
        <f>DATE(2011,5,12) + TIME(10,51,55)</f>
        <v>40675.452719907407</v>
      </c>
      <c r="C795">
        <v>80</v>
      </c>
      <c r="D795">
        <v>79.937072753999999</v>
      </c>
      <c r="E795">
        <v>50</v>
      </c>
      <c r="F795">
        <v>48.433864593999999</v>
      </c>
      <c r="G795">
        <v>1389.9752197</v>
      </c>
      <c r="H795">
        <v>1375.5345459</v>
      </c>
      <c r="I795">
        <v>1286.7320557</v>
      </c>
      <c r="J795">
        <v>1267.489624</v>
      </c>
      <c r="K795">
        <v>2400</v>
      </c>
      <c r="L795">
        <v>0</v>
      </c>
      <c r="M795">
        <v>0</v>
      </c>
      <c r="N795">
        <v>2400</v>
      </c>
    </row>
    <row r="796" spans="1:14" x14ac:dyDescent="0.25">
      <c r="A796">
        <v>376.76504</v>
      </c>
      <c r="B796" s="1">
        <f>DATE(2011,5,12) + TIME(18,21,39)</f>
        <v>40675.765034722222</v>
      </c>
      <c r="C796">
        <v>80</v>
      </c>
      <c r="D796">
        <v>79.937042235999996</v>
      </c>
      <c r="E796">
        <v>50</v>
      </c>
      <c r="F796">
        <v>48.401485442999999</v>
      </c>
      <c r="G796">
        <v>1389.9104004000001</v>
      </c>
      <c r="H796">
        <v>1375.4892577999999</v>
      </c>
      <c r="I796">
        <v>1286.7315673999999</v>
      </c>
      <c r="J796">
        <v>1267.4868164</v>
      </c>
      <c r="K796">
        <v>2400</v>
      </c>
      <c r="L796">
        <v>0</v>
      </c>
      <c r="M796">
        <v>0</v>
      </c>
      <c r="N796">
        <v>2400</v>
      </c>
    </row>
    <row r="797" spans="1:14" x14ac:dyDescent="0.25">
      <c r="A797">
        <v>377.07874199999998</v>
      </c>
      <c r="B797" s="1">
        <f>DATE(2011,5,13) + TIME(1,53,23)</f>
        <v>40676.078738425924</v>
      </c>
      <c r="C797">
        <v>80</v>
      </c>
      <c r="D797">
        <v>79.936996460000003</v>
      </c>
      <c r="E797">
        <v>50</v>
      </c>
      <c r="F797">
        <v>48.368881225999999</v>
      </c>
      <c r="G797">
        <v>1389.8435059000001</v>
      </c>
      <c r="H797">
        <v>1375.4421387</v>
      </c>
      <c r="I797">
        <v>1286.7302245999999</v>
      </c>
      <c r="J797">
        <v>1267.4832764</v>
      </c>
      <c r="K797">
        <v>2400</v>
      </c>
      <c r="L797">
        <v>0</v>
      </c>
      <c r="M797">
        <v>0</v>
      </c>
      <c r="N797">
        <v>2400</v>
      </c>
    </row>
    <row r="798" spans="1:14" x14ac:dyDescent="0.25">
      <c r="A798">
        <v>377.39384000000001</v>
      </c>
      <c r="B798" s="1">
        <f>DATE(2011,5,13) + TIME(9,27,7)</f>
        <v>40676.393831018519</v>
      </c>
      <c r="C798">
        <v>80</v>
      </c>
      <c r="D798">
        <v>79.936958313000005</v>
      </c>
      <c r="E798">
        <v>50</v>
      </c>
      <c r="F798">
        <v>48.336120604999998</v>
      </c>
      <c r="G798">
        <v>1389.7764893000001</v>
      </c>
      <c r="H798">
        <v>1375.3945312000001</v>
      </c>
      <c r="I798">
        <v>1286.7285156</v>
      </c>
      <c r="J798">
        <v>1267.4792480000001</v>
      </c>
      <c r="K798">
        <v>2400</v>
      </c>
      <c r="L798">
        <v>0</v>
      </c>
      <c r="M798">
        <v>0</v>
      </c>
      <c r="N798">
        <v>2400</v>
      </c>
    </row>
    <row r="799" spans="1:14" x14ac:dyDescent="0.25">
      <c r="A799">
        <v>377.71098699999999</v>
      </c>
      <c r="B799" s="1">
        <f>DATE(2011,5,13) + TIME(17,3,49)</f>
        <v>40676.7109837963</v>
      </c>
      <c r="C799">
        <v>80</v>
      </c>
      <c r="D799">
        <v>79.936912536999998</v>
      </c>
      <c r="E799">
        <v>50</v>
      </c>
      <c r="F799">
        <v>48.303199767999999</v>
      </c>
      <c r="G799">
        <v>1389.7095947</v>
      </c>
      <c r="H799">
        <v>1375.3465576000001</v>
      </c>
      <c r="I799">
        <v>1286.7264404</v>
      </c>
      <c r="J799">
        <v>1267.4747314000001</v>
      </c>
      <c r="K799">
        <v>2400</v>
      </c>
      <c r="L799">
        <v>0</v>
      </c>
      <c r="M799">
        <v>0</v>
      </c>
      <c r="N799">
        <v>2400</v>
      </c>
    </row>
    <row r="800" spans="1:14" x14ac:dyDescent="0.25">
      <c r="A800">
        <v>378.030823</v>
      </c>
      <c r="B800" s="1">
        <f>DATE(2011,5,14) + TIME(0,44,23)</f>
        <v>40677.030821759261</v>
      </c>
      <c r="C800">
        <v>80</v>
      </c>
      <c r="D800">
        <v>79.936866760000001</v>
      </c>
      <c r="E800">
        <v>50</v>
      </c>
      <c r="F800">
        <v>48.270107269</v>
      </c>
      <c r="G800">
        <v>1389.6428223</v>
      </c>
      <c r="H800">
        <v>1375.2983397999999</v>
      </c>
      <c r="I800">
        <v>1286.7237548999999</v>
      </c>
      <c r="J800">
        <v>1267.4697266000001</v>
      </c>
      <c r="K800">
        <v>2400</v>
      </c>
      <c r="L800">
        <v>0</v>
      </c>
      <c r="M800">
        <v>0</v>
      </c>
      <c r="N800">
        <v>2400</v>
      </c>
    </row>
    <row r="801" spans="1:14" x14ac:dyDescent="0.25">
      <c r="A801">
        <v>378.35399100000001</v>
      </c>
      <c r="B801" s="1">
        <f>DATE(2011,5,14) + TIME(8,29,44)</f>
        <v>40677.353981481479</v>
      </c>
      <c r="C801">
        <v>80</v>
      </c>
      <c r="D801">
        <v>79.936820983999993</v>
      </c>
      <c r="E801">
        <v>50</v>
      </c>
      <c r="F801">
        <v>48.236804962000001</v>
      </c>
      <c r="G801">
        <v>1389.5759277</v>
      </c>
      <c r="H801">
        <v>1375.2497559000001</v>
      </c>
      <c r="I801">
        <v>1286.7207031</v>
      </c>
      <c r="J801">
        <v>1267.4642334</v>
      </c>
      <c r="K801">
        <v>2400</v>
      </c>
      <c r="L801">
        <v>0</v>
      </c>
      <c r="M801">
        <v>0</v>
      </c>
      <c r="N801">
        <v>2400</v>
      </c>
    </row>
    <row r="802" spans="1:14" x14ac:dyDescent="0.25">
      <c r="A802">
        <v>378.68129599999997</v>
      </c>
      <c r="B802" s="1">
        <f>DATE(2011,5,14) + TIME(16,21,3)</f>
        <v>40677.681284722225</v>
      </c>
      <c r="C802">
        <v>80</v>
      </c>
      <c r="D802">
        <v>79.936775208</v>
      </c>
      <c r="E802">
        <v>50</v>
      </c>
      <c r="F802">
        <v>48.203250885000003</v>
      </c>
      <c r="G802">
        <v>1389.5090332</v>
      </c>
      <c r="H802">
        <v>1375.2009277</v>
      </c>
      <c r="I802">
        <v>1286.7171631000001</v>
      </c>
      <c r="J802">
        <v>1267.4582519999999</v>
      </c>
      <c r="K802">
        <v>2400</v>
      </c>
      <c r="L802">
        <v>0</v>
      </c>
      <c r="M802">
        <v>0</v>
      </c>
      <c r="N802">
        <v>2400</v>
      </c>
    </row>
    <row r="803" spans="1:14" x14ac:dyDescent="0.25">
      <c r="A803">
        <v>379.01326899999998</v>
      </c>
      <c r="B803" s="1">
        <f>DATE(2011,5,15) + TIME(0,19,6)</f>
        <v>40678.01326388889</v>
      </c>
      <c r="C803">
        <v>80</v>
      </c>
      <c r="D803">
        <v>79.936729431000003</v>
      </c>
      <c r="E803">
        <v>50</v>
      </c>
      <c r="F803">
        <v>48.169403076000002</v>
      </c>
      <c r="G803">
        <v>1389.4418945</v>
      </c>
      <c r="H803">
        <v>1375.1517334</v>
      </c>
      <c r="I803">
        <v>1286.7130127</v>
      </c>
      <c r="J803">
        <v>1267.4516602000001</v>
      </c>
      <c r="K803">
        <v>2400</v>
      </c>
      <c r="L803">
        <v>0</v>
      </c>
      <c r="M803">
        <v>0</v>
      </c>
      <c r="N803">
        <v>2400</v>
      </c>
    </row>
    <row r="804" spans="1:14" x14ac:dyDescent="0.25">
      <c r="A804">
        <v>379.35061000000002</v>
      </c>
      <c r="B804" s="1">
        <f>DATE(2011,5,15) + TIME(8,24,52)</f>
        <v>40678.350601851853</v>
      </c>
      <c r="C804">
        <v>80</v>
      </c>
      <c r="D804">
        <v>79.936683654999996</v>
      </c>
      <c r="E804">
        <v>50</v>
      </c>
      <c r="F804">
        <v>48.135215758999998</v>
      </c>
      <c r="G804">
        <v>1389.3746338000001</v>
      </c>
      <c r="H804">
        <v>1375.1020507999999</v>
      </c>
      <c r="I804">
        <v>1286.7084961</v>
      </c>
      <c r="J804">
        <v>1267.4445800999999</v>
      </c>
      <c r="K804">
        <v>2400</v>
      </c>
      <c r="L804">
        <v>0</v>
      </c>
      <c r="M804">
        <v>0</v>
      </c>
      <c r="N804">
        <v>2400</v>
      </c>
    </row>
    <row r="805" spans="1:14" x14ac:dyDescent="0.25">
      <c r="A805">
        <v>379.69405999999998</v>
      </c>
      <c r="B805" s="1">
        <f>DATE(2011,5,15) + TIME(16,39,26)</f>
        <v>40678.694050925929</v>
      </c>
      <c r="C805">
        <v>80</v>
      </c>
      <c r="D805">
        <v>79.936630249000004</v>
      </c>
      <c r="E805">
        <v>50</v>
      </c>
      <c r="F805">
        <v>48.100624084000003</v>
      </c>
      <c r="G805">
        <v>1389.3068848</v>
      </c>
      <c r="H805">
        <v>1375.0518798999999</v>
      </c>
      <c r="I805">
        <v>1286.7033690999999</v>
      </c>
      <c r="J805">
        <v>1267.4368896000001</v>
      </c>
      <c r="K805">
        <v>2400</v>
      </c>
      <c r="L805">
        <v>0</v>
      </c>
      <c r="M805">
        <v>0</v>
      </c>
      <c r="N805">
        <v>2400</v>
      </c>
    </row>
    <row r="806" spans="1:14" x14ac:dyDescent="0.25">
      <c r="A806">
        <v>380.04441000000003</v>
      </c>
      <c r="B806" s="1">
        <f>DATE(2011,5,16) + TIME(1,3,57)</f>
        <v>40679.044409722221</v>
      </c>
      <c r="C806">
        <v>80</v>
      </c>
      <c r="D806">
        <v>79.936584472999996</v>
      </c>
      <c r="E806">
        <v>50</v>
      </c>
      <c r="F806">
        <v>48.065570831000002</v>
      </c>
      <c r="G806">
        <v>1389.2387695</v>
      </c>
      <c r="H806">
        <v>1375.0012207</v>
      </c>
      <c r="I806">
        <v>1286.6977539</v>
      </c>
      <c r="J806">
        <v>1267.4285889</v>
      </c>
      <c r="K806">
        <v>2400</v>
      </c>
      <c r="L806">
        <v>0</v>
      </c>
      <c r="M806">
        <v>0</v>
      </c>
      <c r="N806">
        <v>2400</v>
      </c>
    </row>
    <row r="807" spans="1:14" x14ac:dyDescent="0.25">
      <c r="A807">
        <v>380.40250900000001</v>
      </c>
      <c r="B807" s="1">
        <f>DATE(2011,5,16) + TIME(9,39,36)</f>
        <v>40679.402499999997</v>
      </c>
      <c r="C807">
        <v>80</v>
      </c>
      <c r="D807">
        <v>79.936538696</v>
      </c>
      <c r="E807">
        <v>50</v>
      </c>
      <c r="F807">
        <v>48.029987335000001</v>
      </c>
      <c r="G807">
        <v>1389.1701660000001</v>
      </c>
      <c r="H807">
        <v>1374.9498291</v>
      </c>
      <c r="I807">
        <v>1286.6915283000001</v>
      </c>
      <c r="J807">
        <v>1267.4196777</v>
      </c>
      <c r="K807">
        <v>2400</v>
      </c>
      <c r="L807">
        <v>0</v>
      </c>
      <c r="M807">
        <v>0</v>
      </c>
      <c r="N807">
        <v>2400</v>
      </c>
    </row>
    <row r="808" spans="1:14" x14ac:dyDescent="0.25">
      <c r="A808">
        <v>380.76868200000001</v>
      </c>
      <c r="B808" s="1">
        <f>DATE(2011,5,16) + TIME(18,26,54)</f>
        <v>40679.768680555557</v>
      </c>
      <c r="C808">
        <v>80</v>
      </c>
      <c r="D808">
        <v>79.936492920000006</v>
      </c>
      <c r="E808">
        <v>50</v>
      </c>
      <c r="F808">
        <v>47.993835449000002</v>
      </c>
      <c r="G808">
        <v>1389.1008300999999</v>
      </c>
      <c r="H808">
        <v>1374.8979492000001</v>
      </c>
      <c r="I808">
        <v>1286.6846923999999</v>
      </c>
      <c r="J808">
        <v>1267.4101562000001</v>
      </c>
      <c r="K808">
        <v>2400</v>
      </c>
      <c r="L808">
        <v>0</v>
      </c>
      <c r="M808">
        <v>0</v>
      </c>
      <c r="N808">
        <v>2400</v>
      </c>
    </row>
    <row r="809" spans="1:14" x14ac:dyDescent="0.25">
      <c r="A809">
        <v>381.13991700000003</v>
      </c>
      <c r="B809" s="1">
        <f>DATE(2011,5,17) + TIME(3,21,28)</f>
        <v>40680.139907407407</v>
      </c>
      <c r="C809">
        <v>80</v>
      </c>
      <c r="D809">
        <v>79.936439514</v>
      </c>
      <c r="E809">
        <v>50</v>
      </c>
      <c r="F809">
        <v>47.957317351999997</v>
      </c>
      <c r="G809">
        <v>1389.0310059000001</v>
      </c>
      <c r="H809">
        <v>1374.8453368999999</v>
      </c>
      <c r="I809">
        <v>1286.6773682</v>
      </c>
      <c r="J809">
        <v>1267.4000243999999</v>
      </c>
      <c r="K809">
        <v>2400</v>
      </c>
      <c r="L809">
        <v>0</v>
      </c>
      <c r="M809">
        <v>0</v>
      </c>
      <c r="N809">
        <v>2400</v>
      </c>
    </row>
    <row r="810" spans="1:14" x14ac:dyDescent="0.25">
      <c r="A810">
        <v>381.51691899999997</v>
      </c>
      <c r="B810" s="1">
        <f>DATE(2011,5,17) + TIME(12,24,21)</f>
        <v>40680.516909722224</v>
      </c>
      <c r="C810">
        <v>80</v>
      </c>
      <c r="D810">
        <v>79.936393738000007</v>
      </c>
      <c r="E810">
        <v>50</v>
      </c>
      <c r="F810">
        <v>47.920406342</v>
      </c>
      <c r="G810">
        <v>1388.9610596</v>
      </c>
      <c r="H810">
        <v>1374.7924805</v>
      </c>
      <c r="I810">
        <v>1286.6694336</v>
      </c>
      <c r="J810">
        <v>1267.3892822</v>
      </c>
      <c r="K810">
        <v>2400</v>
      </c>
      <c r="L810">
        <v>0</v>
      </c>
      <c r="M810">
        <v>0</v>
      </c>
      <c r="N810">
        <v>2400</v>
      </c>
    </row>
    <row r="811" spans="1:14" x14ac:dyDescent="0.25">
      <c r="A811">
        <v>381.90043900000001</v>
      </c>
      <c r="B811" s="1">
        <f>DATE(2011,5,17) + TIME(21,36,37)</f>
        <v>40680.90042824074</v>
      </c>
      <c r="C811">
        <v>80</v>
      </c>
      <c r="D811">
        <v>79.936347960999996</v>
      </c>
      <c r="E811">
        <v>50</v>
      </c>
      <c r="F811">
        <v>47.883060454999999</v>
      </c>
      <c r="G811">
        <v>1388.8909911999999</v>
      </c>
      <c r="H811">
        <v>1374.7393798999999</v>
      </c>
      <c r="I811">
        <v>1286.6610106999999</v>
      </c>
      <c r="J811">
        <v>1267.3779297000001</v>
      </c>
      <c r="K811">
        <v>2400</v>
      </c>
      <c r="L811">
        <v>0</v>
      </c>
      <c r="M811">
        <v>0</v>
      </c>
      <c r="N811">
        <v>2400</v>
      </c>
    </row>
    <row r="812" spans="1:14" x14ac:dyDescent="0.25">
      <c r="A812">
        <v>382.29128300000002</v>
      </c>
      <c r="B812" s="1">
        <f>DATE(2011,5,18) + TIME(6,59,26)</f>
        <v>40681.291273148148</v>
      </c>
      <c r="C812">
        <v>80</v>
      </c>
      <c r="D812">
        <v>79.936302185000002</v>
      </c>
      <c r="E812">
        <v>50</v>
      </c>
      <c r="F812">
        <v>47.845233917000002</v>
      </c>
      <c r="G812">
        <v>1388.8205565999999</v>
      </c>
      <c r="H812">
        <v>1374.6857910000001</v>
      </c>
      <c r="I812">
        <v>1286.6520995999999</v>
      </c>
      <c r="J812">
        <v>1267.3659668</v>
      </c>
      <c r="K812">
        <v>2400</v>
      </c>
      <c r="L812">
        <v>0</v>
      </c>
      <c r="M812">
        <v>0</v>
      </c>
      <c r="N812">
        <v>2400</v>
      </c>
    </row>
    <row r="813" spans="1:14" x14ac:dyDescent="0.25">
      <c r="A813">
        <v>382.69033300000001</v>
      </c>
      <c r="B813" s="1">
        <f>DATE(2011,5,18) + TIME(16,34,4)</f>
        <v>40681.690324074072</v>
      </c>
      <c r="C813">
        <v>80</v>
      </c>
      <c r="D813">
        <v>79.936256408999995</v>
      </c>
      <c r="E813">
        <v>50</v>
      </c>
      <c r="F813">
        <v>47.806865692000002</v>
      </c>
      <c r="G813">
        <v>1388.7498779</v>
      </c>
      <c r="H813">
        <v>1374.6318358999999</v>
      </c>
      <c r="I813">
        <v>1286.6425781</v>
      </c>
      <c r="J813">
        <v>1267.3533935999999</v>
      </c>
      <c r="K813">
        <v>2400</v>
      </c>
      <c r="L813">
        <v>0</v>
      </c>
      <c r="M813">
        <v>0</v>
      </c>
      <c r="N813">
        <v>2400</v>
      </c>
    </row>
    <row r="814" spans="1:14" x14ac:dyDescent="0.25">
      <c r="A814">
        <v>383.098546</v>
      </c>
      <c r="B814" s="1">
        <f>DATE(2011,5,19) + TIME(2,21,54)</f>
        <v>40682.098541666666</v>
      </c>
      <c r="C814">
        <v>80</v>
      </c>
      <c r="D814">
        <v>79.936210631999998</v>
      </c>
      <c r="E814">
        <v>50</v>
      </c>
      <c r="F814">
        <v>47.76789093</v>
      </c>
      <c r="G814">
        <v>1388.6787108999999</v>
      </c>
      <c r="H814">
        <v>1374.5773925999999</v>
      </c>
      <c r="I814">
        <v>1286.6325684000001</v>
      </c>
      <c r="J814">
        <v>1267.3402100000001</v>
      </c>
      <c r="K814">
        <v>2400</v>
      </c>
      <c r="L814">
        <v>0</v>
      </c>
      <c r="M814">
        <v>0</v>
      </c>
      <c r="N814">
        <v>2400</v>
      </c>
    </row>
    <row r="815" spans="1:14" x14ac:dyDescent="0.25">
      <c r="A815">
        <v>383.51698199999998</v>
      </c>
      <c r="B815" s="1">
        <f>DATE(2011,5,19) + TIME(12,24,27)</f>
        <v>40682.516979166663</v>
      </c>
      <c r="C815">
        <v>80</v>
      </c>
      <c r="D815">
        <v>79.936164856000005</v>
      </c>
      <c r="E815">
        <v>50</v>
      </c>
      <c r="F815">
        <v>47.728229523000003</v>
      </c>
      <c r="G815">
        <v>1388.6070557</v>
      </c>
      <c r="H815">
        <v>1374.5223389</v>
      </c>
      <c r="I815">
        <v>1286.6219481999999</v>
      </c>
      <c r="J815">
        <v>1267.3264160000001</v>
      </c>
      <c r="K815">
        <v>2400</v>
      </c>
      <c r="L815">
        <v>0</v>
      </c>
      <c r="M815">
        <v>0</v>
      </c>
      <c r="N815">
        <v>2400</v>
      </c>
    </row>
    <row r="816" spans="1:14" x14ac:dyDescent="0.25">
      <c r="A816">
        <v>383.946819</v>
      </c>
      <c r="B816" s="1">
        <f>DATE(2011,5,19) + TIME(22,43,25)</f>
        <v>40682.946817129632</v>
      </c>
      <c r="C816">
        <v>80</v>
      </c>
      <c r="D816">
        <v>79.936119079999997</v>
      </c>
      <c r="E816">
        <v>50</v>
      </c>
      <c r="F816">
        <v>47.687793732000003</v>
      </c>
      <c r="G816">
        <v>1388.5345459</v>
      </c>
      <c r="H816">
        <v>1374.4666748</v>
      </c>
      <c r="I816">
        <v>1286.6107178</v>
      </c>
      <c r="J816">
        <v>1267.3118896000001</v>
      </c>
      <c r="K816">
        <v>2400</v>
      </c>
      <c r="L816">
        <v>0</v>
      </c>
      <c r="M816">
        <v>0</v>
      </c>
      <c r="N816">
        <v>2400</v>
      </c>
    </row>
    <row r="817" spans="1:14" x14ac:dyDescent="0.25">
      <c r="A817">
        <v>384.38604099999998</v>
      </c>
      <c r="B817" s="1">
        <f>DATE(2011,5,20) + TIME(9,15,53)</f>
        <v>40683.386030092595</v>
      </c>
      <c r="C817">
        <v>80</v>
      </c>
      <c r="D817">
        <v>79.936080933</v>
      </c>
      <c r="E817">
        <v>50</v>
      </c>
      <c r="F817">
        <v>47.646697998</v>
      </c>
      <c r="G817">
        <v>1388.4614257999999</v>
      </c>
      <c r="H817">
        <v>1374.4101562000001</v>
      </c>
      <c r="I817">
        <v>1286.5988769999999</v>
      </c>
      <c r="J817">
        <v>1267.2966309000001</v>
      </c>
      <c r="K817">
        <v>2400</v>
      </c>
      <c r="L817">
        <v>0</v>
      </c>
      <c r="M817">
        <v>0</v>
      </c>
      <c r="N817">
        <v>2400</v>
      </c>
    </row>
    <row r="818" spans="1:14" x14ac:dyDescent="0.25">
      <c r="A818">
        <v>384.82885499999998</v>
      </c>
      <c r="B818" s="1">
        <f>DATE(2011,5,20) + TIME(19,53,33)</f>
        <v>40683.82885416667</v>
      </c>
      <c r="C818">
        <v>80</v>
      </c>
      <c r="D818">
        <v>79.936035156000003</v>
      </c>
      <c r="E818">
        <v>50</v>
      </c>
      <c r="F818">
        <v>47.605297088999997</v>
      </c>
      <c r="G818">
        <v>1388.3879394999999</v>
      </c>
      <c r="H818">
        <v>1374.3533935999999</v>
      </c>
      <c r="I818">
        <v>1286.5865478999999</v>
      </c>
      <c r="J818">
        <v>1267.2807617000001</v>
      </c>
      <c r="K818">
        <v>2400</v>
      </c>
      <c r="L818">
        <v>0</v>
      </c>
      <c r="M818">
        <v>0</v>
      </c>
      <c r="N818">
        <v>2400</v>
      </c>
    </row>
    <row r="819" spans="1:14" x14ac:dyDescent="0.25">
      <c r="A819">
        <v>385.27397400000001</v>
      </c>
      <c r="B819" s="1">
        <f>DATE(2011,5,21) + TIME(6,34,31)</f>
        <v>40684.273969907408</v>
      </c>
      <c r="C819">
        <v>80</v>
      </c>
      <c r="D819">
        <v>79.935989379999995</v>
      </c>
      <c r="E819">
        <v>50</v>
      </c>
      <c r="F819">
        <v>47.563751220999997</v>
      </c>
      <c r="G819">
        <v>1388.3150635</v>
      </c>
      <c r="H819">
        <v>1374.2967529</v>
      </c>
      <c r="I819">
        <v>1286.5737305</v>
      </c>
      <c r="J819">
        <v>1267.2645264</v>
      </c>
      <c r="K819">
        <v>2400</v>
      </c>
      <c r="L819">
        <v>0</v>
      </c>
      <c r="M819">
        <v>0</v>
      </c>
      <c r="N819">
        <v>2400</v>
      </c>
    </row>
    <row r="820" spans="1:14" x14ac:dyDescent="0.25">
      <c r="A820">
        <v>385.72230000000002</v>
      </c>
      <c r="B820" s="1">
        <f>DATE(2011,5,21) + TIME(17,20,6)</f>
        <v>40684.722291666665</v>
      </c>
      <c r="C820">
        <v>80</v>
      </c>
      <c r="D820">
        <v>79.935951232999997</v>
      </c>
      <c r="E820">
        <v>50</v>
      </c>
      <c r="F820">
        <v>47.522068023999999</v>
      </c>
      <c r="G820">
        <v>1388.2426757999999</v>
      </c>
      <c r="H820">
        <v>1374.2406006000001</v>
      </c>
      <c r="I820">
        <v>1286.5605469</v>
      </c>
      <c r="J820">
        <v>1267.2476807</v>
      </c>
      <c r="K820">
        <v>2400</v>
      </c>
      <c r="L820">
        <v>0</v>
      </c>
      <c r="M820">
        <v>0</v>
      </c>
      <c r="N820">
        <v>2400</v>
      </c>
    </row>
    <row r="821" spans="1:14" x14ac:dyDescent="0.25">
      <c r="A821">
        <v>386.17473100000001</v>
      </c>
      <c r="B821" s="1">
        <f>DATE(2011,5,22) + TIME(4,11,36)</f>
        <v>40685.174722222226</v>
      </c>
      <c r="C821">
        <v>80</v>
      </c>
      <c r="D821">
        <v>79.935905457000004</v>
      </c>
      <c r="E821">
        <v>50</v>
      </c>
      <c r="F821">
        <v>47.480224608999997</v>
      </c>
      <c r="G821">
        <v>1388.1710204999999</v>
      </c>
      <c r="H821">
        <v>1374.1846923999999</v>
      </c>
      <c r="I821">
        <v>1286.5469971</v>
      </c>
      <c r="J821">
        <v>1267.2305908000001</v>
      </c>
      <c r="K821">
        <v>2400</v>
      </c>
      <c r="L821">
        <v>0</v>
      </c>
      <c r="M821">
        <v>0</v>
      </c>
      <c r="N821">
        <v>2400</v>
      </c>
    </row>
    <row r="822" spans="1:14" x14ac:dyDescent="0.25">
      <c r="A822">
        <v>386.63232199999999</v>
      </c>
      <c r="B822" s="1">
        <f>DATE(2011,5,22) + TIME(15,10,32)</f>
        <v>40685.632314814815</v>
      </c>
      <c r="C822">
        <v>80</v>
      </c>
      <c r="D822">
        <v>79.935874939000001</v>
      </c>
      <c r="E822">
        <v>50</v>
      </c>
      <c r="F822">
        <v>47.438171386999997</v>
      </c>
      <c r="G822">
        <v>1388.0998535000001</v>
      </c>
      <c r="H822">
        <v>1374.1290283000001</v>
      </c>
      <c r="I822">
        <v>1286.5332031</v>
      </c>
      <c r="J822">
        <v>1267.2130127</v>
      </c>
      <c r="K822">
        <v>2400</v>
      </c>
      <c r="L822">
        <v>0</v>
      </c>
      <c r="M822">
        <v>0</v>
      </c>
      <c r="N822">
        <v>2400</v>
      </c>
    </row>
    <row r="823" spans="1:14" x14ac:dyDescent="0.25">
      <c r="A823">
        <v>387.09596199999999</v>
      </c>
      <c r="B823" s="1">
        <f>DATE(2011,5,23) + TIME(2,18,11)</f>
        <v>40686.095960648148</v>
      </c>
      <c r="C823">
        <v>80</v>
      </c>
      <c r="D823">
        <v>79.935836792000003</v>
      </c>
      <c r="E823">
        <v>50</v>
      </c>
      <c r="F823">
        <v>47.395858765</v>
      </c>
      <c r="G823">
        <v>1388.0288086</v>
      </c>
      <c r="H823">
        <v>1374.0733643000001</v>
      </c>
      <c r="I823">
        <v>1286.5189209</v>
      </c>
      <c r="J823">
        <v>1267.1949463000001</v>
      </c>
      <c r="K823">
        <v>2400</v>
      </c>
      <c r="L823">
        <v>0</v>
      </c>
      <c r="M823">
        <v>0</v>
      </c>
      <c r="N823">
        <v>2400</v>
      </c>
    </row>
    <row r="824" spans="1:14" x14ac:dyDescent="0.25">
      <c r="A824">
        <v>387.56655799999999</v>
      </c>
      <c r="B824" s="1">
        <f>DATE(2011,5,23) + TIME(13,35,50)</f>
        <v>40686.566550925927</v>
      </c>
      <c r="C824">
        <v>80</v>
      </c>
      <c r="D824">
        <v>79.935798645000006</v>
      </c>
      <c r="E824">
        <v>50</v>
      </c>
      <c r="F824">
        <v>47.353218079000001</v>
      </c>
      <c r="G824">
        <v>1387.9581298999999</v>
      </c>
      <c r="H824">
        <v>1374.0178223</v>
      </c>
      <c r="I824">
        <v>1286.5042725000001</v>
      </c>
      <c r="J824">
        <v>1267.1763916</v>
      </c>
      <c r="K824">
        <v>2400</v>
      </c>
      <c r="L824">
        <v>0</v>
      </c>
      <c r="M824">
        <v>0</v>
      </c>
      <c r="N824">
        <v>2400</v>
      </c>
    </row>
    <row r="825" spans="1:14" x14ac:dyDescent="0.25">
      <c r="A825">
        <v>388.045143</v>
      </c>
      <c r="B825" s="1">
        <f>DATE(2011,5,24) + TIME(1,5,0)</f>
        <v>40687.045138888891</v>
      </c>
      <c r="C825">
        <v>80</v>
      </c>
      <c r="D825">
        <v>79.935768127000003</v>
      </c>
      <c r="E825">
        <v>50</v>
      </c>
      <c r="F825">
        <v>47.310184479</v>
      </c>
      <c r="G825">
        <v>1387.8873291</v>
      </c>
      <c r="H825">
        <v>1373.9621582</v>
      </c>
      <c r="I825">
        <v>1286.4891356999999</v>
      </c>
      <c r="J825">
        <v>1267.1573486</v>
      </c>
      <c r="K825">
        <v>2400</v>
      </c>
      <c r="L825">
        <v>0</v>
      </c>
      <c r="M825">
        <v>0</v>
      </c>
      <c r="N825">
        <v>2400</v>
      </c>
    </row>
    <row r="826" spans="1:14" x14ac:dyDescent="0.25">
      <c r="A826">
        <v>388.53281800000002</v>
      </c>
      <c r="B826" s="1">
        <f>DATE(2011,5,24) + TIME(12,47,15)</f>
        <v>40687.532812500001</v>
      </c>
      <c r="C826">
        <v>80</v>
      </c>
      <c r="D826">
        <v>79.935729980000005</v>
      </c>
      <c r="E826">
        <v>50</v>
      </c>
      <c r="F826">
        <v>47.266677856000001</v>
      </c>
      <c r="G826">
        <v>1387.8165283000001</v>
      </c>
      <c r="H826">
        <v>1373.90625</v>
      </c>
      <c r="I826">
        <v>1286.4736327999999</v>
      </c>
      <c r="J826">
        <v>1267.1376952999999</v>
      </c>
      <c r="K826">
        <v>2400</v>
      </c>
      <c r="L826">
        <v>0</v>
      </c>
      <c r="M826">
        <v>0</v>
      </c>
      <c r="N826">
        <v>2400</v>
      </c>
    </row>
    <row r="827" spans="1:14" x14ac:dyDescent="0.25">
      <c r="A827">
        <v>389.03077000000002</v>
      </c>
      <c r="B827" s="1">
        <f>DATE(2011,5,25) + TIME(0,44,18)</f>
        <v>40688.030763888892</v>
      </c>
      <c r="C827">
        <v>80</v>
      </c>
      <c r="D827">
        <v>79.935699463000006</v>
      </c>
      <c r="E827">
        <v>50</v>
      </c>
      <c r="F827">
        <v>47.222614288000003</v>
      </c>
      <c r="G827">
        <v>1387.7456055</v>
      </c>
      <c r="H827">
        <v>1373.8500977000001</v>
      </c>
      <c r="I827">
        <v>1286.4575195</v>
      </c>
      <c r="J827">
        <v>1267.1174315999999</v>
      </c>
      <c r="K827">
        <v>2400</v>
      </c>
      <c r="L827">
        <v>0</v>
      </c>
      <c r="M827">
        <v>0</v>
      </c>
      <c r="N827">
        <v>2400</v>
      </c>
    </row>
    <row r="828" spans="1:14" x14ac:dyDescent="0.25">
      <c r="A828">
        <v>389.54028399999999</v>
      </c>
      <c r="B828" s="1">
        <f>DATE(2011,5,25) + TIME(12,58,0)</f>
        <v>40688.540277777778</v>
      </c>
      <c r="C828">
        <v>80</v>
      </c>
      <c r="D828">
        <v>79.935668945000003</v>
      </c>
      <c r="E828">
        <v>50</v>
      </c>
      <c r="F828">
        <v>47.177894592000001</v>
      </c>
      <c r="G828">
        <v>1387.6741943</v>
      </c>
      <c r="H828">
        <v>1373.7935791</v>
      </c>
      <c r="I828">
        <v>1286.440918</v>
      </c>
      <c r="J828">
        <v>1267.0965576000001</v>
      </c>
      <c r="K828">
        <v>2400</v>
      </c>
      <c r="L828">
        <v>0</v>
      </c>
      <c r="M828">
        <v>0</v>
      </c>
      <c r="N828">
        <v>2400</v>
      </c>
    </row>
    <row r="829" spans="1:14" x14ac:dyDescent="0.25">
      <c r="A829">
        <v>390.06277499999999</v>
      </c>
      <c r="B829" s="1">
        <f>DATE(2011,5,26) + TIME(1,30,23)</f>
        <v>40689.0627662037</v>
      </c>
      <c r="C829">
        <v>80</v>
      </c>
      <c r="D829">
        <v>79.935638428000004</v>
      </c>
      <c r="E829">
        <v>50</v>
      </c>
      <c r="F829">
        <v>47.132427216000004</v>
      </c>
      <c r="G829">
        <v>1387.6022949000001</v>
      </c>
      <c r="H829">
        <v>1373.7365723</v>
      </c>
      <c r="I829">
        <v>1286.4238281</v>
      </c>
      <c r="J829">
        <v>1267.0749512</v>
      </c>
      <c r="K829">
        <v>2400</v>
      </c>
      <c r="L829">
        <v>0</v>
      </c>
      <c r="M829">
        <v>0</v>
      </c>
      <c r="N829">
        <v>2400</v>
      </c>
    </row>
    <row r="830" spans="1:14" x14ac:dyDescent="0.25">
      <c r="A830">
        <v>390.59597000000002</v>
      </c>
      <c r="B830" s="1">
        <f>DATE(2011,5,26) + TIME(14,18,11)</f>
        <v>40689.595960648148</v>
      </c>
      <c r="C830">
        <v>80</v>
      </c>
      <c r="D830">
        <v>79.935607910000002</v>
      </c>
      <c r="E830">
        <v>50</v>
      </c>
      <c r="F830">
        <v>47.086299896</v>
      </c>
      <c r="G830">
        <v>1387.5299072</v>
      </c>
      <c r="H830">
        <v>1373.6789550999999</v>
      </c>
      <c r="I830">
        <v>1286.4060059000001</v>
      </c>
      <c r="J830">
        <v>1267.0524902</v>
      </c>
      <c r="K830">
        <v>2400</v>
      </c>
      <c r="L830">
        <v>0</v>
      </c>
      <c r="M830">
        <v>0</v>
      </c>
      <c r="N830">
        <v>2400</v>
      </c>
    </row>
    <row r="831" spans="1:14" x14ac:dyDescent="0.25">
      <c r="A831">
        <v>391.135222</v>
      </c>
      <c r="B831" s="1">
        <f>DATE(2011,5,27) + TIME(3,14,43)</f>
        <v>40690.13521990741</v>
      </c>
      <c r="C831">
        <v>80</v>
      </c>
      <c r="D831">
        <v>79.935585021999998</v>
      </c>
      <c r="E831">
        <v>50</v>
      </c>
      <c r="F831">
        <v>47.039772034000002</v>
      </c>
      <c r="G831">
        <v>1387.4573975000001</v>
      </c>
      <c r="H831">
        <v>1373.6210937999999</v>
      </c>
      <c r="I831">
        <v>1286.3875731999999</v>
      </c>
      <c r="J831">
        <v>1267.0294189000001</v>
      </c>
      <c r="K831">
        <v>2400</v>
      </c>
      <c r="L831">
        <v>0</v>
      </c>
      <c r="M831">
        <v>0</v>
      </c>
      <c r="N831">
        <v>2400</v>
      </c>
    </row>
    <row r="832" spans="1:14" x14ac:dyDescent="0.25">
      <c r="A832">
        <v>391.68143099999998</v>
      </c>
      <c r="B832" s="1">
        <f>DATE(2011,5,27) + TIME(16,21,15)</f>
        <v>40690.681423611109</v>
      </c>
      <c r="C832">
        <v>80</v>
      </c>
      <c r="D832">
        <v>79.935554503999995</v>
      </c>
      <c r="E832">
        <v>50</v>
      </c>
      <c r="F832">
        <v>46.992870330999999</v>
      </c>
      <c r="G832">
        <v>1387.3850098</v>
      </c>
      <c r="H832">
        <v>1373.5633545000001</v>
      </c>
      <c r="I832">
        <v>1286.3687743999999</v>
      </c>
      <c r="J832">
        <v>1267.0057373</v>
      </c>
      <c r="K832">
        <v>2400</v>
      </c>
      <c r="L832">
        <v>0</v>
      </c>
      <c r="M832">
        <v>0</v>
      </c>
      <c r="N832">
        <v>2400</v>
      </c>
    </row>
    <row r="833" spans="1:14" x14ac:dyDescent="0.25">
      <c r="A833">
        <v>392.23566799999998</v>
      </c>
      <c r="B833" s="1">
        <f>DATE(2011,5,28) + TIME(5,39,21)</f>
        <v>40691.235659722224</v>
      </c>
      <c r="C833">
        <v>80</v>
      </c>
      <c r="D833">
        <v>79.935531616000006</v>
      </c>
      <c r="E833">
        <v>50</v>
      </c>
      <c r="F833">
        <v>46.945571899000001</v>
      </c>
      <c r="G833">
        <v>1387.3128661999999</v>
      </c>
      <c r="H833">
        <v>1373.5056152</v>
      </c>
      <c r="I833">
        <v>1286.3494873</v>
      </c>
      <c r="J833">
        <v>1266.9815673999999</v>
      </c>
      <c r="K833">
        <v>2400</v>
      </c>
      <c r="L833">
        <v>0</v>
      </c>
      <c r="M833">
        <v>0</v>
      </c>
      <c r="N833">
        <v>2400</v>
      </c>
    </row>
    <row r="834" spans="1:14" x14ac:dyDescent="0.25">
      <c r="A834">
        <v>392.79908399999999</v>
      </c>
      <c r="B834" s="1">
        <f>DATE(2011,5,28) + TIME(19,10,40)</f>
        <v>40691.799074074072</v>
      </c>
      <c r="C834">
        <v>80</v>
      </c>
      <c r="D834">
        <v>79.935501099000007</v>
      </c>
      <c r="E834">
        <v>50</v>
      </c>
      <c r="F834">
        <v>46.897838593000003</v>
      </c>
      <c r="G834">
        <v>1387.2408447</v>
      </c>
      <c r="H834">
        <v>1373.447876</v>
      </c>
      <c r="I834">
        <v>1286.3298339999999</v>
      </c>
      <c r="J834">
        <v>1266.9566649999999</v>
      </c>
      <c r="K834">
        <v>2400</v>
      </c>
      <c r="L834">
        <v>0</v>
      </c>
      <c r="M834">
        <v>0</v>
      </c>
      <c r="N834">
        <v>2400</v>
      </c>
    </row>
    <row r="835" spans="1:14" x14ac:dyDescent="0.25">
      <c r="A835">
        <v>393.37291499999998</v>
      </c>
      <c r="B835" s="1">
        <f>DATE(2011,5,29) + TIME(8,56,59)</f>
        <v>40692.37290509259</v>
      </c>
      <c r="C835">
        <v>80</v>
      </c>
      <c r="D835">
        <v>79.935478209999999</v>
      </c>
      <c r="E835">
        <v>50</v>
      </c>
      <c r="F835">
        <v>46.849594115999999</v>
      </c>
      <c r="G835">
        <v>1387.1688231999999</v>
      </c>
      <c r="H835">
        <v>1373.3898925999999</v>
      </c>
      <c r="I835">
        <v>1286.3095702999999</v>
      </c>
      <c r="J835">
        <v>1266.9310303</v>
      </c>
      <c r="K835">
        <v>2400</v>
      </c>
      <c r="L835">
        <v>0</v>
      </c>
      <c r="M835">
        <v>0</v>
      </c>
      <c r="N835">
        <v>2400</v>
      </c>
    </row>
    <row r="836" spans="1:14" x14ac:dyDescent="0.25">
      <c r="A836">
        <v>393.95853199999999</v>
      </c>
      <c r="B836" s="1">
        <f>DATE(2011,5,29) + TIME(23,0,17)</f>
        <v>40692.95853009259</v>
      </c>
      <c r="C836">
        <v>80</v>
      </c>
      <c r="D836">
        <v>79.935455321999996</v>
      </c>
      <c r="E836">
        <v>50</v>
      </c>
      <c r="F836">
        <v>46.800765990999999</v>
      </c>
      <c r="G836">
        <v>1387.0965576000001</v>
      </c>
      <c r="H836">
        <v>1373.3316649999999</v>
      </c>
      <c r="I836">
        <v>1286.2886963000001</v>
      </c>
      <c r="J836">
        <v>1266.9047852000001</v>
      </c>
      <c r="K836">
        <v>2400</v>
      </c>
      <c r="L836">
        <v>0</v>
      </c>
      <c r="M836">
        <v>0</v>
      </c>
      <c r="N836">
        <v>2400</v>
      </c>
    </row>
    <row r="837" spans="1:14" x14ac:dyDescent="0.25">
      <c r="A837">
        <v>394.54730899999998</v>
      </c>
      <c r="B837" s="1">
        <f>DATE(2011,5,30) + TIME(13,8,7)</f>
        <v>40693.547303240739</v>
      </c>
      <c r="C837">
        <v>80</v>
      </c>
      <c r="D837">
        <v>79.935440063000001</v>
      </c>
      <c r="E837">
        <v>50</v>
      </c>
      <c r="F837">
        <v>46.751743316999999</v>
      </c>
      <c r="G837">
        <v>1387.0244141000001</v>
      </c>
      <c r="H837">
        <v>1373.2734375</v>
      </c>
      <c r="I837">
        <v>1286.2672118999999</v>
      </c>
      <c r="J837">
        <v>1266.8776855000001</v>
      </c>
      <c r="K837">
        <v>2400</v>
      </c>
      <c r="L837">
        <v>0</v>
      </c>
      <c r="M837">
        <v>0</v>
      </c>
      <c r="N837">
        <v>2400</v>
      </c>
    </row>
    <row r="838" spans="1:14" x14ac:dyDescent="0.25">
      <c r="A838">
        <v>395.14016299999997</v>
      </c>
      <c r="B838" s="1">
        <f>DATE(2011,5,31) + TIME(3,21,50)</f>
        <v>40694.140162037038</v>
      </c>
      <c r="C838">
        <v>80</v>
      </c>
      <c r="D838">
        <v>79.935417174999998</v>
      </c>
      <c r="E838">
        <v>50</v>
      </c>
      <c r="F838">
        <v>46.702590942</v>
      </c>
      <c r="G838">
        <v>1386.9527588000001</v>
      </c>
      <c r="H838">
        <v>1373.2155762</v>
      </c>
      <c r="I838">
        <v>1286.2453613</v>
      </c>
      <c r="J838">
        <v>1266.8500977000001</v>
      </c>
      <c r="K838">
        <v>2400</v>
      </c>
      <c r="L838">
        <v>0</v>
      </c>
      <c r="M838">
        <v>0</v>
      </c>
      <c r="N838">
        <v>2400</v>
      </c>
    </row>
    <row r="839" spans="1:14" x14ac:dyDescent="0.25">
      <c r="A839">
        <v>395.73832700000003</v>
      </c>
      <c r="B839" s="1">
        <f>DATE(2011,5,31) + TIME(17,43,11)</f>
        <v>40694.738321759258</v>
      </c>
      <c r="C839">
        <v>80</v>
      </c>
      <c r="D839">
        <v>79.935394286999994</v>
      </c>
      <c r="E839">
        <v>50</v>
      </c>
      <c r="F839">
        <v>46.653301239000001</v>
      </c>
      <c r="G839">
        <v>1386.8817139</v>
      </c>
      <c r="H839">
        <v>1373.1579589999999</v>
      </c>
      <c r="I839">
        <v>1286.2231445</v>
      </c>
      <c r="J839">
        <v>1266.8218993999999</v>
      </c>
      <c r="K839">
        <v>2400</v>
      </c>
      <c r="L839">
        <v>0</v>
      </c>
      <c r="M839">
        <v>0</v>
      </c>
      <c r="N839">
        <v>2400</v>
      </c>
    </row>
    <row r="840" spans="1:14" x14ac:dyDescent="0.25">
      <c r="A840">
        <v>396</v>
      </c>
      <c r="B840" s="1">
        <f>DATE(2011,6,1) + TIME(0,0,0)</f>
        <v>40695</v>
      </c>
      <c r="C840">
        <v>80</v>
      </c>
      <c r="D840">
        <v>79.935340881000002</v>
      </c>
      <c r="E840">
        <v>50</v>
      </c>
      <c r="F840">
        <v>46.625194550000003</v>
      </c>
      <c r="G840">
        <v>1386.8264160000001</v>
      </c>
      <c r="H840">
        <v>1373.1148682</v>
      </c>
      <c r="I840">
        <v>1286.2026367000001</v>
      </c>
      <c r="J840">
        <v>1266.7990723</v>
      </c>
      <c r="K840">
        <v>2400</v>
      </c>
      <c r="L840">
        <v>0</v>
      </c>
      <c r="M840">
        <v>0</v>
      </c>
      <c r="N840">
        <v>2400</v>
      </c>
    </row>
    <row r="841" spans="1:14" x14ac:dyDescent="0.25">
      <c r="A841">
        <v>396.60497900000001</v>
      </c>
      <c r="B841" s="1">
        <f>DATE(2011,6,1) + TIME(14,31,10)</f>
        <v>40695.60497685185</v>
      </c>
      <c r="C841">
        <v>80</v>
      </c>
      <c r="D841">
        <v>79.935371399000005</v>
      </c>
      <c r="E841">
        <v>50</v>
      </c>
      <c r="F841">
        <v>46.578563690000003</v>
      </c>
      <c r="G841">
        <v>1386.7767334</v>
      </c>
      <c r="H841">
        <v>1373.0722656</v>
      </c>
      <c r="I841">
        <v>1286.1895752</v>
      </c>
      <c r="J841">
        <v>1266.7788086</v>
      </c>
      <c r="K841">
        <v>2400</v>
      </c>
      <c r="L841">
        <v>0</v>
      </c>
      <c r="M841">
        <v>0</v>
      </c>
      <c r="N841">
        <v>2400</v>
      </c>
    </row>
    <row r="842" spans="1:14" x14ac:dyDescent="0.25">
      <c r="A842">
        <v>397.22189500000002</v>
      </c>
      <c r="B842" s="1">
        <f>DATE(2011,6,2) + TIME(5,19,31)</f>
        <v>40696.221886574072</v>
      </c>
      <c r="C842">
        <v>80</v>
      </c>
      <c r="D842">
        <v>79.935363769999995</v>
      </c>
      <c r="E842">
        <v>50</v>
      </c>
      <c r="F842">
        <v>46.530357361</v>
      </c>
      <c r="G842">
        <v>1386.7095947</v>
      </c>
      <c r="H842">
        <v>1373.0178223</v>
      </c>
      <c r="I842">
        <v>1286.1671143000001</v>
      </c>
      <c r="J842">
        <v>1266.7504882999999</v>
      </c>
      <c r="K842">
        <v>2400</v>
      </c>
      <c r="L842">
        <v>0</v>
      </c>
      <c r="M842">
        <v>0</v>
      </c>
      <c r="N842">
        <v>2400</v>
      </c>
    </row>
    <row r="843" spans="1:14" x14ac:dyDescent="0.25">
      <c r="A843">
        <v>397.84858000000003</v>
      </c>
      <c r="B843" s="1">
        <f>DATE(2011,6,2) + TIME(20,21,57)</f>
        <v>40696.848576388889</v>
      </c>
      <c r="C843">
        <v>80</v>
      </c>
      <c r="D843">
        <v>79.935348511000001</v>
      </c>
      <c r="E843">
        <v>50</v>
      </c>
      <c r="F843">
        <v>46.481063843000001</v>
      </c>
      <c r="G843">
        <v>1386.6402588000001</v>
      </c>
      <c r="H843">
        <v>1372.9613036999999</v>
      </c>
      <c r="I843">
        <v>1286.1433105000001</v>
      </c>
      <c r="J843">
        <v>1266.7202147999999</v>
      </c>
      <c r="K843">
        <v>2400</v>
      </c>
      <c r="L843">
        <v>0</v>
      </c>
      <c r="M843">
        <v>0</v>
      </c>
      <c r="N843">
        <v>2400</v>
      </c>
    </row>
    <row r="844" spans="1:14" x14ac:dyDescent="0.25">
      <c r="A844">
        <v>398.48658899999998</v>
      </c>
      <c r="B844" s="1">
        <f>DATE(2011,6,3) + TIME(11,40,41)</f>
        <v>40697.486585648148</v>
      </c>
      <c r="C844">
        <v>80</v>
      </c>
      <c r="D844">
        <v>79.935333252000007</v>
      </c>
      <c r="E844">
        <v>50</v>
      </c>
      <c r="F844">
        <v>46.430877686000002</v>
      </c>
      <c r="G844">
        <v>1386.5703125</v>
      </c>
      <c r="H844">
        <v>1372.9041748</v>
      </c>
      <c r="I844">
        <v>1286.1186522999999</v>
      </c>
      <c r="J844">
        <v>1266.6889647999999</v>
      </c>
      <c r="K844">
        <v>2400</v>
      </c>
      <c r="L844">
        <v>0</v>
      </c>
      <c r="M844">
        <v>0</v>
      </c>
      <c r="N844">
        <v>2400</v>
      </c>
    </row>
    <row r="845" spans="1:14" x14ac:dyDescent="0.25">
      <c r="A845">
        <v>399.13750800000003</v>
      </c>
      <c r="B845" s="1">
        <f>DATE(2011,6,4) + TIME(3,18,0)</f>
        <v>40698.137499999997</v>
      </c>
      <c r="C845">
        <v>80</v>
      </c>
      <c r="D845">
        <v>79.935325622999997</v>
      </c>
      <c r="E845">
        <v>50</v>
      </c>
      <c r="F845">
        <v>46.379871368000003</v>
      </c>
      <c r="G845">
        <v>1386.5</v>
      </c>
      <c r="H845">
        <v>1372.8466797000001</v>
      </c>
      <c r="I845">
        <v>1286.0933838000001</v>
      </c>
      <c r="J845">
        <v>1266.6567382999999</v>
      </c>
      <c r="K845">
        <v>2400</v>
      </c>
      <c r="L845">
        <v>0</v>
      </c>
      <c r="M845">
        <v>0</v>
      </c>
      <c r="N845">
        <v>2400</v>
      </c>
    </row>
    <row r="846" spans="1:14" x14ac:dyDescent="0.25">
      <c r="A846">
        <v>399.80304699999999</v>
      </c>
      <c r="B846" s="1">
        <f>DATE(2011,6,4) + TIME(19,16,23)</f>
        <v>40698.803043981483</v>
      </c>
      <c r="C846">
        <v>80</v>
      </c>
      <c r="D846">
        <v>79.935310364000003</v>
      </c>
      <c r="E846">
        <v>50</v>
      </c>
      <c r="F846">
        <v>46.328037262000002</v>
      </c>
      <c r="G846">
        <v>1386.4294434000001</v>
      </c>
      <c r="H846">
        <v>1372.7886963000001</v>
      </c>
      <c r="I846">
        <v>1286.0672606999999</v>
      </c>
      <c r="J846">
        <v>1266.6232910000001</v>
      </c>
      <c r="K846">
        <v>2400</v>
      </c>
      <c r="L846">
        <v>0</v>
      </c>
      <c r="M846">
        <v>0</v>
      </c>
      <c r="N846">
        <v>2400</v>
      </c>
    </row>
    <row r="847" spans="1:14" x14ac:dyDescent="0.25">
      <c r="A847">
        <v>400.48506300000003</v>
      </c>
      <c r="B847" s="1">
        <f>DATE(2011,6,5) + TIME(11,38,29)</f>
        <v>40699.48505787037</v>
      </c>
      <c r="C847">
        <v>80</v>
      </c>
      <c r="D847">
        <v>79.935302734000004</v>
      </c>
      <c r="E847">
        <v>50</v>
      </c>
      <c r="F847">
        <v>46.275306702000002</v>
      </c>
      <c r="G847">
        <v>1386.3583983999999</v>
      </c>
      <c r="H847">
        <v>1372.7302245999999</v>
      </c>
      <c r="I847">
        <v>1286.0402832</v>
      </c>
      <c r="J847">
        <v>1266.5887451000001</v>
      </c>
      <c r="K847">
        <v>2400</v>
      </c>
      <c r="L847">
        <v>0</v>
      </c>
      <c r="M847">
        <v>0</v>
      </c>
      <c r="N847">
        <v>2400</v>
      </c>
    </row>
    <row r="848" spans="1:14" x14ac:dyDescent="0.25">
      <c r="A848">
        <v>401.18562100000003</v>
      </c>
      <c r="B848" s="1">
        <f>DATE(2011,6,6) + TIME(4,27,17)</f>
        <v>40700.185613425929</v>
      </c>
      <c r="C848">
        <v>80</v>
      </c>
      <c r="D848">
        <v>79.935295104999994</v>
      </c>
      <c r="E848">
        <v>50</v>
      </c>
      <c r="F848">
        <v>46.221584319999998</v>
      </c>
      <c r="G848">
        <v>1386.2866211</v>
      </c>
      <c r="H848">
        <v>1372.6711425999999</v>
      </c>
      <c r="I848">
        <v>1286.0123291</v>
      </c>
      <c r="J848">
        <v>1266.5528564000001</v>
      </c>
      <c r="K848">
        <v>2400</v>
      </c>
      <c r="L848">
        <v>0</v>
      </c>
      <c r="M848">
        <v>0</v>
      </c>
      <c r="N848">
        <v>2400</v>
      </c>
    </row>
    <row r="849" spans="1:14" x14ac:dyDescent="0.25">
      <c r="A849">
        <v>401.89695399999999</v>
      </c>
      <c r="B849" s="1">
        <f>DATE(2011,6,6) + TIME(21,31,36)</f>
        <v>40700.896944444445</v>
      </c>
      <c r="C849">
        <v>80</v>
      </c>
      <c r="D849">
        <v>79.935287475999999</v>
      </c>
      <c r="E849">
        <v>50</v>
      </c>
      <c r="F849">
        <v>46.167160033999998</v>
      </c>
      <c r="G849">
        <v>1386.2142334</v>
      </c>
      <c r="H849">
        <v>1372.6114502</v>
      </c>
      <c r="I849">
        <v>1285.9832764</v>
      </c>
      <c r="J849">
        <v>1266.5155029</v>
      </c>
      <c r="K849">
        <v>2400</v>
      </c>
      <c r="L849">
        <v>0</v>
      </c>
      <c r="M849">
        <v>0</v>
      </c>
      <c r="N849">
        <v>2400</v>
      </c>
    </row>
    <row r="850" spans="1:14" x14ac:dyDescent="0.25">
      <c r="A850">
        <v>402.615407</v>
      </c>
      <c r="B850" s="1">
        <f>DATE(2011,6,7) + TIME(14,46,11)</f>
        <v>40701.615405092591</v>
      </c>
      <c r="C850">
        <v>80</v>
      </c>
      <c r="D850">
        <v>79.935279846</v>
      </c>
      <c r="E850">
        <v>50</v>
      </c>
      <c r="F850">
        <v>46.112297058000003</v>
      </c>
      <c r="G850">
        <v>1386.1419678</v>
      </c>
      <c r="H850">
        <v>1372.5517577999999</v>
      </c>
      <c r="I850">
        <v>1285.9533690999999</v>
      </c>
      <c r="J850">
        <v>1266.4770507999999</v>
      </c>
      <c r="K850">
        <v>2400</v>
      </c>
      <c r="L850">
        <v>0</v>
      </c>
      <c r="M850">
        <v>0</v>
      </c>
      <c r="N850">
        <v>2400</v>
      </c>
    </row>
    <row r="851" spans="1:14" x14ac:dyDescent="0.25">
      <c r="A851">
        <v>403.34221400000001</v>
      </c>
      <c r="B851" s="1">
        <f>DATE(2011,6,8) + TIME(8,12,47)</f>
        <v>40702.342210648145</v>
      </c>
      <c r="C851">
        <v>80</v>
      </c>
      <c r="D851">
        <v>79.935279846</v>
      </c>
      <c r="E851">
        <v>50</v>
      </c>
      <c r="F851">
        <v>46.057060241999999</v>
      </c>
      <c r="G851">
        <v>1386.0699463000001</v>
      </c>
      <c r="H851">
        <v>1372.4920654</v>
      </c>
      <c r="I851">
        <v>1285.9228516000001</v>
      </c>
      <c r="J851">
        <v>1266.4376221</v>
      </c>
      <c r="K851">
        <v>2400</v>
      </c>
      <c r="L851">
        <v>0</v>
      </c>
      <c r="M851">
        <v>0</v>
      </c>
      <c r="N851">
        <v>2400</v>
      </c>
    </row>
    <row r="852" spans="1:14" x14ac:dyDescent="0.25">
      <c r="A852">
        <v>404.07655199999999</v>
      </c>
      <c r="B852" s="1">
        <f>DATE(2011,6,9) + TIME(1,50,14)</f>
        <v>40703.076550925929</v>
      </c>
      <c r="C852">
        <v>80</v>
      </c>
      <c r="D852">
        <v>79.935279846</v>
      </c>
      <c r="E852">
        <v>50</v>
      </c>
      <c r="F852">
        <v>46.001533508000001</v>
      </c>
      <c r="G852">
        <v>1385.9982910000001</v>
      </c>
      <c r="H852">
        <v>1372.4326172000001</v>
      </c>
      <c r="I852">
        <v>1285.8916016000001</v>
      </c>
      <c r="J852">
        <v>1266.3970947</v>
      </c>
      <c r="K852">
        <v>2400</v>
      </c>
      <c r="L852">
        <v>0</v>
      </c>
      <c r="M852">
        <v>0</v>
      </c>
      <c r="N852">
        <v>2400</v>
      </c>
    </row>
    <row r="853" spans="1:14" x14ac:dyDescent="0.25">
      <c r="A853">
        <v>404.81973799999997</v>
      </c>
      <c r="B853" s="1">
        <f>DATE(2011,6,9) + TIME(19,40,25)</f>
        <v>40703.819733796299</v>
      </c>
      <c r="C853">
        <v>80</v>
      </c>
      <c r="D853">
        <v>79.935272217000005</v>
      </c>
      <c r="E853">
        <v>50</v>
      </c>
      <c r="F853">
        <v>45.945701599000003</v>
      </c>
      <c r="G853">
        <v>1385.9268798999999</v>
      </c>
      <c r="H853">
        <v>1372.3731689000001</v>
      </c>
      <c r="I853">
        <v>1285.8596190999999</v>
      </c>
      <c r="J853">
        <v>1266.3554687999999</v>
      </c>
      <c r="K853">
        <v>2400</v>
      </c>
      <c r="L853">
        <v>0</v>
      </c>
      <c r="M853">
        <v>0</v>
      </c>
      <c r="N853">
        <v>2400</v>
      </c>
    </row>
    <row r="854" spans="1:14" x14ac:dyDescent="0.25">
      <c r="A854">
        <v>405.57333799999998</v>
      </c>
      <c r="B854" s="1">
        <f>DATE(2011,6,10) + TIME(13,45,36)</f>
        <v>40704.573333333334</v>
      </c>
      <c r="C854">
        <v>80</v>
      </c>
      <c r="D854">
        <v>79.935272217000005</v>
      </c>
      <c r="E854">
        <v>50</v>
      </c>
      <c r="F854">
        <v>45.889499663999999</v>
      </c>
      <c r="G854">
        <v>1385.8555908000001</v>
      </c>
      <c r="H854">
        <v>1372.3138428</v>
      </c>
      <c r="I854">
        <v>1285.8267822</v>
      </c>
      <c r="J854">
        <v>1266.3127440999999</v>
      </c>
      <c r="K854">
        <v>2400</v>
      </c>
      <c r="L854">
        <v>0</v>
      </c>
      <c r="M854">
        <v>0</v>
      </c>
      <c r="N854">
        <v>2400</v>
      </c>
    </row>
    <row r="855" spans="1:14" x14ac:dyDescent="0.25">
      <c r="A855">
        <v>406.33720299999999</v>
      </c>
      <c r="B855" s="1">
        <f>DATE(2011,6,11) + TIME(8,5,34)</f>
        <v>40705.337199074071</v>
      </c>
      <c r="C855">
        <v>80</v>
      </c>
      <c r="D855">
        <v>79.935272217000005</v>
      </c>
      <c r="E855">
        <v>50</v>
      </c>
      <c r="F855">
        <v>45.832912444999998</v>
      </c>
      <c r="G855">
        <v>1385.7845459</v>
      </c>
      <c r="H855">
        <v>1372.2545166</v>
      </c>
      <c r="I855">
        <v>1285.7930908000001</v>
      </c>
      <c r="J855">
        <v>1266.2686768000001</v>
      </c>
      <c r="K855">
        <v>2400</v>
      </c>
      <c r="L855">
        <v>0</v>
      </c>
      <c r="M855">
        <v>0</v>
      </c>
      <c r="N855">
        <v>2400</v>
      </c>
    </row>
    <row r="856" spans="1:14" x14ac:dyDescent="0.25">
      <c r="A856">
        <v>407.10727800000001</v>
      </c>
      <c r="B856" s="1">
        <f>DATE(2011,6,12) + TIME(2,34,28)</f>
        <v>40706.107268518521</v>
      </c>
      <c r="C856">
        <v>80</v>
      </c>
      <c r="D856">
        <v>79.935279846</v>
      </c>
      <c r="E856">
        <v>50</v>
      </c>
      <c r="F856">
        <v>45.776088715</v>
      </c>
      <c r="G856">
        <v>1385.7136230000001</v>
      </c>
      <c r="H856">
        <v>1372.1951904</v>
      </c>
      <c r="I856">
        <v>1285.7585449000001</v>
      </c>
      <c r="J856">
        <v>1266.2233887</v>
      </c>
      <c r="K856">
        <v>2400</v>
      </c>
      <c r="L856">
        <v>0</v>
      </c>
      <c r="M856">
        <v>0</v>
      </c>
      <c r="N856">
        <v>2400</v>
      </c>
    </row>
    <row r="857" spans="1:14" x14ac:dyDescent="0.25">
      <c r="A857">
        <v>407.88535300000001</v>
      </c>
      <c r="B857" s="1">
        <f>DATE(2011,6,12) + TIME(21,14,54)</f>
        <v>40706.885347222225</v>
      </c>
      <c r="C857">
        <v>80</v>
      </c>
      <c r="D857">
        <v>79.935279846</v>
      </c>
      <c r="E857">
        <v>50</v>
      </c>
      <c r="F857">
        <v>45.719013214</v>
      </c>
      <c r="G857">
        <v>1385.6431885</v>
      </c>
      <c r="H857">
        <v>1372.1361084</v>
      </c>
      <c r="I857">
        <v>1285.7231445</v>
      </c>
      <c r="J857">
        <v>1266.1770019999999</v>
      </c>
      <c r="K857">
        <v>2400</v>
      </c>
      <c r="L857">
        <v>0</v>
      </c>
      <c r="M857">
        <v>0</v>
      </c>
      <c r="N857">
        <v>2400</v>
      </c>
    </row>
    <row r="858" spans="1:14" x14ac:dyDescent="0.25">
      <c r="A858">
        <v>408.67339900000002</v>
      </c>
      <c r="B858" s="1">
        <f>DATE(2011,6,13) + TIME(16,9,41)</f>
        <v>40707.673391203702</v>
      </c>
      <c r="C858">
        <v>80</v>
      </c>
      <c r="D858">
        <v>79.935287475999999</v>
      </c>
      <c r="E858">
        <v>50</v>
      </c>
      <c r="F858">
        <v>45.661613463999998</v>
      </c>
      <c r="G858">
        <v>1385.5729980000001</v>
      </c>
      <c r="H858">
        <v>1372.0771483999999</v>
      </c>
      <c r="I858">
        <v>1285.6868896000001</v>
      </c>
      <c r="J858">
        <v>1266.1292725000001</v>
      </c>
      <c r="K858">
        <v>2400</v>
      </c>
      <c r="L858">
        <v>0</v>
      </c>
      <c r="M858">
        <v>0</v>
      </c>
      <c r="N858">
        <v>2400</v>
      </c>
    </row>
    <row r="859" spans="1:14" x14ac:dyDescent="0.25">
      <c r="A859">
        <v>409.47294699999998</v>
      </c>
      <c r="B859" s="1">
        <f>DATE(2011,6,14) + TIME(11,21,2)</f>
        <v>40708.472939814812</v>
      </c>
      <c r="C859">
        <v>80</v>
      </c>
      <c r="D859">
        <v>79.935295104999994</v>
      </c>
      <c r="E859">
        <v>50</v>
      </c>
      <c r="F859">
        <v>45.603805542000003</v>
      </c>
      <c r="G859">
        <v>1385.5028076000001</v>
      </c>
      <c r="H859">
        <v>1372.0181885</v>
      </c>
      <c r="I859">
        <v>1285.6496582</v>
      </c>
      <c r="J859">
        <v>1266.0800781</v>
      </c>
      <c r="K859">
        <v>2400</v>
      </c>
      <c r="L859">
        <v>0</v>
      </c>
      <c r="M859">
        <v>0</v>
      </c>
      <c r="N859">
        <v>2400</v>
      </c>
    </row>
    <row r="860" spans="1:14" x14ac:dyDescent="0.25">
      <c r="A860">
        <v>410.28495800000002</v>
      </c>
      <c r="B860" s="1">
        <f>DATE(2011,6,15) + TIME(6,50,20)</f>
        <v>40709.284953703704</v>
      </c>
      <c r="C860">
        <v>80</v>
      </c>
      <c r="D860">
        <v>79.935302734000004</v>
      </c>
      <c r="E860">
        <v>50</v>
      </c>
      <c r="F860">
        <v>45.545505523999999</v>
      </c>
      <c r="G860">
        <v>1385.4327393000001</v>
      </c>
      <c r="H860">
        <v>1371.9591064000001</v>
      </c>
      <c r="I860">
        <v>1285.6114502</v>
      </c>
      <c r="J860">
        <v>1266.0292969</v>
      </c>
      <c r="K860">
        <v>2400</v>
      </c>
      <c r="L860">
        <v>0</v>
      </c>
      <c r="M860">
        <v>0</v>
      </c>
      <c r="N860">
        <v>2400</v>
      </c>
    </row>
    <row r="861" spans="1:14" x14ac:dyDescent="0.25">
      <c r="A861">
        <v>411.109691</v>
      </c>
      <c r="B861" s="1">
        <f>DATE(2011,6,16) + TIME(2,37,57)</f>
        <v>40710.1096875</v>
      </c>
      <c r="C861">
        <v>80</v>
      </c>
      <c r="D861">
        <v>79.935310364000003</v>
      </c>
      <c r="E861">
        <v>50</v>
      </c>
      <c r="F861">
        <v>45.486663817999997</v>
      </c>
      <c r="G861">
        <v>1385.3626709</v>
      </c>
      <c r="H861">
        <v>1371.8997803</v>
      </c>
      <c r="I861">
        <v>1285.5718993999999</v>
      </c>
      <c r="J861">
        <v>1265.9769286999999</v>
      </c>
      <c r="K861">
        <v>2400</v>
      </c>
      <c r="L861">
        <v>0</v>
      </c>
      <c r="M861">
        <v>0</v>
      </c>
      <c r="N861">
        <v>2400</v>
      </c>
    </row>
    <row r="862" spans="1:14" x14ac:dyDescent="0.25">
      <c r="A862">
        <v>411.949164</v>
      </c>
      <c r="B862" s="1">
        <f>DATE(2011,6,16) + TIME(22,46,47)</f>
        <v>40710.949155092596</v>
      </c>
      <c r="C862">
        <v>80</v>
      </c>
      <c r="D862">
        <v>79.935325622999997</v>
      </c>
      <c r="E862">
        <v>50</v>
      </c>
      <c r="F862">
        <v>45.427185059000003</v>
      </c>
      <c r="G862">
        <v>1385.2924805</v>
      </c>
      <c r="H862">
        <v>1371.840332</v>
      </c>
      <c r="I862">
        <v>1285.5313721</v>
      </c>
      <c r="J862">
        <v>1265.9227295000001</v>
      </c>
      <c r="K862">
        <v>2400</v>
      </c>
      <c r="L862">
        <v>0</v>
      </c>
      <c r="M862">
        <v>0</v>
      </c>
      <c r="N862">
        <v>2400</v>
      </c>
    </row>
    <row r="863" spans="1:14" x14ac:dyDescent="0.25">
      <c r="A863">
        <v>412.80552599999999</v>
      </c>
      <c r="B863" s="1">
        <f>DATE(2011,6,17) + TIME(19,19,57)</f>
        <v>40711.805520833332</v>
      </c>
      <c r="C863">
        <v>80</v>
      </c>
      <c r="D863">
        <v>79.935333252000007</v>
      </c>
      <c r="E863">
        <v>50</v>
      </c>
      <c r="F863">
        <v>45.366947174000003</v>
      </c>
      <c r="G863">
        <v>1385.2219238</v>
      </c>
      <c r="H863">
        <v>1371.7806396000001</v>
      </c>
      <c r="I863">
        <v>1285.4893798999999</v>
      </c>
      <c r="J863">
        <v>1265.8665771000001</v>
      </c>
      <c r="K863">
        <v>2400</v>
      </c>
      <c r="L863">
        <v>0</v>
      </c>
      <c r="M863">
        <v>0</v>
      </c>
      <c r="N863">
        <v>2400</v>
      </c>
    </row>
    <row r="864" spans="1:14" x14ac:dyDescent="0.25">
      <c r="A864">
        <v>413.67048299999999</v>
      </c>
      <c r="B864" s="1">
        <f>DATE(2011,6,18) + TIME(16,5,29)</f>
        <v>40712.670474537037</v>
      </c>
      <c r="C864">
        <v>80</v>
      </c>
      <c r="D864">
        <v>79.935348511000001</v>
      </c>
      <c r="E864">
        <v>50</v>
      </c>
      <c r="F864">
        <v>45.306175232000001</v>
      </c>
      <c r="G864">
        <v>1385.1513672000001</v>
      </c>
      <c r="H864">
        <v>1371.7207031</v>
      </c>
      <c r="I864">
        <v>1285.4459228999999</v>
      </c>
      <c r="J864">
        <v>1265.8084716999999</v>
      </c>
      <c r="K864">
        <v>2400</v>
      </c>
      <c r="L864">
        <v>0</v>
      </c>
      <c r="M864">
        <v>0</v>
      </c>
      <c r="N864">
        <v>2400</v>
      </c>
    </row>
    <row r="865" spans="1:14" x14ac:dyDescent="0.25">
      <c r="A865">
        <v>414.54371099999997</v>
      </c>
      <c r="B865" s="1">
        <f>DATE(2011,6,19) + TIME(13,2,56)</f>
        <v>40713.543703703705</v>
      </c>
      <c r="C865">
        <v>80</v>
      </c>
      <c r="D865">
        <v>79.935363769999995</v>
      </c>
      <c r="E865">
        <v>50</v>
      </c>
      <c r="F865">
        <v>45.244987488</v>
      </c>
      <c r="G865">
        <v>1385.0809326000001</v>
      </c>
      <c r="H865">
        <v>1371.6607666</v>
      </c>
      <c r="I865">
        <v>1285.4013672000001</v>
      </c>
      <c r="J865">
        <v>1265.7485352000001</v>
      </c>
      <c r="K865">
        <v>2400</v>
      </c>
      <c r="L865">
        <v>0</v>
      </c>
      <c r="M865">
        <v>0</v>
      </c>
      <c r="N865">
        <v>2400</v>
      </c>
    </row>
    <row r="866" spans="1:14" x14ac:dyDescent="0.25">
      <c r="A866">
        <v>415.42733600000003</v>
      </c>
      <c r="B866" s="1">
        <f>DATE(2011,6,20) + TIME(10,15,21)</f>
        <v>40714.42732638889</v>
      </c>
      <c r="C866">
        <v>80</v>
      </c>
      <c r="D866">
        <v>79.935379028</v>
      </c>
      <c r="E866">
        <v>50</v>
      </c>
      <c r="F866">
        <v>45.183376312</v>
      </c>
      <c r="G866">
        <v>1385.0107422000001</v>
      </c>
      <c r="H866">
        <v>1371.6009521000001</v>
      </c>
      <c r="I866">
        <v>1285.3557129000001</v>
      </c>
      <c r="J866">
        <v>1265.6868896000001</v>
      </c>
      <c r="K866">
        <v>2400</v>
      </c>
      <c r="L866">
        <v>0</v>
      </c>
      <c r="M866">
        <v>0</v>
      </c>
      <c r="N866">
        <v>2400</v>
      </c>
    </row>
    <row r="867" spans="1:14" x14ac:dyDescent="0.25">
      <c r="A867">
        <v>416.32338199999998</v>
      </c>
      <c r="B867" s="1">
        <f>DATE(2011,6,21) + TIME(7,45,40)</f>
        <v>40715.323379629626</v>
      </c>
      <c r="C867">
        <v>80</v>
      </c>
      <c r="D867">
        <v>79.935394286999994</v>
      </c>
      <c r="E867">
        <v>50</v>
      </c>
      <c r="F867">
        <v>45.121253967000001</v>
      </c>
      <c r="G867">
        <v>1384.9407959</v>
      </c>
      <c r="H867">
        <v>1371.5412598</v>
      </c>
      <c r="I867">
        <v>1285.3088379000001</v>
      </c>
      <c r="J867">
        <v>1265.6232910000001</v>
      </c>
      <c r="K867">
        <v>2400</v>
      </c>
      <c r="L867">
        <v>0</v>
      </c>
      <c r="M867">
        <v>0</v>
      </c>
      <c r="N867">
        <v>2400</v>
      </c>
    </row>
    <row r="868" spans="1:14" x14ac:dyDescent="0.25">
      <c r="A868">
        <v>417.23415299999999</v>
      </c>
      <c r="B868" s="1">
        <f>DATE(2011,6,22) + TIME(5,37,10)</f>
        <v>40716.234143518515</v>
      </c>
      <c r="C868">
        <v>80</v>
      </c>
      <c r="D868">
        <v>79.935417174999998</v>
      </c>
      <c r="E868">
        <v>50</v>
      </c>
      <c r="F868">
        <v>45.058498383</v>
      </c>
      <c r="G868">
        <v>1384.8708495999999</v>
      </c>
      <c r="H868">
        <v>1371.4813231999999</v>
      </c>
      <c r="I868">
        <v>1285.2604980000001</v>
      </c>
      <c r="J868">
        <v>1265.5576172000001</v>
      </c>
      <c r="K868">
        <v>2400</v>
      </c>
      <c r="L868">
        <v>0</v>
      </c>
      <c r="M868">
        <v>0</v>
      </c>
      <c r="N868">
        <v>2400</v>
      </c>
    </row>
    <row r="869" spans="1:14" x14ac:dyDescent="0.25">
      <c r="A869">
        <v>418.16211399999997</v>
      </c>
      <c r="B869" s="1">
        <f>DATE(2011,6,23) + TIME(3,53,26)</f>
        <v>40717.162106481483</v>
      </c>
      <c r="C869">
        <v>80</v>
      </c>
      <c r="D869">
        <v>79.935440063000001</v>
      </c>
      <c r="E869">
        <v>50</v>
      </c>
      <c r="F869">
        <v>44.994953156000001</v>
      </c>
      <c r="G869">
        <v>1384.8006591999999</v>
      </c>
      <c r="H869">
        <v>1371.4211425999999</v>
      </c>
      <c r="I869">
        <v>1285.2106934000001</v>
      </c>
      <c r="J869">
        <v>1265.489624</v>
      </c>
      <c r="K869">
        <v>2400</v>
      </c>
      <c r="L869">
        <v>0</v>
      </c>
      <c r="M869">
        <v>0</v>
      </c>
      <c r="N869">
        <v>2400</v>
      </c>
    </row>
    <row r="870" spans="1:14" x14ac:dyDescent="0.25">
      <c r="A870">
        <v>419.10987599999999</v>
      </c>
      <c r="B870" s="1">
        <f>DATE(2011,6,24) + TIME(2,38,13)</f>
        <v>40718.109872685185</v>
      </c>
      <c r="C870">
        <v>80</v>
      </c>
      <c r="D870">
        <v>79.935462951999995</v>
      </c>
      <c r="E870">
        <v>50</v>
      </c>
      <c r="F870">
        <v>44.930458068999997</v>
      </c>
      <c r="G870">
        <v>1384.7301024999999</v>
      </c>
      <c r="H870">
        <v>1371.3605957</v>
      </c>
      <c r="I870">
        <v>1285.1590576000001</v>
      </c>
      <c r="J870">
        <v>1265.4189452999999</v>
      </c>
      <c r="K870">
        <v>2400</v>
      </c>
      <c r="L870">
        <v>0</v>
      </c>
      <c r="M870">
        <v>0</v>
      </c>
      <c r="N870">
        <v>2400</v>
      </c>
    </row>
    <row r="871" spans="1:14" x14ac:dyDescent="0.25">
      <c r="A871">
        <v>420.06827099999998</v>
      </c>
      <c r="B871" s="1">
        <f>DATE(2011,6,25) + TIME(1,38,18)</f>
        <v>40719.06826388889</v>
      </c>
      <c r="C871">
        <v>80</v>
      </c>
      <c r="D871">
        <v>79.935485839999998</v>
      </c>
      <c r="E871">
        <v>50</v>
      </c>
      <c r="F871">
        <v>44.865203856999997</v>
      </c>
      <c r="G871">
        <v>1384.6594238</v>
      </c>
      <c r="H871">
        <v>1371.2998047000001</v>
      </c>
      <c r="I871">
        <v>1285.1054687999999</v>
      </c>
      <c r="J871">
        <v>1265.3455810999999</v>
      </c>
      <c r="K871">
        <v>2400</v>
      </c>
      <c r="L871">
        <v>0</v>
      </c>
      <c r="M871">
        <v>0</v>
      </c>
      <c r="N871">
        <v>2400</v>
      </c>
    </row>
    <row r="872" spans="1:14" x14ac:dyDescent="0.25">
      <c r="A872">
        <v>421.03219899999999</v>
      </c>
      <c r="B872" s="1">
        <f>DATE(2011,6,26) + TIME(0,46,22)</f>
        <v>40720.032199074078</v>
      </c>
      <c r="C872">
        <v>80</v>
      </c>
      <c r="D872">
        <v>79.935508728000002</v>
      </c>
      <c r="E872">
        <v>50</v>
      </c>
      <c r="F872">
        <v>44.799476624</v>
      </c>
      <c r="G872">
        <v>1384.5888672000001</v>
      </c>
      <c r="H872">
        <v>1371.2390137</v>
      </c>
      <c r="I872">
        <v>1285.0505370999999</v>
      </c>
      <c r="J872">
        <v>1265.2698975000001</v>
      </c>
      <c r="K872">
        <v>2400</v>
      </c>
      <c r="L872">
        <v>0</v>
      </c>
      <c r="M872">
        <v>0</v>
      </c>
      <c r="N872">
        <v>2400</v>
      </c>
    </row>
    <row r="873" spans="1:14" x14ac:dyDescent="0.25">
      <c r="A873">
        <v>422.00398100000001</v>
      </c>
      <c r="B873" s="1">
        <f>DATE(2011,6,27) + TIME(0,5,43)</f>
        <v>40721.003969907404</v>
      </c>
      <c r="C873">
        <v>80</v>
      </c>
      <c r="D873">
        <v>79.935531616000006</v>
      </c>
      <c r="E873">
        <v>50</v>
      </c>
      <c r="F873">
        <v>44.733348845999998</v>
      </c>
      <c r="G873">
        <v>1384.5187988</v>
      </c>
      <c r="H873">
        <v>1371.1784668</v>
      </c>
      <c r="I873">
        <v>1284.9943848</v>
      </c>
      <c r="J873">
        <v>1265.1921387</v>
      </c>
      <c r="K873">
        <v>2400</v>
      </c>
      <c r="L873">
        <v>0</v>
      </c>
      <c r="M873">
        <v>0</v>
      </c>
      <c r="N873">
        <v>2400</v>
      </c>
    </row>
    <row r="874" spans="1:14" x14ac:dyDescent="0.25">
      <c r="A874">
        <v>422.985817</v>
      </c>
      <c r="B874" s="1">
        <f>DATE(2011,6,27) + TIME(23,39,34)</f>
        <v>40721.985810185186</v>
      </c>
      <c r="C874">
        <v>80</v>
      </c>
      <c r="D874">
        <v>79.935562133999994</v>
      </c>
      <c r="E874">
        <v>50</v>
      </c>
      <c r="F874">
        <v>44.666767120000003</v>
      </c>
      <c r="G874">
        <v>1384.4490966999999</v>
      </c>
      <c r="H874">
        <v>1371.1181641000001</v>
      </c>
      <c r="I874">
        <v>1284.9367675999999</v>
      </c>
      <c r="J874">
        <v>1265.1121826000001</v>
      </c>
      <c r="K874">
        <v>2400</v>
      </c>
      <c r="L874">
        <v>0</v>
      </c>
      <c r="M874">
        <v>0</v>
      </c>
      <c r="N874">
        <v>2400</v>
      </c>
    </row>
    <row r="875" spans="1:14" x14ac:dyDescent="0.25">
      <c r="A875">
        <v>423.980367</v>
      </c>
      <c r="B875" s="1">
        <f>DATE(2011,6,28) + TIME(23,31,43)</f>
        <v>40722.980358796296</v>
      </c>
      <c r="C875">
        <v>80</v>
      </c>
      <c r="D875">
        <v>79.935585021999998</v>
      </c>
      <c r="E875">
        <v>50</v>
      </c>
      <c r="F875">
        <v>44.599601745999998</v>
      </c>
      <c r="G875">
        <v>1384.3795166</v>
      </c>
      <c r="H875">
        <v>1371.0579834</v>
      </c>
      <c r="I875">
        <v>1284.8775635</v>
      </c>
      <c r="J875">
        <v>1265.0297852000001</v>
      </c>
      <c r="K875">
        <v>2400</v>
      </c>
      <c r="L875">
        <v>0</v>
      </c>
      <c r="M875">
        <v>0</v>
      </c>
      <c r="N875">
        <v>2400</v>
      </c>
    </row>
    <row r="876" spans="1:14" x14ac:dyDescent="0.25">
      <c r="A876">
        <v>424.98982699999999</v>
      </c>
      <c r="B876" s="1">
        <f>DATE(2011,6,29) + TIME(23,45,21)</f>
        <v>40723.98982638889</v>
      </c>
      <c r="C876">
        <v>80</v>
      </c>
      <c r="D876">
        <v>79.935615540000001</v>
      </c>
      <c r="E876">
        <v>50</v>
      </c>
      <c r="F876">
        <v>44.531696320000002</v>
      </c>
      <c r="G876">
        <v>1384.3100586</v>
      </c>
      <c r="H876">
        <v>1370.9976807</v>
      </c>
      <c r="I876">
        <v>1284.8167725000001</v>
      </c>
      <c r="J876">
        <v>1264.9447021000001</v>
      </c>
      <c r="K876">
        <v>2400</v>
      </c>
      <c r="L876">
        <v>0</v>
      </c>
      <c r="M876">
        <v>0</v>
      </c>
      <c r="N876">
        <v>2400</v>
      </c>
    </row>
    <row r="877" spans="1:14" x14ac:dyDescent="0.25">
      <c r="A877">
        <v>426</v>
      </c>
      <c r="B877" s="1">
        <f>DATE(2011,7,1) + TIME(0,0,0)</f>
        <v>40725</v>
      </c>
      <c r="C877">
        <v>80</v>
      </c>
      <c r="D877">
        <v>79.935646057</v>
      </c>
      <c r="E877">
        <v>50</v>
      </c>
      <c r="F877">
        <v>44.463397980000003</v>
      </c>
      <c r="G877">
        <v>1384.2408447</v>
      </c>
      <c r="H877">
        <v>1370.9373779</v>
      </c>
      <c r="I877">
        <v>1284.7540283000001</v>
      </c>
      <c r="J877">
        <v>1264.8569336</v>
      </c>
      <c r="K877">
        <v>2400</v>
      </c>
      <c r="L877">
        <v>0</v>
      </c>
      <c r="M877">
        <v>0</v>
      </c>
      <c r="N877">
        <v>2400</v>
      </c>
    </row>
    <row r="878" spans="1:14" x14ac:dyDescent="0.25">
      <c r="A878">
        <v>427.026477</v>
      </c>
      <c r="B878" s="1">
        <f>DATE(2011,7,2) + TIME(0,38,7)</f>
        <v>40726.026469907411</v>
      </c>
      <c r="C878">
        <v>80</v>
      </c>
      <c r="D878">
        <v>79.935684203999998</v>
      </c>
      <c r="E878">
        <v>50</v>
      </c>
      <c r="F878">
        <v>44.394451140999998</v>
      </c>
      <c r="G878">
        <v>1384.1719971</v>
      </c>
      <c r="H878">
        <v>1370.8774414</v>
      </c>
      <c r="I878">
        <v>1284.6901855000001</v>
      </c>
      <c r="J878">
        <v>1264.7669678</v>
      </c>
      <c r="K878">
        <v>2400</v>
      </c>
      <c r="L878">
        <v>0</v>
      </c>
      <c r="M878">
        <v>0</v>
      </c>
      <c r="N878">
        <v>2400</v>
      </c>
    </row>
    <row r="879" spans="1:14" x14ac:dyDescent="0.25">
      <c r="A879">
        <v>428.072746</v>
      </c>
      <c r="B879" s="1">
        <f>DATE(2011,7,3) + TIME(1,44,45)</f>
        <v>40727.072743055556</v>
      </c>
      <c r="C879">
        <v>80</v>
      </c>
      <c r="D879">
        <v>79.935714722</v>
      </c>
      <c r="E879">
        <v>50</v>
      </c>
      <c r="F879">
        <v>44.32453537</v>
      </c>
      <c r="G879">
        <v>1384.1030272999999</v>
      </c>
      <c r="H879">
        <v>1370.8173827999999</v>
      </c>
      <c r="I879">
        <v>1284.6242675999999</v>
      </c>
      <c r="J879">
        <v>1264.6738281</v>
      </c>
      <c r="K879">
        <v>2400</v>
      </c>
      <c r="L879">
        <v>0</v>
      </c>
      <c r="M879">
        <v>0</v>
      </c>
      <c r="N879">
        <v>2400</v>
      </c>
    </row>
    <row r="880" spans="1:14" x14ac:dyDescent="0.25">
      <c r="A880">
        <v>429.13294200000001</v>
      </c>
      <c r="B880" s="1">
        <f>DATE(2011,7,4) + TIME(3,11,26)</f>
        <v>40728.132939814815</v>
      </c>
      <c r="C880">
        <v>80</v>
      </c>
      <c r="D880">
        <v>79.935752868999998</v>
      </c>
      <c r="E880">
        <v>50</v>
      </c>
      <c r="F880">
        <v>44.253635406000001</v>
      </c>
      <c r="G880">
        <v>1384.0339355000001</v>
      </c>
      <c r="H880">
        <v>1370.7568358999999</v>
      </c>
      <c r="I880">
        <v>1284.5561522999999</v>
      </c>
      <c r="J880">
        <v>1264.5772704999999</v>
      </c>
      <c r="K880">
        <v>2400</v>
      </c>
      <c r="L880">
        <v>0</v>
      </c>
      <c r="M880">
        <v>0</v>
      </c>
      <c r="N880">
        <v>2400</v>
      </c>
    </row>
    <row r="881" spans="1:14" x14ac:dyDescent="0.25">
      <c r="A881">
        <v>430.20976000000002</v>
      </c>
      <c r="B881" s="1">
        <f>DATE(2011,7,5) + TIME(5,2,3)</f>
        <v>40729.209756944445</v>
      </c>
      <c r="C881">
        <v>80</v>
      </c>
      <c r="D881">
        <v>79.935783385999997</v>
      </c>
      <c r="E881">
        <v>50</v>
      </c>
      <c r="F881">
        <v>44.181694030999999</v>
      </c>
      <c r="G881">
        <v>1383.9647216999999</v>
      </c>
      <c r="H881">
        <v>1370.6962891000001</v>
      </c>
      <c r="I881">
        <v>1284.4859618999999</v>
      </c>
      <c r="J881">
        <v>1264.4774170000001</v>
      </c>
      <c r="K881">
        <v>2400</v>
      </c>
      <c r="L881">
        <v>0</v>
      </c>
      <c r="M881">
        <v>0</v>
      </c>
      <c r="N881">
        <v>2400</v>
      </c>
    </row>
    <row r="882" spans="1:14" x14ac:dyDescent="0.25">
      <c r="A882">
        <v>431.30613399999999</v>
      </c>
      <c r="B882" s="1">
        <f>DATE(2011,7,6) + TIME(7,20,49)</f>
        <v>40730.306122685186</v>
      </c>
      <c r="C882">
        <v>80</v>
      </c>
      <c r="D882">
        <v>79.935829162999994</v>
      </c>
      <c r="E882">
        <v>50</v>
      </c>
      <c r="F882">
        <v>44.108562468999999</v>
      </c>
      <c r="G882">
        <v>1383.8952637</v>
      </c>
      <c r="H882">
        <v>1370.635376</v>
      </c>
      <c r="I882">
        <v>1284.4134521000001</v>
      </c>
      <c r="J882">
        <v>1264.3740233999999</v>
      </c>
      <c r="K882">
        <v>2400</v>
      </c>
      <c r="L882">
        <v>0</v>
      </c>
      <c r="M882">
        <v>0</v>
      </c>
      <c r="N882">
        <v>2400</v>
      </c>
    </row>
    <row r="883" spans="1:14" x14ac:dyDescent="0.25">
      <c r="A883">
        <v>432.42524900000001</v>
      </c>
      <c r="B883" s="1">
        <f>DATE(2011,7,7) + TIME(10,12,21)</f>
        <v>40731.425243055557</v>
      </c>
      <c r="C883">
        <v>80</v>
      </c>
      <c r="D883">
        <v>79.935867310000006</v>
      </c>
      <c r="E883">
        <v>50</v>
      </c>
      <c r="F883">
        <v>44.034038543999998</v>
      </c>
      <c r="G883">
        <v>1383.8255615</v>
      </c>
      <c r="H883">
        <v>1370.5740966999999</v>
      </c>
      <c r="I883">
        <v>1284.3386230000001</v>
      </c>
      <c r="J883">
        <v>1264.2666016000001</v>
      </c>
      <c r="K883">
        <v>2400</v>
      </c>
      <c r="L883">
        <v>0</v>
      </c>
      <c r="M883">
        <v>0</v>
      </c>
      <c r="N883">
        <v>2400</v>
      </c>
    </row>
    <row r="884" spans="1:14" x14ac:dyDescent="0.25">
      <c r="A884">
        <v>433.56436100000002</v>
      </c>
      <c r="B884" s="1">
        <f>DATE(2011,7,8) + TIME(13,32,40)</f>
        <v>40732.564351851855</v>
      </c>
      <c r="C884">
        <v>80</v>
      </c>
      <c r="D884">
        <v>79.935905457000004</v>
      </c>
      <c r="E884">
        <v>50</v>
      </c>
      <c r="F884">
        <v>43.958065032999997</v>
      </c>
      <c r="G884">
        <v>1383.7553711</v>
      </c>
      <c r="H884">
        <v>1370.5124512</v>
      </c>
      <c r="I884">
        <v>1284.2609863</v>
      </c>
      <c r="J884">
        <v>1264.1550293</v>
      </c>
      <c r="K884">
        <v>2400</v>
      </c>
      <c r="L884">
        <v>0</v>
      </c>
      <c r="M884">
        <v>0</v>
      </c>
      <c r="N884">
        <v>2400</v>
      </c>
    </row>
    <row r="885" spans="1:14" x14ac:dyDescent="0.25">
      <c r="A885">
        <v>434.71591599999999</v>
      </c>
      <c r="B885" s="1">
        <f>DATE(2011,7,9) + TIME(17,10,55)</f>
        <v>40733.715914351851</v>
      </c>
      <c r="C885">
        <v>80</v>
      </c>
      <c r="D885">
        <v>79.935951232999997</v>
      </c>
      <c r="E885">
        <v>50</v>
      </c>
      <c r="F885">
        <v>43.880832671999997</v>
      </c>
      <c r="G885">
        <v>1383.6850586</v>
      </c>
      <c r="H885">
        <v>1370.4504394999999</v>
      </c>
      <c r="I885">
        <v>1284.1806641000001</v>
      </c>
      <c r="J885">
        <v>1264.0393065999999</v>
      </c>
      <c r="K885">
        <v>2400</v>
      </c>
      <c r="L885">
        <v>0</v>
      </c>
      <c r="M885">
        <v>0</v>
      </c>
      <c r="N885">
        <v>2400</v>
      </c>
    </row>
    <row r="886" spans="1:14" x14ac:dyDescent="0.25">
      <c r="A886">
        <v>435.88174199999997</v>
      </c>
      <c r="B886" s="1">
        <f>DATE(2011,7,10) + TIME(21,9,42)</f>
        <v>40734.881736111114</v>
      </c>
      <c r="C886">
        <v>80</v>
      </c>
      <c r="D886">
        <v>79.935997009000005</v>
      </c>
      <c r="E886">
        <v>50</v>
      </c>
      <c r="F886">
        <v>43.802433014000002</v>
      </c>
      <c r="G886">
        <v>1383.6147461</v>
      </c>
      <c r="H886">
        <v>1370.3883057</v>
      </c>
      <c r="I886">
        <v>1284.0982666</v>
      </c>
      <c r="J886">
        <v>1263.9199219</v>
      </c>
      <c r="K886">
        <v>2400</v>
      </c>
      <c r="L886">
        <v>0</v>
      </c>
      <c r="M886">
        <v>0</v>
      </c>
      <c r="N886">
        <v>2400</v>
      </c>
    </row>
    <row r="887" spans="1:14" x14ac:dyDescent="0.25">
      <c r="A887">
        <v>437.06060600000001</v>
      </c>
      <c r="B887" s="1">
        <f>DATE(2011,7,12) + TIME(1,27,16)</f>
        <v>40736.060601851852</v>
      </c>
      <c r="C887">
        <v>80</v>
      </c>
      <c r="D887">
        <v>79.936042786000002</v>
      </c>
      <c r="E887">
        <v>50</v>
      </c>
      <c r="F887">
        <v>43.722892760999997</v>
      </c>
      <c r="G887">
        <v>1383.5445557</v>
      </c>
      <c r="H887">
        <v>1370.3262939000001</v>
      </c>
      <c r="I887">
        <v>1284.0135498</v>
      </c>
      <c r="J887">
        <v>1263.7967529</v>
      </c>
      <c r="K887">
        <v>2400</v>
      </c>
      <c r="L887">
        <v>0</v>
      </c>
      <c r="M887">
        <v>0</v>
      </c>
      <c r="N887">
        <v>2400</v>
      </c>
    </row>
    <row r="888" spans="1:14" x14ac:dyDescent="0.25">
      <c r="A888">
        <v>438.24904099999998</v>
      </c>
      <c r="B888" s="1">
        <f>DATE(2011,7,13) + TIME(5,58,37)</f>
        <v>40737.249039351853</v>
      </c>
      <c r="C888">
        <v>80</v>
      </c>
      <c r="D888">
        <v>79.936088561999995</v>
      </c>
      <c r="E888">
        <v>50</v>
      </c>
      <c r="F888">
        <v>43.642318725999999</v>
      </c>
      <c r="G888">
        <v>1383.4746094</v>
      </c>
      <c r="H888">
        <v>1370.2642822</v>
      </c>
      <c r="I888">
        <v>1283.9265137</v>
      </c>
      <c r="J888">
        <v>1263.6699219</v>
      </c>
      <c r="K888">
        <v>2400</v>
      </c>
      <c r="L888">
        <v>0</v>
      </c>
      <c r="M888">
        <v>0</v>
      </c>
      <c r="N888">
        <v>2400</v>
      </c>
    </row>
    <row r="889" spans="1:14" x14ac:dyDescent="0.25">
      <c r="A889">
        <v>439.44988999999998</v>
      </c>
      <c r="B889" s="1">
        <f>DATE(2011,7,14) + TIME(10,47,50)</f>
        <v>40738.449884259258</v>
      </c>
      <c r="C889">
        <v>80</v>
      </c>
      <c r="D889">
        <v>79.936134338000002</v>
      </c>
      <c r="E889">
        <v>50</v>
      </c>
      <c r="F889">
        <v>43.560691833</v>
      </c>
      <c r="G889">
        <v>1383.4047852000001</v>
      </c>
      <c r="H889">
        <v>1370.2023925999999</v>
      </c>
      <c r="I889">
        <v>1283.8374022999999</v>
      </c>
      <c r="J889">
        <v>1263.5394286999999</v>
      </c>
      <c r="K889">
        <v>2400</v>
      </c>
      <c r="L889">
        <v>0</v>
      </c>
      <c r="M889">
        <v>0</v>
      </c>
      <c r="N889">
        <v>2400</v>
      </c>
    </row>
    <row r="890" spans="1:14" x14ac:dyDescent="0.25">
      <c r="A890">
        <v>440.660594</v>
      </c>
      <c r="B890" s="1">
        <f>DATE(2011,7,15) + TIME(15,51,15)</f>
        <v>40739.660590277781</v>
      </c>
      <c r="C890">
        <v>80</v>
      </c>
      <c r="D890">
        <v>79.936180114999999</v>
      </c>
      <c r="E890">
        <v>50</v>
      </c>
      <c r="F890">
        <v>43.478015900000003</v>
      </c>
      <c r="G890">
        <v>1383.3353271000001</v>
      </c>
      <c r="H890">
        <v>1370.140625</v>
      </c>
      <c r="I890">
        <v>1283.7460937999999</v>
      </c>
      <c r="J890">
        <v>1263.4052733999999</v>
      </c>
      <c r="K890">
        <v>2400</v>
      </c>
      <c r="L890">
        <v>0</v>
      </c>
      <c r="M890">
        <v>0</v>
      </c>
      <c r="N890">
        <v>2400</v>
      </c>
    </row>
    <row r="891" spans="1:14" x14ac:dyDescent="0.25">
      <c r="A891">
        <v>441.882251</v>
      </c>
      <c r="B891" s="1">
        <f>DATE(2011,7,16) + TIME(21,10,26)</f>
        <v>40740.882245370369</v>
      </c>
      <c r="C891">
        <v>80</v>
      </c>
      <c r="D891">
        <v>79.936233521000005</v>
      </c>
      <c r="E891">
        <v>50</v>
      </c>
      <c r="F891">
        <v>43.394275665000002</v>
      </c>
      <c r="G891">
        <v>1383.2659911999999</v>
      </c>
      <c r="H891">
        <v>1370.0789795000001</v>
      </c>
      <c r="I891">
        <v>1283.6527100000001</v>
      </c>
      <c r="J891">
        <v>1263.2674560999999</v>
      </c>
      <c r="K891">
        <v>2400</v>
      </c>
      <c r="L891">
        <v>0</v>
      </c>
      <c r="M891">
        <v>0</v>
      </c>
      <c r="N891">
        <v>2400</v>
      </c>
    </row>
    <row r="892" spans="1:14" x14ac:dyDescent="0.25">
      <c r="A892">
        <v>443.118225</v>
      </c>
      <c r="B892" s="1">
        <f>DATE(2011,7,18) + TIME(2,50,14)</f>
        <v>40742.118217592593</v>
      </c>
      <c r="C892">
        <v>80</v>
      </c>
      <c r="D892">
        <v>79.936286925999994</v>
      </c>
      <c r="E892">
        <v>50</v>
      </c>
      <c r="F892">
        <v>43.309329986999998</v>
      </c>
      <c r="G892">
        <v>1383.1970214999999</v>
      </c>
      <c r="H892">
        <v>1370.0174560999999</v>
      </c>
      <c r="I892">
        <v>1283.5570068</v>
      </c>
      <c r="J892">
        <v>1263.1258545000001</v>
      </c>
      <c r="K892">
        <v>2400</v>
      </c>
      <c r="L892">
        <v>0</v>
      </c>
      <c r="M892">
        <v>0</v>
      </c>
      <c r="N892">
        <v>2400</v>
      </c>
    </row>
    <row r="893" spans="1:14" x14ac:dyDescent="0.25">
      <c r="A893">
        <v>444.36706099999998</v>
      </c>
      <c r="B893" s="1">
        <f>DATE(2011,7,19) + TIME(8,48,34)</f>
        <v>40743.367060185185</v>
      </c>
      <c r="C893">
        <v>80</v>
      </c>
      <c r="D893">
        <v>79.936340332</v>
      </c>
      <c r="E893">
        <v>50</v>
      </c>
      <c r="F893">
        <v>43.223098755000002</v>
      </c>
      <c r="G893">
        <v>1383.1280518000001</v>
      </c>
      <c r="H893">
        <v>1369.9558105000001</v>
      </c>
      <c r="I893">
        <v>1283.4589844</v>
      </c>
      <c r="J893">
        <v>1262.9801024999999</v>
      </c>
      <c r="K893">
        <v>2400</v>
      </c>
      <c r="L893">
        <v>0</v>
      </c>
      <c r="M893">
        <v>0</v>
      </c>
      <c r="N893">
        <v>2400</v>
      </c>
    </row>
    <row r="894" spans="1:14" x14ac:dyDescent="0.25">
      <c r="A894">
        <v>445.63088699999997</v>
      </c>
      <c r="B894" s="1">
        <f>DATE(2011,7,20) + TIME(15,8,28)</f>
        <v>40744.630879629629</v>
      </c>
      <c r="C894">
        <v>80</v>
      </c>
      <c r="D894">
        <v>79.936393738000007</v>
      </c>
      <c r="E894">
        <v>50</v>
      </c>
      <c r="F894">
        <v>43.135478972999998</v>
      </c>
      <c r="G894">
        <v>1383.0593262</v>
      </c>
      <c r="H894">
        <v>1369.8942870999999</v>
      </c>
      <c r="I894">
        <v>1283.3583983999999</v>
      </c>
      <c r="J894">
        <v>1262.8303223</v>
      </c>
      <c r="K894">
        <v>2400</v>
      </c>
      <c r="L894">
        <v>0</v>
      </c>
      <c r="M894">
        <v>0</v>
      </c>
      <c r="N894">
        <v>2400</v>
      </c>
    </row>
    <row r="895" spans="1:14" x14ac:dyDescent="0.25">
      <c r="A895">
        <v>446.91364399999998</v>
      </c>
      <c r="B895" s="1">
        <f>DATE(2011,7,21) + TIME(21,55,38)</f>
        <v>40745.913634259261</v>
      </c>
      <c r="C895">
        <v>80</v>
      </c>
      <c r="D895">
        <v>79.936447143999999</v>
      </c>
      <c r="E895">
        <v>50</v>
      </c>
      <c r="F895">
        <v>43.046276093000003</v>
      </c>
      <c r="G895">
        <v>1382.9904785000001</v>
      </c>
      <c r="H895">
        <v>1369.8326416</v>
      </c>
      <c r="I895">
        <v>1283.2553711</v>
      </c>
      <c r="J895">
        <v>1262.6760254000001</v>
      </c>
      <c r="K895">
        <v>2400</v>
      </c>
      <c r="L895">
        <v>0</v>
      </c>
      <c r="M895">
        <v>0</v>
      </c>
      <c r="N895">
        <v>2400</v>
      </c>
    </row>
    <row r="896" spans="1:14" x14ac:dyDescent="0.25">
      <c r="A896">
        <v>448.21128800000002</v>
      </c>
      <c r="B896" s="1">
        <f>DATE(2011,7,23) + TIME(5,4,15)</f>
        <v>40747.211284722223</v>
      </c>
      <c r="C896">
        <v>80</v>
      </c>
      <c r="D896">
        <v>79.936500549000002</v>
      </c>
      <c r="E896">
        <v>50</v>
      </c>
      <c r="F896">
        <v>42.955429076999998</v>
      </c>
      <c r="G896">
        <v>1382.9216309000001</v>
      </c>
      <c r="H896">
        <v>1369.770874</v>
      </c>
      <c r="I896">
        <v>1283.1494141000001</v>
      </c>
      <c r="J896">
        <v>1262.5169678</v>
      </c>
      <c r="K896">
        <v>2400</v>
      </c>
      <c r="L896">
        <v>0</v>
      </c>
      <c r="M896">
        <v>0</v>
      </c>
      <c r="N896">
        <v>2400</v>
      </c>
    </row>
    <row r="897" spans="1:14" x14ac:dyDescent="0.25">
      <c r="A897">
        <v>449.525599</v>
      </c>
      <c r="B897" s="1">
        <f>DATE(2011,7,24) + TIME(12,36,51)</f>
        <v>40748.525590277779</v>
      </c>
      <c r="C897">
        <v>80</v>
      </c>
      <c r="D897">
        <v>79.936561584000003</v>
      </c>
      <c r="E897">
        <v>50</v>
      </c>
      <c r="F897">
        <v>42.862903594999999</v>
      </c>
      <c r="G897">
        <v>1382.8526611</v>
      </c>
      <c r="H897">
        <v>1369.7089844</v>
      </c>
      <c r="I897">
        <v>1283.0408935999999</v>
      </c>
      <c r="J897">
        <v>1262.3533935999999</v>
      </c>
      <c r="K897">
        <v>2400</v>
      </c>
      <c r="L897">
        <v>0</v>
      </c>
      <c r="M897">
        <v>0</v>
      </c>
      <c r="N897">
        <v>2400</v>
      </c>
    </row>
    <row r="898" spans="1:14" x14ac:dyDescent="0.25">
      <c r="A898">
        <v>450.86014599999999</v>
      </c>
      <c r="B898" s="1">
        <f>DATE(2011,7,25) + TIME(20,38,36)</f>
        <v>40749.860138888886</v>
      </c>
      <c r="C898">
        <v>80</v>
      </c>
      <c r="D898">
        <v>79.936622619999994</v>
      </c>
      <c r="E898">
        <v>50</v>
      </c>
      <c r="F898">
        <v>42.768543243000003</v>
      </c>
      <c r="G898">
        <v>1382.7836914</v>
      </c>
      <c r="H898">
        <v>1369.6469727000001</v>
      </c>
      <c r="I898">
        <v>1282.9295654</v>
      </c>
      <c r="J898">
        <v>1262.1849365</v>
      </c>
      <c r="K898">
        <v>2400</v>
      </c>
      <c r="L898">
        <v>0</v>
      </c>
      <c r="M898">
        <v>0</v>
      </c>
      <c r="N898">
        <v>2400</v>
      </c>
    </row>
    <row r="899" spans="1:14" x14ac:dyDescent="0.25">
      <c r="A899">
        <v>452.21895000000001</v>
      </c>
      <c r="B899" s="1">
        <f>DATE(2011,7,27) + TIME(5,15,17)</f>
        <v>40751.218946759262</v>
      </c>
      <c r="C899">
        <v>80</v>
      </c>
      <c r="D899">
        <v>79.936683654999996</v>
      </c>
      <c r="E899">
        <v>50</v>
      </c>
      <c r="F899">
        <v>42.672088623</v>
      </c>
      <c r="G899">
        <v>1382.7145995999999</v>
      </c>
      <c r="H899">
        <v>1369.5845947</v>
      </c>
      <c r="I899">
        <v>1282.8151855000001</v>
      </c>
      <c r="J899">
        <v>1262.0111084</v>
      </c>
      <c r="K899">
        <v>2400</v>
      </c>
      <c r="L899">
        <v>0</v>
      </c>
      <c r="M899">
        <v>0</v>
      </c>
      <c r="N899">
        <v>2400</v>
      </c>
    </row>
    <row r="900" spans="1:14" x14ac:dyDescent="0.25">
      <c r="A900">
        <v>453.60627899999997</v>
      </c>
      <c r="B900" s="1">
        <f>DATE(2011,7,28) + TIME(14,33,2)</f>
        <v>40752.606273148151</v>
      </c>
      <c r="C900">
        <v>80</v>
      </c>
      <c r="D900">
        <v>79.936744689999998</v>
      </c>
      <c r="E900">
        <v>50</v>
      </c>
      <c r="F900">
        <v>42.573230743000003</v>
      </c>
      <c r="G900">
        <v>1382.6448975000001</v>
      </c>
      <c r="H900">
        <v>1369.5217285000001</v>
      </c>
      <c r="I900">
        <v>1282.6973877</v>
      </c>
      <c r="J900">
        <v>1261.831543</v>
      </c>
      <c r="K900">
        <v>2400</v>
      </c>
      <c r="L900">
        <v>0</v>
      </c>
      <c r="M900">
        <v>0</v>
      </c>
      <c r="N900">
        <v>2400</v>
      </c>
    </row>
    <row r="901" spans="1:14" x14ac:dyDescent="0.25">
      <c r="A901">
        <v>455.01821999999999</v>
      </c>
      <c r="B901" s="1">
        <f>DATE(2011,7,30) + TIME(0,26,14)</f>
        <v>40754.018217592595</v>
      </c>
      <c r="C901">
        <v>80</v>
      </c>
      <c r="D901">
        <v>79.936813353999995</v>
      </c>
      <c r="E901">
        <v>50</v>
      </c>
      <c r="F901">
        <v>42.471858978</v>
      </c>
      <c r="G901">
        <v>1382.5748291</v>
      </c>
      <c r="H901">
        <v>1369.458374</v>
      </c>
      <c r="I901">
        <v>1282.5759277</v>
      </c>
      <c r="J901">
        <v>1261.6455077999999</v>
      </c>
      <c r="K901">
        <v>2400</v>
      </c>
      <c r="L901">
        <v>0</v>
      </c>
      <c r="M901">
        <v>0</v>
      </c>
      <c r="N901">
        <v>2400</v>
      </c>
    </row>
    <row r="902" spans="1:14" x14ac:dyDescent="0.25">
      <c r="A902">
        <v>456.43139600000001</v>
      </c>
      <c r="B902" s="1">
        <f>DATE(2011,7,31) + TIME(10,21,12)</f>
        <v>40755.431388888886</v>
      </c>
      <c r="C902">
        <v>80</v>
      </c>
      <c r="D902">
        <v>79.93687439</v>
      </c>
      <c r="E902">
        <v>50</v>
      </c>
      <c r="F902">
        <v>42.368614196999999</v>
      </c>
      <c r="G902">
        <v>1382.5046387</v>
      </c>
      <c r="H902">
        <v>1369.3948975000001</v>
      </c>
      <c r="I902">
        <v>1282.4510498</v>
      </c>
      <c r="J902">
        <v>1261.4539795000001</v>
      </c>
      <c r="K902">
        <v>2400</v>
      </c>
      <c r="L902">
        <v>0</v>
      </c>
      <c r="M902">
        <v>0</v>
      </c>
      <c r="N902">
        <v>2400</v>
      </c>
    </row>
    <row r="903" spans="1:14" x14ac:dyDescent="0.25">
      <c r="A903">
        <v>457</v>
      </c>
      <c r="B903" s="1">
        <f>DATE(2011,8,1) + TIME(0,0,0)</f>
        <v>40756</v>
      </c>
      <c r="C903">
        <v>80</v>
      </c>
      <c r="D903">
        <v>79.936859131000006</v>
      </c>
      <c r="E903">
        <v>50</v>
      </c>
      <c r="F903">
        <v>42.301212311</v>
      </c>
      <c r="G903">
        <v>1382.4541016000001</v>
      </c>
      <c r="H903">
        <v>1369.3503418</v>
      </c>
      <c r="I903">
        <v>1282.3348389</v>
      </c>
      <c r="J903">
        <v>1261.2873535000001</v>
      </c>
      <c r="K903">
        <v>2400</v>
      </c>
      <c r="L903">
        <v>0</v>
      </c>
      <c r="M903">
        <v>0</v>
      </c>
      <c r="N903">
        <v>2400</v>
      </c>
    </row>
    <row r="904" spans="1:14" x14ac:dyDescent="0.25">
      <c r="A904">
        <v>458.42295100000001</v>
      </c>
      <c r="B904" s="1">
        <f>DATE(2011,8,2) + TIME(10,9,3)</f>
        <v>40757.422951388886</v>
      </c>
      <c r="C904">
        <v>80</v>
      </c>
      <c r="D904">
        <v>79.936973571999999</v>
      </c>
      <c r="E904">
        <v>50</v>
      </c>
      <c r="F904">
        <v>42.212200164999999</v>
      </c>
      <c r="G904">
        <v>1382.4027100000001</v>
      </c>
      <c r="H904">
        <v>1369.302124</v>
      </c>
      <c r="I904">
        <v>1282.2685547000001</v>
      </c>
      <c r="J904">
        <v>1261.1683350000001</v>
      </c>
      <c r="K904">
        <v>2400</v>
      </c>
      <c r="L904">
        <v>0</v>
      </c>
      <c r="M904">
        <v>0</v>
      </c>
      <c r="N904">
        <v>2400</v>
      </c>
    </row>
    <row r="905" spans="1:14" x14ac:dyDescent="0.25">
      <c r="A905">
        <v>459.86106100000001</v>
      </c>
      <c r="B905" s="1">
        <f>DATE(2011,8,3) + TIME(20,39,55)</f>
        <v>40758.86105324074</v>
      </c>
      <c r="C905">
        <v>80</v>
      </c>
      <c r="D905">
        <v>79.937042235999996</v>
      </c>
      <c r="E905">
        <v>50</v>
      </c>
      <c r="F905">
        <v>42.111576079999999</v>
      </c>
      <c r="G905">
        <v>1382.3366699000001</v>
      </c>
      <c r="H905">
        <v>1369.2423096</v>
      </c>
      <c r="I905">
        <v>1282.1428223</v>
      </c>
      <c r="J905">
        <v>1260.9753418</v>
      </c>
      <c r="K905">
        <v>2400</v>
      </c>
      <c r="L905">
        <v>0</v>
      </c>
      <c r="M905">
        <v>0</v>
      </c>
      <c r="N905">
        <v>2400</v>
      </c>
    </row>
    <row r="906" spans="1:14" x14ac:dyDescent="0.25">
      <c r="A906">
        <v>461.303563</v>
      </c>
      <c r="B906" s="1">
        <f>DATE(2011,8,5) + TIME(7,17,7)</f>
        <v>40760.303553240738</v>
      </c>
      <c r="C906">
        <v>80</v>
      </c>
      <c r="D906">
        <v>79.937110900999997</v>
      </c>
      <c r="E906">
        <v>50</v>
      </c>
      <c r="F906">
        <v>42.005798339999998</v>
      </c>
      <c r="G906">
        <v>1382.2685547000001</v>
      </c>
      <c r="H906">
        <v>1369.1804199000001</v>
      </c>
      <c r="I906">
        <v>1282.0119629000001</v>
      </c>
      <c r="J906">
        <v>1260.7727050999999</v>
      </c>
      <c r="K906">
        <v>2400</v>
      </c>
      <c r="L906">
        <v>0</v>
      </c>
      <c r="M906">
        <v>0</v>
      </c>
      <c r="N906">
        <v>2400</v>
      </c>
    </row>
    <row r="907" spans="1:14" x14ac:dyDescent="0.25">
      <c r="A907">
        <v>462.76025399999997</v>
      </c>
      <c r="B907" s="1">
        <f>DATE(2011,8,6) + TIME(18,14,45)</f>
        <v>40761.760243055556</v>
      </c>
      <c r="C907">
        <v>80</v>
      </c>
      <c r="D907">
        <v>79.937179564999994</v>
      </c>
      <c r="E907">
        <v>50</v>
      </c>
      <c r="F907">
        <v>41.897228241000001</v>
      </c>
      <c r="G907">
        <v>1382.2004394999999</v>
      </c>
      <c r="H907">
        <v>1369.1182861</v>
      </c>
      <c r="I907">
        <v>1281.8790283000001</v>
      </c>
      <c r="J907">
        <v>1260.5650635</v>
      </c>
      <c r="K907">
        <v>2400</v>
      </c>
      <c r="L907">
        <v>0</v>
      </c>
      <c r="M907">
        <v>0</v>
      </c>
      <c r="N907">
        <v>2400</v>
      </c>
    </row>
    <row r="908" spans="1:14" x14ac:dyDescent="0.25">
      <c r="A908">
        <v>464.229714</v>
      </c>
      <c r="B908" s="1">
        <f>DATE(2011,8,8) + TIME(5,30,47)</f>
        <v>40763.229710648149</v>
      </c>
      <c r="C908">
        <v>80</v>
      </c>
      <c r="D908">
        <v>79.937248229999994</v>
      </c>
      <c r="E908">
        <v>50</v>
      </c>
      <c r="F908">
        <v>41.786598206000001</v>
      </c>
      <c r="G908">
        <v>1382.1322021000001</v>
      </c>
      <c r="H908">
        <v>1369.0560303</v>
      </c>
      <c r="I908">
        <v>1281.7436522999999</v>
      </c>
      <c r="J908">
        <v>1260.3527832</v>
      </c>
      <c r="K908">
        <v>2400</v>
      </c>
      <c r="L908">
        <v>0</v>
      </c>
      <c r="M908">
        <v>0</v>
      </c>
      <c r="N908">
        <v>2400</v>
      </c>
    </row>
    <row r="909" spans="1:14" x14ac:dyDescent="0.25">
      <c r="A909">
        <v>465.722129</v>
      </c>
      <c r="B909" s="1">
        <f>DATE(2011,8,9) + TIME(17,19,51)</f>
        <v>40764.722118055557</v>
      </c>
      <c r="C909">
        <v>80</v>
      </c>
      <c r="D909">
        <v>79.937316894999995</v>
      </c>
      <c r="E909">
        <v>50</v>
      </c>
      <c r="F909">
        <v>41.673915862999998</v>
      </c>
      <c r="G909">
        <v>1382.0639647999999</v>
      </c>
      <c r="H909">
        <v>1368.9937743999999</v>
      </c>
      <c r="I909">
        <v>1281.6060791</v>
      </c>
      <c r="J909">
        <v>1260.1357422000001</v>
      </c>
      <c r="K909">
        <v>2400</v>
      </c>
      <c r="L909">
        <v>0</v>
      </c>
      <c r="M909">
        <v>0</v>
      </c>
      <c r="N909">
        <v>2400</v>
      </c>
    </row>
    <row r="910" spans="1:14" x14ac:dyDescent="0.25">
      <c r="A910">
        <v>467.24185</v>
      </c>
      <c r="B910" s="1">
        <f>DATE(2011,8,11) + TIME(5,48,15)</f>
        <v>40766.241840277777</v>
      </c>
      <c r="C910">
        <v>80</v>
      </c>
      <c r="D910">
        <v>79.937393188000001</v>
      </c>
      <c r="E910">
        <v>50</v>
      </c>
      <c r="F910">
        <v>41.558834075999997</v>
      </c>
      <c r="G910">
        <v>1381.9954834</v>
      </c>
      <c r="H910">
        <v>1368.9310303</v>
      </c>
      <c r="I910">
        <v>1281.4655762</v>
      </c>
      <c r="J910">
        <v>1259.9130858999999</v>
      </c>
      <c r="K910">
        <v>2400</v>
      </c>
      <c r="L910">
        <v>0</v>
      </c>
      <c r="M910">
        <v>0</v>
      </c>
      <c r="N910">
        <v>2400</v>
      </c>
    </row>
    <row r="911" spans="1:14" x14ac:dyDescent="0.25">
      <c r="A911">
        <v>468.77528000000001</v>
      </c>
      <c r="B911" s="1">
        <f>DATE(2011,8,12) + TIME(18,36,24)</f>
        <v>40767.775277777779</v>
      </c>
      <c r="C911">
        <v>80</v>
      </c>
      <c r="D911">
        <v>79.937469481999997</v>
      </c>
      <c r="E911">
        <v>50</v>
      </c>
      <c r="F911">
        <v>41.441486359000002</v>
      </c>
      <c r="G911">
        <v>1381.9266356999999</v>
      </c>
      <c r="H911">
        <v>1368.8680420000001</v>
      </c>
      <c r="I911">
        <v>1281.3217772999999</v>
      </c>
      <c r="J911">
        <v>1259.6846923999999</v>
      </c>
      <c r="K911">
        <v>2400</v>
      </c>
      <c r="L911">
        <v>0</v>
      </c>
      <c r="M911">
        <v>0</v>
      </c>
      <c r="N911">
        <v>2400</v>
      </c>
    </row>
    <row r="912" spans="1:14" x14ac:dyDescent="0.25">
      <c r="A912">
        <v>470.33380099999999</v>
      </c>
      <c r="B912" s="1">
        <f>DATE(2011,8,14) + TIME(8,0,40)</f>
        <v>40769.333796296298</v>
      </c>
      <c r="C912">
        <v>80</v>
      </c>
      <c r="D912">
        <v>79.937545775999993</v>
      </c>
      <c r="E912">
        <v>50</v>
      </c>
      <c r="F912">
        <v>41.321968079000001</v>
      </c>
      <c r="G912">
        <v>1381.8577881000001</v>
      </c>
      <c r="H912">
        <v>1368.8048096</v>
      </c>
      <c r="I912">
        <v>1281.1759033000001</v>
      </c>
      <c r="J912">
        <v>1259.4515381000001</v>
      </c>
      <c r="K912">
        <v>2400</v>
      </c>
      <c r="L912">
        <v>0</v>
      </c>
      <c r="M912">
        <v>0</v>
      </c>
      <c r="N912">
        <v>2400</v>
      </c>
    </row>
    <row r="913" spans="1:14" x14ac:dyDescent="0.25">
      <c r="A913">
        <v>471.92380700000001</v>
      </c>
      <c r="B913" s="1">
        <f>DATE(2011,8,15) + TIME(22,10,16)</f>
        <v>40770.923796296294</v>
      </c>
      <c r="C913">
        <v>80</v>
      </c>
      <c r="D913">
        <v>79.937622070000003</v>
      </c>
      <c r="E913">
        <v>50</v>
      </c>
      <c r="F913">
        <v>41.199901580999999</v>
      </c>
      <c r="G913">
        <v>1381.7884521000001</v>
      </c>
      <c r="H913">
        <v>1368.7410889</v>
      </c>
      <c r="I913">
        <v>1281.0270995999999</v>
      </c>
      <c r="J913">
        <v>1259.2127685999999</v>
      </c>
      <c r="K913">
        <v>2400</v>
      </c>
      <c r="L913">
        <v>0</v>
      </c>
      <c r="M913">
        <v>0</v>
      </c>
      <c r="N913">
        <v>2400</v>
      </c>
    </row>
    <row r="914" spans="1:14" x14ac:dyDescent="0.25">
      <c r="A914">
        <v>473.55062199999998</v>
      </c>
      <c r="B914" s="1">
        <f>DATE(2011,8,17) + TIME(13,12,53)</f>
        <v>40772.550613425927</v>
      </c>
      <c r="C914">
        <v>80</v>
      </c>
      <c r="D914">
        <v>79.937705993999998</v>
      </c>
      <c r="E914">
        <v>50</v>
      </c>
      <c r="F914">
        <v>41.074932097999998</v>
      </c>
      <c r="G914">
        <v>1381.7183838000001</v>
      </c>
      <c r="H914">
        <v>1368.6766356999999</v>
      </c>
      <c r="I914">
        <v>1280.8748779</v>
      </c>
      <c r="J914">
        <v>1258.9672852000001</v>
      </c>
      <c r="K914">
        <v>2400</v>
      </c>
      <c r="L914">
        <v>0</v>
      </c>
      <c r="M914">
        <v>0</v>
      </c>
      <c r="N914">
        <v>2400</v>
      </c>
    </row>
    <row r="915" spans="1:14" x14ac:dyDescent="0.25">
      <c r="A915">
        <v>475.18755599999997</v>
      </c>
      <c r="B915" s="1">
        <f>DATE(2011,8,19) + TIME(4,30,4)</f>
        <v>40774.1875462963</v>
      </c>
      <c r="C915">
        <v>80</v>
      </c>
      <c r="D915">
        <v>79.937782287999994</v>
      </c>
      <c r="E915">
        <v>50</v>
      </c>
      <c r="F915">
        <v>40.947555542000003</v>
      </c>
      <c r="G915">
        <v>1381.6479492000001</v>
      </c>
      <c r="H915">
        <v>1368.6118164</v>
      </c>
      <c r="I915">
        <v>1280.7191161999999</v>
      </c>
      <c r="J915">
        <v>1258.7152100000001</v>
      </c>
      <c r="K915">
        <v>2400</v>
      </c>
      <c r="L915">
        <v>0</v>
      </c>
      <c r="M915">
        <v>0</v>
      </c>
      <c r="N915">
        <v>2400</v>
      </c>
    </row>
    <row r="916" spans="1:14" x14ac:dyDescent="0.25">
      <c r="A916">
        <v>476.82731200000001</v>
      </c>
      <c r="B916" s="1">
        <f>DATE(2011,8,20) + TIME(19,51,19)</f>
        <v>40775.827303240738</v>
      </c>
      <c r="C916">
        <v>80</v>
      </c>
      <c r="D916">
        <v>79.937866210999999</v>
      </c>
      <c r="E916">
        <v>50</v>
      </c>
      <c r="F916">
        <v>40.818950653000002</v>
      </c>
      <c r="G916">
        <v>1381.5777588000001</v>
      </c>
      <c r="H916">
        <v>1368.5469971</v>
      </c>
      <c r="I916">
        <v>1280.5621338000001</v>
      </c>
      <c r="J916">
        <v>1258.4597168</v>
      </c>
      <c r="K916">
        <v>2400</v>
      </c>
      <c r="L916">
        <v>0</v>
      </c>
      <c r="M916">
        <v>0</v>
      </c>
      <c r="N916">
        <v>2400</v>
      </c>
    </row>
    <row r="917" spans="1:14" x14ac:dyDescent="0.25">
      <c r="A917">
        <v>478.46711299999998</v>
      </c>
      <c r="B917" s="1">
        <f>DATE(2011,8,22) + TIME(11,12,38)</f>
        <v>40777.467106481483</v>
      </c>
      <c r="C917">
        <v>80</v>
      </c>
      <c r="D917">
        <v>79.937942504999995</v>
      </c>
      <c r="E917">
        <v>50</v>
      </c>
      <c r="F917">
        <v>40.689933777</v>
      </c>
      <c r="G917">
        <v>1381.5080565999999</v>
      </c>
      <c r="H917">
        <v>1368.4826660000001</v>
      </c>
      <c r="I917">
        <v>1280.4047852000001</v>
      </c>
      <c r="J917">
        <v>1258.2023925999999</v>
      </c>
      <c r="K917">
        <v>2400</v>
      </c>
      <c r="L917">
        <v>0</v>
      </c>
      <c r="M917">
        <v>0</v>
      </c>
      <c r="N917">
        <v>2400</v>
      </c>
    </row>
    <row r="918" spans="1:14" x14ac:dyDescent="0.25">
      <c r="A918">
        <v>480.11216100000001</v>
      </c>
      <c r="B918" s="1">
        <f>DATE(2011,8,24) + TIME(2,41,30)</f>
        <v>40779.11215277778</v>
      </c>
      <c r="C918">
        <v>80</v>
      </c>
      <c r="D918">
        <v>79.938026428000001</v>
      </c>
      <c r="E918">
        <v>50</v>
      </c>
      <c r="F918">
        <v>40.560890198000003</v>
      </c>
      <c r="G918">
        <v>1381.4389647999999</v>
      </c>
      <c r="H918">
        <v>1368.4187012</v>
      </c>
      <c r="I918">
        <v>1280.2476807</v>
      </c>
      <c r="J918">
        <v>1257.9437256000001</v>
      </c>
      <c r="K918">
        <v>2400</v>
      </c>
      <c r="L918">
        <v>0</v>
      </c>
      <c r="M918">
        <v>0</v>
      </c>
      <c r="N918">
        <v>2400</v>
      </c>
    </row>
    <row r="919" spans="1:14" x14ac:dyDescent="0.25">
      <c r="A919">
        <v>481.77121</v>
      </c>
      <c r="B919" s="1">
        <f>DATE(2011,8,25) + TIME(18,30,32)</f>
        <v>40780.771203703705</v>
      </c>
      <c r="C919">
        <v>80</v>
      </c>
      <c r="D919">
        <v>79.938110351999995</v>
      </c>
      <c r="E919">
        <v>50</v>
      </c>
      <c r="F919">
        <v>40.431793212999999</v>
      </c>
      <c r="G919">
        <v>1381.3701172000001</v>
      </c>
      <c r="H919">
        <v>1368.3549805</v>
      </c>
      <c r="I919">
        <v>1280.0905762</v>
      </c>
      <c r="J919">
        <v>1257.6835937999999</v>
      </c>
      <c r="K919">
        <v>2400</v>
      </c>
      <c r="L919">
        <v>0</v>
      </c>
      <c r="M919">
        <v>0</v>
      </c>
      <c r="N919">
        <v>2400</v>
      </c>
    </row>
    <row r="920" spans="1:14" x14ac:dyDescent="0.25">
      <c r="A920">
        <v>483.46151099999997</v>
      </c>
      <c r="B920" s="1">
        <f>DATE(2011,8,27) + TIME(11,4,34)</f>
        <v>40782.461504629631</v>
      </c>
      <c r="C920">
        <v>80</v>
      </c>
      <c r="D920">
        <v>79.938194275000001</v>
      </c>
      <c r="E920">
        <v>50</v>
      </c>
      <c r="F920">
        <v>40.302215576000002</v>
      </c>
      <c r="G920">
        <v>1381.3011475000001</v>
      </c>
      <c r="H920">
        <v>1368.2910156</v>
      </c>
      <c r="I920">
        <v>1279.9327393000001</v>
      </c>
      <c r="J920">
        <v>1257.4207764</v>
      </c>
      <c r="K920">
        <v>2400</v>
      </c>
      <c r="L920">
        <v>0</v>
      </c>
      <c r="M920">
        <v>0</v>
      </c>
      <c r="N920">
        <v>2400</v>
      </c>
    </row>
    <row r="921" spans="1:14" x14ac:dyDescent="0.25">
      <c r="A921">
        <v>485.168026</v>
      </c>
      <c r="B921" s="1">
        <f>DATE(2011,8,29) + TIME(4,1,57)</f>
        <v>40784.168020833335</v>
      </c>
      <c r="C921">
        <v>80</v>
      </c>
      <c r="D921">
        <v>79.938285828000005</v>
      </c>
      <c r="E921">
        <v>50</v>
      </c>
      <c r="F921">
        <v>40.172252655000001</v>
      </c>
      <c r="G921">
        <v>1381.2319336</v>
      </c>
      <c r="H921">
        <v>1368.2266846</v>
      </c>
      <c r="I921">
        <v>1279.7731934000001</v>
      </c>
      <c r="J921">
        <v>1257.1538086</v>
      </c>
      <c r="K921">
        <v>2400</v>
      </c>
      <c r="L921">
        <v>0</v>
      </c>
      <c r="M921">
        <v>0</v>
      </c>
      <c r="N921">
        <v>2400</v>
      </c>
    </row>
    <row r="922" spans="1:14" x14ac:dyDescent="0.25">
      <c r="A922">
        <v>486.888261</v>
      </c>
      <c r="B922" s="1">
        <f>DATE(2011,8,30) + TIME(21,19,5)</f>
        <v>40785.888252314813</v>
      </c>
      <c r="C922">
        <v>80</v>
      </c>
      <c r="D922">
        <v>79.938369750999996</v>
      </c>
      <c r="E922">
        <v>50</v>
      </c>
      <c r="F922">
        <v>40.042831421000002</v>
      </c>
      <c r="G922">
        <v>1381.1627197</v>
      </c>
      <c r="H922">
        <v>1368.1622314000001</v>
      </c>
      <c r="I922">
        <v>1279.6132812000001</v>
      </c>
      <c r="J922">
        <v>1256.8847656</v>
      </c>
      <c r="K922">
        <v>2400</v>
      </c>
      <c r="L922">
        <v>0</v>
      </c>
      <c r="M922">
        <v>0</v>
      </c>
      <c r="N922">
        <v>2400</v>
      </c>
    </row>
    <row r="923" spans="1:14" x14ac:dyDescent="0.25">
      <c r="A923">
        <v>488</v>
      </c>
      <c r="B923" s="1">
        <f>DATE(2011,9,1) + TIME(0,0,0)</f>
        <v>40787</v>
      </c>
      <c r="C923">
        <v>80</v>
      </c>
      <c r="D923">
        <v>79.938400268999999</v>
      </c>
      <c r="E923">
        <v>50</v>
      </c>
      <c r="F923">
        <v>39.933986664000003</v>
      </c>
      <c r="G923">
        <v>1381.1032714999999</v>
      </c>
      <c r="H923">
        <v>1368.1075439000001</v>
      </c>
      <c r="I923">
        <v>1279.4588623</v>
      </c>
      <c r="J923">
        <v>1256.6318358999999</v>
      </c>
      <c r="K923">
        <v>2400</v>
      </c>
      <c r="L923">
        <v>0</v>
      </c>
      <c r="M923">
        <v>0</v>
      </c>
      <c r="N923">
        <v>2400</v>
      </c>
    </row>
    <row r="924" spans="1:14" x14ac:dyDescent="0.25">
      <c r="A924">
        <v>489.74781100000001</v>
      </c>
      <c r="B924" s="1">
        <f>DATE(2011,9,2) + TIME(17,56,50)</f>
        <v>40788.747800925928</v>
      </c>
      <c r="C924">
        <v>80</v>
      </c>
      <c r="D924">
        <v>79.938514709000003</v>
      </c>
      <c r="E924">
        <v>50</v>
      </c>
      <c r="F924">
        <v>39.825424194</v>
      </c>
      <c r="G924">
        <v>1381.0452881000001</v>
      </c>
      <c r="H924">
        <v>1368.0527344</v>
      </c>
      <c r="I924">
        <v>1279.3475341999999</v>
      </c>
      <c r="J924">
        <v>1256.4288329999999</v>
      </c>
      <c r="K924">
        <v>2400</v>
      </c>
      <c r="L924">
        <v>0</v>
      </c>
      <c r="M924">
        <v>0</v>
      </c>
      <c r="N924">
        <v>2400</v>
      </c>
    </row>
    <row r="925" spans="1:14" x14ac:dyDescent="0.25">
      <c r="A925">
        <v>491.56831099999999</v>
      </c>
      <c r="B925" s="1">
        <f>DATE(2011,9,4) + TIME(13,38,22)</f>
        <v>40790.568310185183</v>
      </c>
      <c r="C925">
        <v>80</v>
      </c>
      <c r="D925">
        <v>79.938606261999993</v>
      </c>
      <c r="E925">
        <v>50</v>
      </c>
      <c r="F925">
        <v>39.705551147000001</v>
      </c>
      <c r="G925">
        <v>1380.9776611</v>
      </c>
      <c r="H925">
        <v>1367.989624</v>
      </c>
      <c r="I925">
        <v>1279.1910399999999</v>
      </c>
      <c r="J925">
        <v>1256.1635742000001</v>
      </c>
      <c r="K925">
        <v>2400</v>
      </c>
      <c r="L925">
        <v>0</v>
      </c>
      <c r="M925">
        <v>0</v>
      </c>
      <c r="N925">
        <v>2400</v>
      </c>
    </row>
    <row r="926" spans="1:14" x14ac:dyDescent="0.25">
      <c r="A926">
        <v>492.491377</v>
      </c>
      <c r="B926" s="1">
        <f>DATE(2011,9,5) + TIME(11,47,34)</f>
        <v>40791.491365740738</v>
      </c>
      <c r="C926">
        <v>80</v>
      </c>
      <c r="D926">
        <v>79.938621521000002</v>
      </c>
      <c r="E926">
        <v>50</v>
      </c>
      <c r="F926">
        <v>39.611370086999997</v>
      </c>
      <c r="G926">
        <v>1380.9224853999999</v>
      </c>
      <c r="H926">
        <v>1367.9389647999999</v>
      </c>
      <c r="I926">
        <v>1279.0373535000001</v>
      </c>
      <c r="J926">
        <v>1255.9136963000001</v>
      </c>
      <c r="K926">
        <v>2400</v>
      </c>
      <c r="L926">
        <v>0</v>
      </c>
      <c r="M926">
        <v>0</v>
      </c>
      <c r="N926">
        <v>2400</v>
      </c>
    </row>
    <row r="927" spans="1:14" x14ac:dyDescent="0.25">
      <c r="A927">
        <v>493.41444300000001</v>
      </c>
      <c r="B927" s="1">
        <f>DATE(2011,9,6) + TIME(9,56,47)</f>
        <v>40792.41443287037</v>
      </c>
      <c r="C927">
        <v>80</v>
      </c>
      <c r="D927">
        <v>79.938667296999995</v>
      </c>
      <c r="E927">
        <v>50</v>
      </c>
      <c r="F927">
        <v>39.535961151000002</v>
      </c>
      <c r="G927">
        <v>1380.8798827999999</v>
      </c>
      <c r="H927">
        <v>1367.8989257999999</v>
      </c>
      <c r="I927">
        <v>1278.9495850000001</v>
      </c>
      <c r="J927">
        <v>1255.7539062000001</v>
      </c>
      <c r="K927">
        <v>2400</v>
      </c>
      <c r="L927">
        <v>0</v>
      </c>
      <c r="M927">
        <v>0</v>
      </c>
      <c r="N927">
        <v>2400</v>
      </c>
    </row>
    <row r="928" spans="1:14" x14ac:dyDescent="0.25">
      <c r="A928">
        <v>494.33751000000001</v>
      </c>
      <c r="B928" s="1">
        <f>DATE(2011,9,7) + TIME(8,6,0)</f>
        <v>40793.337500000001</v>
      </c>
      <c r="C928">
        <v>80</v>
      </c>
      <c r="D928">
        <v>79.938720703000001</v>
      </c>
      <c r="E928">
        <v>50</v>
      </c>
      <c r="F928">
        <v>39.470222473</v>
      </c>
      <c r="G928">
        <v>1380.8410644999999</v>
      </c>
      <c r="H928">
        <v>1367.8624268000001</v>
      </c>
      <c r="I928">
        <v>1278.8668213000001</v>
      </c>
      <c r="J928">
        <v>1255.605957</v>
      </c>
      <c r="K928">
        <v>2400</v>
      </c>
      <c r="L928">
        <v>0</v>
      </c>
      <c r="M928">
        <v>0</v>
      </c>
      <c r="N928">
        <v>2400</v>
      </c>
    </row>
    <row r="929" spans="1:14" x14ac:dyDescent="0.25">
      <c r="A929">
        <v>495.26057600000001</v>
      </c>
      <c r="B929" s="1">
        <f>DATE(2011,9,8) + TIME(6,15,13)</f>
        <v>40794.260567129626</v>
      </c>
      <c r="C929">
        <v>80</v>
      </c>
      <c r="D929">
        <v>79.938774108999993</v>
      </c>
      <c r="E929">
        <v>50</v>
      </c>
      <c r="F929">
        <v>39.410053253000001</v>
      </c>
      <c r="G929">
        <v>1380.8037108999999</v>
      </c>
      <c r="H929">
        <v>1367.8273925999999</v>
      </c>
      <c r="I929">
        <v>1278.7861327999999</v>
      </c>
      <c r="J929">
        <v>1255.4631348</v>
      </c>
      <c r="K929">
        <v>2400</v>
      </c>
      <c r="L929">
        <v>0</v>
      </c>
      <c r="M929">
        <v>0</v>
      </c>
      <c r="N929">
        <v>2400</v>
      </c>
    </row>
    <row r="930" spans="1:14" x14ac:dyDescent="0.25">
      <c r="A930">
        <v>496.18364300000002</v>
      </c>
      <c r="B930" s="1">
        <f>DATE(2011,9,9) + TIME(4,24,26)</f>
        <v>40795.183634259258</v>
      </c>
      <c r="C930">
        <v>80</v>
      </c>
      <c r="D930">
        <v>79.938819885000001</v>
      </c>
      <c r="E930">
        <v>50</v>
      </c>
      <c r="F930">
        <v>39.353633881</v>
      </c>
      <c r="G930">
        <v>1380.7670897999999</v>
      </c>
      <c r="H930">
        <v>1367.7929687999999</v>
      </c>
      <c r="I930">
        <v>1278.7067870999999</v>
      </c>
      <c r="J930">
        <v>1255.3234863</v>
      </c>
      <c r="K930">
        <v>2400</v>
      </c>
      <c r="L930">
        <v>0</v>
      </c>
      <c r="M930">
        <v>0</v>
      </c>
      <c r="N930">
        <v>2400</v>
      </c>
    </row>
    <row r="931" spans="1:14" x14ac:dyDescent="0.25">
      <c r="A931">
        <v>497.10670900000002</v>
      </c>
      <c r="B931" s="1">
        <f>DATE(2011,9,10) + TIME(2,33,39)</f>
        <v>40796.10670138889</v>
      </c>
      <c r="C931">
        <v>80</v>
      </c>
      <c r="D931">
        <v>79.938873290999993</v>
      </c>
      <c r="E931">
        <v>50</v>
      </c>
      <c r="F931">
        <v>39.300224303999997</v>
      </c>
      <c r="G931">
        <v>1380.730957</v>
      </c>
      <c r="H931">
        <v>1367.7590332</v>
      </c>
      <c r="I931">
        <v>1278.6287841999999</v>
      </c>
      <c r="J931">
        <v>1255.1859131000001</v>
      </c>
      <c r="K931">
        <v>2400</v>
      </c>
      <c r="L931">
        <v>0</v>
      </c>
      <c r="M931">
        <v>0</v>
      </c>
      <c r="N931">
        <v>2400</v>
      </c>
    </row>
    <row r="932" spans="1:14" x14ac:dyDescent="0.25">
      <c r="A932">
        <v>498.95284199999998</v>
      </c>
      <c r="B932" s="1">
        <f>DATE(2011,9,11) + TIME(22,52,5)</f>
        <v>40797.952835648146</v>
      </c>
      <c r="C932">
        <v>80</v>
      </c>
      <c r="D932">
        <v>79.938995360999996</v>
      </c>
      <c r="E932">
        <v>50</v>
      </c>
      <c r="F932">
        <v>39.234390259000001</v>
      </c>
      <c r="G932">
        <v>1380.6834716999999</v>
      </c>
      <c r="H932">
        <v>1367.7137451000001</v>
      </c>
      <c r="I932">
        <v>1278.5455322</v>
      </c>
      <c r="J932">
        <v>1255.0313721</v>
      </c>
      <c r="K932">
        <v>2400</v>
      </c>
      <c r="L932">
        <v>0</v>
      </c>
      <c r="M932">
        <v>0</v>
      </c>
      <c r="N932">
        <v>2400</v>
      </c>
    </row>
    <row r="933" spans="1:14" x14ac:dyDescent="0.25">
      <c r="A933">
        <v>500.803178</v>
      </c>
      <c r="B933" s="1">
        <f>DATE(2011,9,13) + TIME(19,16,34)</f>
        <v>40799.803171296298</v>
      </c>
      <c r="C933">
        <v>80</v>
      </c>
      <c r="D933">
        <v>79.939079285000005</v>
      </c>
      <c r="E933">
        <v>50</v>
      </c>
      <c r="F933">
        <v>39.150939940999997</v>
      </c>
      <c r="G933">
        <v>1380.6188964999999</v>
      </c>
      <c r="H933">
        <v>1367.6534423999999</v>
      </c>
      <c r="I933">
        <v>1278.4003906</v>
      </c>
      <c r="J933">
        <v>1254.7817382999999</v>
      </c>
      <c r="K933">
        <v>2400</v>
      </c>
      <c r="L933">
        <v>0</v>
      </c>
      <c r="M933">
        <v>0</v>
      </c>
      <c r="N933">
        <v>2400</v>
      </c>
    </row>
    <row r="934" spans="1:14" x14ac:dyDescent="0.25">
      <c r="A934">
        <v>502.694841</v>
      </c>
      <c r="B934" s="1">
        <f>DATE(2011,9,15) + TIME(16,40,34)</f>
        <v>40801.694837962961</v>
      </c>
      <c r="C934">
        <v>80</v>
      </c>
      <c r="D934">
        <v>79.939170837000006</v>
      </c>
      <c r="E934">
        <v>50</v>
      </c>
      <c r="F934">
        <v>39.069820403999998</v>
      </c>
      <c r="G934">
        <v>1380.5505370999999</v>
      </c>
      <c r="H934">
        <v>1367.5893555</v>
      </c>
      <c r="I934">
        <v>1278.2543945</v>
      </c>
      <c r="J934">
        <v>1254.5239257999999</v>
      </c>
      <c r="K934">
        <v>2400</v>
      </c>
      <c r="L934">
        <v>0</v>
      </c>
      <c r="M934">
        <v>0</v>
      </c>
      <c r="N934">
        <v>2400</v>
      </c>
    </row>
    <row r="935" spans="1:14" x14ac:dyDescent="0.25">
      <c r="A935">
        <v>504.60995800000001</v>
      </c>
      <c r="B935" s="1">
        <f>DATE(2011,9,17) + TIME(14,38,20)</f>
        <v>40803.609953703701</v>
      </c>
      <c r="C935">
        <v>80</v>
      </c>
      <c r="D935">
        <v>79.939270019999995</v>
      </c>
      <c r="E935">
        <v>50</v>
      </c>
      <c r="F935">
        <v>38.997966765999998</v>
      </c>
      <c r="G935">
        <v>1380.4805908000001</v>
      </c>
      <c r="H935">
        <v>1367.5235596</v>
      </c>
      <c r="I935">
        <v>1278.1090088000001</v>
      </c>
      <c r="J935">
        <v>1254.2645264</v>
      </c>
      <c r="K935">
        <v>2400</v>
      </c>
      <c r="L935">
        <v>0</v>
      </c>
      <c r="M935">
        <v>0</v>
      </c>
      <c r="N935">
        <v>2400</v>
      </c>
    </row>
    <row r="936" spans="1:14" x14ac:dyDescent="0.25">
      <c r="A936">
        <v>506.54322400000001</v>
      </c>
      <c r="B936" s="1">
        <f>DATE(2011,9,19) + TIME(13,2,14)</f>
        <v>40805.543217592596</v>
      </c>
      <c r="C936">
        <v>80</v>
      </c>
      <c r="D936">
        <v>79.939369201999995</v>
      </c>
      <c r="E936">
        <v>50</v>
      </c>
      <c r="F936">
        <v>38.939395904999998</v>
      </c>
      <c r="G936">
        <v>1380.4097899999999</v>
      </c>
      <c r="H936">
        <v>1367.4567870999999</v>
      </c>
      <c r="I936">
        <v>1277.9664307</v>
      </c>
      <c r="J936">
        <v>1254.0084228999999</v>
      </c>
      <c r="K936">
        <v>2400</v>
      </c>
      <c r="L936">
        <v>0</v>
      </c>
      <c r="M936">
        <v>0</v>
      </c>
      <c r="N936">
        <v>2400</v>
      </c>
    </row>
    <row r="937" spans="1:14" x14ac:dyDescent="0.25">
      <c r="A937">
        <v>508.50784499999997</v>
      </c>
      <c r="B937" s="1">
        <f>DATE(2011,9,21) + TIME(12,11,17)</f>
        <v>40807.507835648146</v>
      </c>
      <c r="C937">
        <v>80</v>
      </c>
      <c r="D937">
        <v>79.939460753999995</v>
      </c>
      <c r="E937">
        <v>50</v>
      </c>
      <c r="F937">
        <v>38.896785735999998</v>
      </c>
      <c r="G937">
        <v>1380.3383789</v>
      </c>
      <c r="H937">
        <v>1367.3895264</v>
      </c>
      <c r="I937">
        <v>1277.8276367000001</v>
      </c>
      <c r="J937">
        <v>1253.7579346</v>
      </c>
      <c r="K937">
        <v>2400</v>
      </c>
      <c r="L937">
        <v>0</v>
      </c>
      <c r="M937">
        <v>0</v>
      </c>
      <c r="N937">
        <v>2400</v>
      </c>
    </row>
    <row r="938" spans="1:14" x14ac:dyDescent="0.25">
      <c r="A938">
        <v>510.51507900000001</v>
      </c>
      <c r="B938" s="1">
        <f>DATE(2011,9,23) + TIME(12,21,42)</f>
        <v>40809.515069444446</v>
      </c>
      <c r="C938">
        <v>80</v>
      </c>
      <c r="D938">
        <v>79.939567565999994</v>
      </c>
      <c r="E938">
        <v>50</v>
      </c>
      <c r="F938">
        <v>38.872470856</v>
      </c>
      <c r="G938">
        <v>1380.2661132999999</v>
      </c>
      <c r="H938">
        <v>1367.3212891000001</v>
      </c>
      <c r="I938">
        <v>1277.6922606999999</v>
      </c>
      <c r="J938">
        <v>1253.5129394999999</v>
      </c>
      <c r="K938">
        <v>2400</v>
      </c>
      <c r="L938">
        <v>0</v>
      </c>
      <c r="M938">
        <v>0</v>
      </c>
      <c r="N938">
        <v>2400</v>
      </c>
    </row>
    <row r="939" spans="1:14" x14ac:dyDescent="0.25">
      <c r="A939">
        <v>512.54282599999999</v>
      </c>
      <c r="B939" s="1">
        <f>DATE(2011,9,25) + TIME(13,1,40)</f>
        <v>40811.542824074073</v>
      </c>
      <c r="C939">
        <v>80</v>
      </c>
      <c r="D939">
        <v>79.939666747999993</v>
      </c>
      <c r="E939">
        <v>50</v>
      </c>
      <c r="F939">
        <v>38.869071959999999</v>
      </c>
      <c r="G939">
        <v>1380.1932373</v>
      </c>
      <c r="H939">
        <v>1367.2523193</v>
      </c>
      <c r="I939">
        <v>1277.5603027</v>
      </c>
      <c r="J939">
        <v>1253.2740478999999</v>
      </c>
      <c r="K939">
        <v>2400</v>
      </c>
      <c r="L939">
        <v>0</v>
      </c>
      <c r="M939">
        <v>0</v>
      </c>
      <c r="N939">
        <v>2400</v>
      </c>
    </row>
    <row r="940" spans="1:14" x14ac:dyDescent="0.25">
      <c r="A940">
        <v>514.588795</v>
      </c>
      <c r="B940" s="1">
        <f>DATE(2011,9,27) + TIME(14,7,51)</f>
        <v>40813.588784722226</v>
      </c>
      <c r="C940">
        <v>80</v>
      </c>
      <c r="D940">
        <v>79.939773560000006</v>
      </c>
      <c r="E940">
        <v>50</v>
      </c>
      <c r="F940">
        <v>38.889011383000003</v>
      </c>
      <c r="G940">
        <v>1380.1198730000001</v>
      </c>
      <c r="H940">
        <v>1367.1829834</v>
      </c>
      <c r="I940">
        <v>1277.4332274999999</v>
      </c>
      <c r="J940">
        <v>1253.0443115</v>
      </c>
      <c r="K940">
        <v>2400</v>
      </c>
      <c r="L940">
        <v>0</v>
      </c>
      <c r="M940">
        <v>0</v>
      </c>
      <c r="N940">
        <v>2400</v>
      </c>
    </row>
    <row r="941" spans="1:14" x14ac:dyDescent="0.25">
      <c r="A941">
        <v>515.61229800000001</v>
      </c>
      <c r="B941" s="1">
        <f>DATE(2011,9,28) + TIME(14,41,42)</f>
        <v>40814.612291666665</v>
      </c>
      <c r="C941">
        <v>80</v>
      </c>
      <c r="D941">
        <v>79.939796447999996</v>
      </c>
      <c r="E941">
        <v>50</v>
      </c>
      <c r="F941">
        <v>38.924663543999998</v>
      </c>
      <c r="G941">
        <v>1380.0637207</v>
      </c>
      <c r="H941">
        <v>1367.1306152</v>
      </c>
      <c r="I941">
        <v>1277.3240966999999</v>
      </c>
      <c r="J941">
        <v>1252.847168</v>
      </c>
      <c r="K941">
        <v>2400</v>
      </c>
      <c r="L941">
        <v>0</v>
      </c>
      <c r="M941">
        <v>0</v>
      </c>
      <c r="N941">
        <v>2400</v>
      </c>
    </row>
    <row r="942" spans="1:14" x14ac:dyDescent="0.25">
      <c r="A942">
        <v>516.63580200000001</v>
      </c>
      <c r="B942" s="1">
        <f>DATE(2011,9,29) + TIME(15,15,33)</f>
        <v>40815.635798611111</v>
      </c>
      <c r="C942">
        <v>80</v>
      </c>
      <c r="D942">
        <v>79.939842224000003</v>
      </c>
      <c r="E942">
        <v>50</v>
      </c>
      <c r="F942">
        <v>38.963054657000001</v>
      </c>
      <c r="G942">
        <v>1380.0197754000001</v>
      </c>
      <c r="H942">
        <v>1367.0886230000001</v>
      </c>
      <c r="I942">
        <v>1277.2591553</v>
      </c>
      <c r="J942">
        <v>1252.7292480000001</v>
      </c>
      <c r="K942">
        <v>2400</v>
      </c>
      <c r="L942">
        <v>0</v>
      </c>
      <c r="M942">
        <v>0</v>
      </c>
      <c r="N942">
        <v>2400</v>
      </c>
    </row>
    <row r="943" spans="1:14" x14ac:dyDescent="0.25">
      <c r="A943">
        <v>518</v>
      </c>
      <c r="B943" s="1">
        <f>DATE(2011,10,1) + TIME(0,0,0)</f>
        <v>40817</v>
      </c>
      <c r="C943">
        <v>80</v>
      </c>
      <c r="D943">
        <v>79.939933776999993</v>
      </c>
      <c r="E943">
        <v>50</v>
      </c>
      <c r="F943">
        <v>39.011543273999997</v>
      </c>
      <c r="G943">
        <v>1379.9743652</v>
      </c>
      <c r="H943">
        <v>1367.0451660000001</v>
      </c>
      <c r="I943">
        <v>1277.1960449000001</v>
      </c>
      <c r="J943">
        <v>1252.6166992000001</v>
      </c>
      <c r="K943">
        <v>2400</v>
      </c>
      <c r="L943">
        <v>0</v>
      </c>
      <c r="M943">
        <v>0</v>
      </c>
      <c r="N943">
        <v>2400</v>
      </c>
    </row>
    <row r="944" spans="1:14" x14ac:dyDescent="0.25">
      <c r="A944">
        <v>519.02350300000001</v>
      </c>
      <c r="B944" s="1">
        <f>DATE(2011,10,2) + TIME(0,33,50)</f>
        <v>40818.023495370369</v>
      </c>
      <c r="C944">
        <v>80</v>
      </c>
      <c r="D944">
        <v>79.939979553000001</v>
      </c>
      <c r="E944">
        <v>50</v>
      </c>
      <c r="F944">
        <v>39.068317413000003</v>
      </c>
      <c r="G944">
        <v>1379.932251</v>
      </c>
      <c r="H944">
        <v>1367.005249</v>
      </c>
      <c r="I944">
        <v>1277.1289062000001</v>
      </c>
      <c r="J944">
        <v>1252.4959716999999</v>
      </c>
      <c r="K944">
        <v>2400</v>
      </c>
      <c r="L944">
        <v>0</v>
      </c>
      <c r="M944">
        <v>0</v>
      </c>
      <c r="N944">
        <v>2400</v>
      </c>
    </row>
    <row r="945" spans="1:14" x14ac:dyDescent="0.25">
      <c r="A945">
        <v>520.04700700000001</v>
      </c>
      <c r="B945" s="1">
        <f>DATE(2011,10,3) + TIME(1,7,41)</f>
        <v>40819.047002314815</v>
      </c>
      <c r="C945">
        <v>80</v>
      </c>
      <c r="D945">
        <v>79.940025329999997</v>
      </c>
      <c r="E945">
        <v>50</v>
      </c>
      <c r="F945">
        <v>39.128425598</v>
      </c>
      <c r="G945">
        <v>1379.8935547000001</v>
      </c>
      <c r="H945">
        <v>1366.9685059000001</v>
      </c>
      <c r="I945">
        <v>1277.0742187999999</v>
      </c>
      <c r="J945">
        <v>1252.4002685999999</v>
      </c>
      <c r="K945">
        <v>2400</v>
      </c>
      <c r="L945">
        <v>0</v>
      </c>
      <c r="M945">
        <v>0</v>
      </c>
      <c r="N945">
        <v>2400</v>
      </c>
    </row>
    <row r="946" spans="1:14" x14ac:dyDescent="0.25">
      <c r="A946">
        <v>521.07051000000001</v>
      </c>
      <c r="B946" s="1">
        <f>DATE(2011,10,4) + TIME(1,41,32)</f>
        <v>40820.070509259262</v>
      </c>
      <c r="C946">
        <v>80</v>
      </c>
      <c r="D946">
        <v>79.940078735</v>
      </c>
      <c r="E946">
        <v>50</v>
      </c>
      <c r="F946">
        <v>39.193744658999996</v>
      </c>
      <c r="G946">
        <v>1379.8563231999999</v>
      </c>
      <c r="H946">
        <v>1366.9331055</v>
      </c>
      <c r="I946">
        <v>1277.0224608999999</v>
      </c>
      <c r="J946">
        <v>1252.3101807</v>
      </c>
      <c r="K946">
        <v>2400</v>
      </c>
      <c r="L946">
        <v>0</v>
      </c>
      <c r="M946">
        <v>0</v>
      </c>
      <c r="N946">
        <v>2400</v>
      </c>
    </row>
    <row r="947" spans="1:14" x14ac:dyDescent="0.25">
      <c r="A947">
        <v>522.09401300000002</v>
      </c>
      <c r="B947" s="1">
        <f>DATE(2011,10,5) + TIME(2,15,22)</f>
        <v>40821.094004629631</v>
      </c>
      <c r="C947">
        <v>80</v>
      </c>
      <c r="D947">
        <v>79.940132141000007</v>
      </c>
      <c r="E947">
        <v>50</v>
      </c>
      <c r="F947">
        <v>39.265010834000002</v>
      </c>
      <c r="G947">
        <v>1379.8198242000001</v>
      </c>
      <c r="H947">
        <v>1366.8981934000001</v>
      </c>
      <c r="I947">
        <v>1276.9726562000001</v>
      </c>
      <c r="J947">
        <v>1252.2241211</v>
      </c>
      <c r="K947">
        <v>2400</v>
      </c>
      <c r="L947">
        <v>0</v>
      </c>
      <c r="M947">
        <v>0</v>
      </c>
      <c r="N947">
        <v>2400</v>
      </c>
    </row>
    <row r="948" spans="1:14" x14ac:dyDescent="0.25">
      <c r="A948">
        <v>523.11751700000002</v>
      </c>
      <c r="B948" s="1">
        <f>DATE(2011,10,6) + TIME(2,49,13)</f>
        <v>40822.117511574077</v>
      </c>
      <c r="C948">
        <v>80</v>
      </c>
      <c r="D948">
        <v>79.940185546999999</v>
      </c>
      <c r="E948">
        <v>50</v>
      </c>
      <c r="F948">
        <v>39.342464446999998</v>
      </c>
      <c r="G948">
        <v>1379.7836914</v>
      </c>
      <c r="H948">
        <v>1366.8638916</v>
      </c>
      <c r="I948">
        <v>1276.9244385</v>
      </c>
      <c r="J948">
        <v>1252.1418457</v>
      </c>
      <c r="K948">
        <v>2400</v>
      </c>
      <c r="L948">
        <v>0</v>
      </c>
      <c r="M948">
        <v>0</v>
      </c>
      <c r="N948">
        <v>2400</v>
      </c>
    </row>
    <row r="949" spans="1:14" x14ac:dyDescent="0.25">
      <c r="A949">
        <v>525.16452400000003</v>
      </c>
      <c r="B949" s="1">
        <f>DATE(2011,10,8) + TIME(3,56,54)</f>
        <v>40824.164513888885</v>
      </c>
      <c r="C949">
        <v>80</v>
      </c>
      <c r="D949">
        <v>79.940315247000001</v>
      </c>
      <c r="E949">
        <v>50</v>
      </c>
      <c r="F949">
        <v>39.448238373000002</v>
      </c>
      <c r="G949">
        <v>1379.7354736</v>
      </c>
      <c r="H949">
        <v>1366.8175048999999</v>
      </c>
      <c r="I949">
        <v>1276.8673096</v>
      </c>
      <c r="J949">
        <v>1252.0516356999999</v>
      </c>
      <c r="K949">
        <v>2400</v>
      </c>
      <c r="L949">
        <v>0</v>
      </c>
      <c r="M949">
        <v>0</v>
      </c>
      <c r="N949">
        <v>2400</v>
      </c>
    </row>
    <row r="950" spans="1:14" x14ac:dyDescent="0.25">
      <c r="A950">
        <v>527.21697600000005</v>
      </c>
      <c r="B950" s="1">
        <f>DATE(2011,10,10) + TIME(5,12,26)</f>
        <v>40826.216967592591</v>
      </c>
      <c r="C950">
        <v>80</v>
      </c>
      <c r="D950">
        <v>79.940414429</v>
      </c>
      <c r="E950">
        <v>50</v>
      </c>
      <c r="F950">
        <v>39.615188599</v>
      </c>
      <c r="G950">
        <v>1379.6713867000001</v>
      </c>
      <c r="H950">
        <v>1366.7567139</v>
      </c>
      <c r="I950">
        <v>1276.7839355000001</v>
      </c>
      <c r="J950">
        <v>1251.9100341999999</v>
      </c>
      <c r="K950">
        <v>2400</v>
      </c>
      <c r="L950">
        <v>0</v>
      </c>
      <c r="M950">
        <v>0</v>
      </c>
      <c r="N950">
        <v>2400</v>
      </c>
    </row>
    <row r="951" spans="1:14" x14ac:dyDescent="0.25">
      <c r="A951">
        <v>529.31391199999996</v>
      </c>
      <c r="B951" s="1">
        <f>DATE(2011,10,12) + TIME(7,32,1)</f>
        <v>40828.313900462963</v>
      </c>
      <c r="C951">
        <v>80</v>
      </c>
      <c r="D951">
        <v>79.940513611</v>
      </c>
      <c r="E951">
        <v>50</v>
      </c>
      <c r="F951">
        <v>39.817146301000001</v>
      </c>
      <c r="G951">
        <v>1379.6033935999999</v>
      </c>
      <c r="H951">
        <v>1366.6920166</v>
      </c>
      <c r="I951">
        <v>1276.7005615</v>
      </c>
      <c r="J951">
        <v>1251.7741699000001</v>
      </c>
      <c r="K951">
        <v>2400</v>
      </c>
      <c r="L951">
        <v>0</v>
      </c>
      <c r="M951">
        <v>0</v>
      </c>
      <c r="N951">
        <v>2400</v>
      </c>
    </row>
    <row r="952" spans="1:14" x14ac:dyDescent="0.25">
      <c r="A952">
        <v>530.37784199999999</v>
      </c>
      <c r="B952" s="1">
        <f>DATE(2011,10,13) + TIME(9,4,5)</f>
        <v>40829.377835648149</v>
      </c>
      <c r="C952">
        <v>80</v>
      </c>
      <c r="D952">
        <v>79.940536499000004</v>
      </c>
      <c r="E952">
        <v>50</v>
      </c>
      <c r="F952">
        <v>40.001029967999997</v>
      </c>
      <c r="G952">
        <v>1379.5504149999999</v>
      </c>
      <c r="H952">
        <v>1366.6423339999999</v>
      </c>
      <c r="I952">
        <v>1276.635376</v>
      </c>
      <c r="J952">
        <v>1251.6590576000001</v>
      </c>
      <c r="K952">
        <v>2400</v>
      </c>
      <c r="L952">
        <v>0</v>
      </c>
      <c r="M952">
        <v>0</v>
      </c>
      <c r="N952">
        <v>2400</v>
      </c>
    </row>
    <row r="953" spans="1:14" x14ac:dyDescent="0.25">
      <c r="A953">
        <v>531.44177200000001</v>
      </c>
      <c r="B953" s="1">
        <f>DATE(2011,10,14) + TIME(10,36,9)</f>
        <v>40830.441770833335</v>
      </c>
      <c r="C953">
        <v>80</v>
      </c>
      <c r="D953">
        <v>79.940589904999996</v>
      </c>
      <c r="E953">
        <v>50</v>
      </c>
      <c r="F953">
        <v>40.153446197999997</v>
      </c>
      <c r="G953">
        <v>1379.5081786999999</v>
      </c>
      <c r="H953">
        <v>1366.6018065999999</v>
      </c>
      <c r="I953">
        <v>1276.5887451000001</v>
      </c>
      <c r="J953">
        <v>1251.5935059000001</v>
      </c>
      <c r="K953">
        <v>2400</v>
      </c>
      <c r="L953">
        <v>0</v>
      </c>
      <c r="M953">
        <v>0</v>
      </c>
      <c r="N953">
        <v>2400</v>
      </c>
    </row>
    <row r="954" spans="1:14" x14ac:dyDescent="0.25">
      <c r="A954">
        <v>532.50570200000004</v>
      </c>
      <c r="B954" s="1">
        <f>DATE(2011,10,15) + TIME(12,8,12)</f>
        <v>40831.505694444444</v>
      </c>
      <c r="C954">
        <v>80</v>
      </c>
      <c r="D954">
        <v>79.940650939999998</v>
      </c>
      <c r="E954">
        <v>50</v>
      </c>
      <c r="F954">
        <v>40.295471190999997</v>
      </c>
      <c r="G954">
        <v>1379.4697266000001</v>
      </c>
      <c r="H954">
        <v>1366.5649414</v>
      </c>
      <c r="I954">
        <v>1276.5477295000001</v>
      </c>
      <c r="J954">
        <v>1251.5341797000001</v>
      </c>
      <c r="K954">
        <v>2400</v>
      </c>
      <c r="L954">
        <v>0</v>
      </c>
      <c r="M954">
        <v>0</v>
      </c>
      <c r="N954">
        <v>2400</v>
      </c>
    </row>
    <row r="955" spans="1:14" x14ac:dyDescent="0.25">
      <c r="A955">
        <v>533.56963199999996</v>
      </c>
      <c r="B955" s="1">
        <f>DATE(2011,10,16) + TIME(13,40,16)</f>
        <v>40832.56962962963</v>
      </c>
      <c r="C955">
        <v>80</v>
      </c>
      <c r="D955">
        <v>79.940704346000004</v>
      </c>
      <c r="E955">
        <v>50</v>
      </c>
      <c r="F955">
        <v>40.435478209999999</v>
      </c>
      <c r="G955">
        <v>1379.4329834</v>
      </c>
      <c r="H955">
        <v>1366.5296631000001</v>
      </c>
      <c r="I955">
        <v>1276.5095214999999</v>
      </c>
      <c r="J955">
        <v>1251.4788818</v>
      </c>
      <c r="K955">
        <v>2400</v>
      </c>
      <c r="L955">
        <v>0</v>
      </c>
      <c r="M955">
        <v>0</v>
      </c>
      <c r="N955">
        <v>2400</v>
      </c>
    </row>
    <row r="956" spans="1:14" x14ac:dyDescent="0.25">
      <c r="A956">
        <v>534.63356199999998</v>
      </c>
      <c r="B956" s="1">
        <f>DATE(2011,10,17) + TIME(15,12,19)</f>
        <v>40833.633553240739</v>
      </c>
      <c r="C956">
        <v>80</v>
      </c>
      <c r="D956">
        <v>79.940765381000006</v>
      </c>
      <c r="E956">
        <v>50</v>
      </c>
      <c r="F956">
        <v>40.576633452999999</v>
      </c>
      <c r="G956">
        <v>1379.3969727000001</v>
      </c>
      <c r="H956">
        <v>1366.4952393000001</v>
      </c>
      <c r="I956">
        <v>1276.4732666</v>
      </c>
      <c r="J956">
        <v>1251.4268798999999</v>
      </c>
      <c r="K956">
        <v>2400</v>
      </c>
      <c r="L956">
        <v>0</v>
      </c>
      <c r="M956">
        <v>0</v>
      </c>
      <c r="N956">
        <v>2400</v>
      </c>
    </row>
    <row r="957" spans="1:14" x14ac:dyDescent="0.25">
      <c r="A957">
        <v>535.69749200000001</v>
      </c>
      <c r="B957" s="1">
        <f>DATE(2011,10,18) + TIME(16,44,23)</f>
        <v>40834.697488425925</v>
      </c>
      <c r="C957">
        <v>80</v>
      </c>
      <c r="D957">
        <v>79.940818786999998</v>
      </c>
      <c r="E957">
        <v>50</v>
      </c>
      <c r="F957">
        <v>40.719993590999998</v>
      </c>
      <c r="G957">
        <v>1379.3614502</v>
      </c>
      <c r="H957">
        <v>1366.4614257999999</v>
      </c>
      <c r="I957">
        <v>1276.4384766000001</v>
      </c>
      <c r="J957">
        <v>1251.3778076000001</v>
      </c>
      <c r="K957">
        <v>2400</v>
      </c>
      <c r="L957">
        <v>0</v>
      </c>
      <c r="M957">
        <v>0</v>
      </c>
      <c r="N957">
        <v>2400</v>
      </c>
    </row>
    <row r="958" spans="1:14" x14ac:dyDescent="0.25">
      <c r="A958">
        <v>536.76142200000004</v>
      </c>
      <c r="B958" s="1">
        <f>DATE(2011,10,19) + TIME(18,16,26)</f>
        <v>40835.761412037034</v>
      </c>
      <c r="C958">
        <v>80</v>
      </c>
      <c r="D958">
        <v>79.940872192</v>
      </c>
      <c r="E958">
        <v>50</v>
      </c>
      <c r="F958">
        <v>40.865753173999998</v>
      </c>
      <c r="G958">
        <v>1379.3265381000001</v>
      </c>
      <c r="H958">
        <v>1366.4278564000001</v>
      </c>
      <c r="I958">
        <v>1276.4049072</v>
      </c>
      <c r="J958">
        <v>1251.3314209</v>
      </c>
      <c r="K958">
        <v>2400</v>
      </c>
      <c r="L958">
        <v>0</v>
      </c>
      <c r="M958">
        <v>0</v>
      </c>
      <c r="N958">
        <v>2400</v>
      </c>
    </row>
    <row r="959" spans="1:14" x14ac:dyDescent="0.25">
      <c r="A959">
        <v>537.82535199999995</v>
      </c>
      <c r="B959" s="1">
        <f>DATE(2011,10,20) + TIME(19,48,30)</f>
        <v>40836.82534722222</v>
      </c>
      <c r="C959">
        <v>80</v>
      </c>
      <c r="D959">
        <v>79.940925598000007</v>
      </c>
      <c r="E959">
        <v>50</v>
      </c>
      <c r="F959">
        <v>41.013774871999999</v>
      </c>
      <c r="G959">
        <v>1379.2918701000001</v>
      </c>
      <c r="H959">
        <v>1366.3947754000001</v>
      </c>
      <c r="I959">
        <v>1276.3724365</v>
      </c>
      <c r="J959">
        <v>1251.2874756000001</v>
      </c>
      <c r="K959">
        <v>2400</v>
      </c>
      <c r="L959">
        <v>0</v>
      </c>
      <c r="M959">
        <v>0</v>
      </c>
      <c r="N959">
        <v>2400</v>
      </c>
    </row>
    <row r="960" spans="1:14" x14ac:dyDescent="0.25">
      <c r="A960">
        <v>538.88928199999998</v>
      </c>
      <c r="B960" s="1">
        <f>DATE(2011,10,21) + TIME(21,20,33)</f>
        <v>40837.889270833337</v>
      </c>
      <c r="C960">
        <v>80</v>
      </c>
      <c r="D960">
        <v>79.940979003999999</v>
      </c>
      <c r="E960">
        <v>50</v>
      </c>
      <c r="F960">
        <v>41.163825989000003</v>
      </c>
      <c r="G960">
        <v>1379.2575684000001</v>
      </c>
      <c r="H960">
        <v>1366.3619385</v>
      </c>
      <c r="I960">
        <v>1276.3411865</v>
      </c>
      <c r="J960">
        <v>1251.2459716999999</v>
      </c>
      <c r="K960">
        <v>2400</v>
      </c>
      <c r="L960">
        <v>0</v>
      </c>
      <c r="M960">
        <v>0</v>
      </c>
      <c r="N960">
        <v>2400</v>
      </c>
    </row>
    <row r="961" spans="1:14" x14ac:dyDescent="0.25">
      <c r="A961">
        <v>539.95321200000001</v>
      </c>
      <c r="B961" s="1">
        <f>DATE(2011,10,22) + TIME(22,52,37)</f>
        <v>40838.953206018516</v>
      </c>
      <c r="C961">
        <v>80</v>
      </c>
      <c r="D961">
        <v>79.941032410000005</v>
      </c>
      <c r="E961">
        <v>50</v>
      </c>
      <c r="F961">
        <v>41.315532683999997</v>
      </c>
      <c r="G961">
        <v>1379.2235106999999</v>
      </c>
      <c r="H961">
        <v>1366.3293457</v>
      </c>
      <c r="I961">
        <v>1276.3109131000001</v>
      </c>
      <c r="J961">
        <v>1251.206543</v>
      </c>
      <c r="K961">
        <v>2400</v>
      </c>
      <c r="L961">
        <v>0</v>
      </c>
      <c r="M961">
        <v>0</v>
      </c>
      <c r="N961">
        <v>2400</v>
      </c>
    </row>
    <row r="962" spans="1:14" x14ac:dyDescent="0.25">
      <c r="A962">
        <v>541.01714200000004</v>
      </c>
      <c r="B962" s="1">
        <f>DATE(2011,10,24) + TIME(0,24,41)</f>
        <v>40840.017141203702</v>
      </c>
      <c r="C962">
        <v>80</v>
      </c>
      <c r="D962">
        <v>79.941085814999994</v>
      </c>
      <c r="E962">
        <v>50</v>
      </c>
      <c r="F962">
        <v>41.468563080000003</v>
      </c>
      <c r="G962">
        <v>1379.1896973</v>
      </c>
      <c r="H962">
        <v>1366.2969971</v>
      </c>
      <c r="I962">
        <v>1276.2817382999999</v>
      </c>
      <c r="J962">
        <v>1251.1693115</v>
      </c>
      <c r="K962">
        <v>2400</v>
      </c>
      <c r="L962">
        <v>0</v>
      </c>
      <c r="M962">
        <v>0</v>
      </c>
      <c r="N962">
        <v>2400</v>
      </c>
    </row>
    <row r="963" spans="1:14" x14ac:dyDescent="0.25">
      <c r="A963">
        <v>542.08107299999995</v>
      </c>
      <c r="B963" s="1">
        <f>DATE(2011,10,25) + TIME(1,56,44)</f>
        <v>40841.081064814818</v>
      </c>
      <c r="C963">
        <v>80</v>
      </c>
      <c r="D963">
        <v>79.941139221</v>
      </c>
      <c r="E963">
        <v>50</v>
      </c>
      <c r="F963">
        <v>41.622627258000001</v>
      </c>
      <c r="G963">
        <v>1379.1561279</v>
      </c>
      <c r="H963">
        <v>1366.2650146000001</v>
      </c>
      <c r="I963">
        <v>1276.2535399999999</v>
      </c>
      <c r="J963">
        <v>1251.1341553</v>
      </c>
      <c r="K963">
        <v>2400</v>
      </c>
      <c r="L963">
        <v>0</v>
      </c>
      <c r="M963">
        <v>0</v>
      </c>
      <c r="N963">
        <v>2400</v>
      </c>
    </row>
    <row r="964" spans="1:14" x14ac:dyDescent="0.25">
      <c r="A964">
        <v>544.208933</v>
      </c>
      <c r="B964" s="1">
        <f>DATE(2011,10,27) + TIME(5,0,51)</f>
        <v>40843.208923611113</v>
      </c>
      <c r="C964">
        <v>80</v>
      </c>
      <c r="D964">
        <v>79.941261291999993</v>
      </c>
      <c r="E964">
        <v>50</v>
      </c>
      <c r="F964">
        <v>41.815670013000002</v>
      </c>
      <c r="G964">
        <v>1379.1110839999999</v>
      </c>
      <c r="H964">
        <v>1366.2214355000001</v>
      </c>
      <c r="I964">
        <v>1276.2150879000001</v>
      </c>
      <c r="J964">
        <v>1251.0949707</v>
      </c>
      <c r="K964">
        <v>2400</v>
      </c>
      <c r="L964">
        <v>0</v>
      </c>
      <c r="M964">
        <v>0</v>
      </c>
      <c r="N964">
        <v>2400</v>
      </c>
    </row>
    <row r="965" spans="1:14" x14ac:dyDescent="0.25">
      <c r="A965">
        <v>546.34090900000001</v>
      </c>
      <c r="B965" s="1">
        <f>DATE(2011,10,29) + TIME(8,10,54)</f>
        <v>40845.340902777774</v>
      </c>
      <c r="C965">
        <v>80</v>
      </c>
      <c r="D965">
        <v>79.941360474000007</v>
      </c>
      <c r="E965">
        <v>50</v>
      </c>
      <c r="F965">
        <v>42.097751617</v>
      </c>
      <c r="G965">
        <v>1379.0517577999999</v>
      </c>
      <c r="H965">
        <v>1366.1647949000001</v>
      </c>
      <c r="I965">
        <v>1276.1690673999999</v>
      </c>
      <c r="J965">
        <v>1251.0336914</v>
      </c>
      <c r="K965">
        <v>2400</v>
      </c>
      <c r="L965">
        <v>0</v>
      </c>
      <c r="M965">
        <v>0</v>
      </c>
      <c r="N965">
        <v>2400</v>
      </c>
    </row>
    <row r="966" spans="1:14" x14ac:dyDescent="0.25">
      <c r="A966">
        <v>548.523461</v>
      </c>
      <c r="B966" s="1">
        <f>DATE(2011,10,31) + TIME(12,33,47)</f>
        <v>40847.523460648146</v>
      </c>
      <c r="C966">
        <v>80</v>
      </c>
      <c r="D966">
        <v>79.941467285000002</v>
      </c>
      <c r="E966">
        <v>50</v>
      </c>
      <c r="F966">
        <v>42.404399871999999</v>
      </c>
      <c r="G966">
        <v>1378.9887695</v>
      </c>
      <c r="H966">
        <v>1366.1046143000001</v>
      </c>
      <c r="I966">
        <v>1276.1219481999999</v>
      </c>
      <c r="J966">
        <v>1250.9790039</v>
      </c>
      <c r="K966">
        <v>2400</v>
      </c>
      <c r="L966">
        <v>0</v>
      </c>
      <c r="M966">
        <v>0</v>
      </c>
      <c r="N966">
        <v>2400</v>
      </c>
    </row>
    <row r="967" spans="1:14" x14ac:dyDescent="0.25">
      <c r="A967">
        <v>549</v>
      </c>
      <c r="B967" s="1">
        <f>DATE(2011,11,1) + TIME(0,0,0)</f>
        <v>40848</v>
      </c>
      <c r="C967">
        <v>80</v>
      </c>
      <c r="D967">
        <v>79.941452025999993</v>
      </c>
      <c r="E967">
        <v>50</v>
      </c>
      <c r="F967">
        <v>42.574409484999997</v>
      </c>
      <c r="G967">
        <v>1378.9581298999999</v>
      </c>
      <c r="H967">
        <v>1366.0762939000001</v>
      </c>
      <c r="I967">
        <v>1276.1097411999999</v>
      </c>
      <c r="J967">
        <v>1250.9384766000001</v>
      </c>
      <c r="K967">
        <v>2400</v>
      </c>
      <c r="L967">
        <v>0</v>
      </c>
      <c r="M967">
        <v>0</v>
      </c>
      <c r="N967">
        <v>2400</v>
      </c>
    </row>
    <row r="968" spans="1:14" x14ac:dyDescent="0.25">
      <c r="A968">
        <v>549.000001</v>
      </c>
      <c r="B968" s="1">
        <f>DATE(2011,11,1) + TIME(0,0,0)</f>
        <v>40848</v>
      </c>
      <c r="C968">
        <v>80</v>
      </c>
      <c r="D968">
        <v>79.941421508999994</v>
      </c>
      <c r="E968">
        <v>50</v>
      </c>
      <c r="F968">
        <v>42.574436188</v>
      </c>
      <c r="G968">
        <v>1366.0662841999999</v>
      </c>
      <c r="H968">
        <v>1353.6335449000001</v>
      </c>
      <c r="I968">
        <v>1301.5152588000001</v>
      </c>
      <c r="J968">
        <v>1276.1210937999999</v>
      </c>
      <c r="K968">
        <v>0</v>
      </c>
      <c r="L968">
        <v>2400</v>
      </c>
      <c r="M968">
        <v>2400</v>
      </c>
      <c r="N968">
        <v>0</v>
      </c>
    </row>
    <row r="969" spans="1:14" x14ac:dyDescent="0.25">
      <c r="A969">
        <v>549.00000399999999</v>
      </c>
      <c r="B969" s="1">
        <f>DATE(2011,11,1) + TIME(0,0,0)</f>
        <v>40848</v>
      </c>
      <c r="C969">
        <v>80</v>
      </c>
      <c r="D969">
        <v>79.941322326999995</v>
      </c>
      <c r="E969">
        <v>50</v>
      </c>
      <c r="F969">
        <v>42.574512482000003</v>
      </c>
      <c r="G969">
        <v>1366.0363769999999</v>
      </c>
      <c r="H969">
        <v>1353.6035156</v>
      </c>
      <c r="I969">
        <v>1301.5450439000001</v>
      </c>
      <c r="J969">
        <v>1276.1552733999999</v>
      </c>
      <c r="K969">
        <v>0</v>
      </c>
      <c r="L969">
        <v>2400</v>
      </c>
      <c r="M969">
        <v>2400</v>
      </c>
      <c r="N969">
        <v>0</v>
      </c>
    </row>
    <row r="970" spans="1:14" x14ac:dyDescent="0.25">
      <c r="A970">
        <v>549.00001299999997</v>
      </c>
      <c r="B970" s="1">
        <f>DATE(2011,11,1) + TIME(0,0,1)</f>
        <v>40848.000011574077</v>
      </c>
      <c r="C970">
        <v>80</v>
      </c>
      <c r="D970">
        <v>79.941040039000001</v>
      </c>
      <c r="E970">
        <v>50</v>
      </c>
      <c r="F970">
        <v>42.574745178000001</v>
      </c>
      <c r="G970">
        <v>1365.9470214999999</v>
      </c>
      <c r="H970">
        <v>1353.5141602000001</v>
      </c>
      <c r="I970">
        <v>1301.6342772999999</v>
      </c>
      <c r="J970">
        <v>1276.2573242000001</v>
      </c>
      <c r="K970">
        <v>0</v>
      </c>
      <c r="L970">
        <v>2400</v>
      </c>
      <c r="M970">
        <v>2400</v>
      </c>
      <c r="N970">
        <v>0</v>
      </c>
    </row>
    <row r="971" spans="1:14" x14ac:dyDescent="0.25">
      <c r="A971">
        <v>549.00004000000001</v>
      </c>
      <c r="B971" s="1">
        <f>DATE(2011,11,1) + TIME(0,0,3)</f>
        <v>40848.000034722223</v>
      </c>
      <c r="C971">
        <v>80</v>
      </c>
      <c r="D971">
        <v>79.940193175999994</v>
      </c>
      <c r="E971">
        <v>50</v>
      </c>
      <c r="F971">
        <v>42.575431823999999</v>
      </c>
      <c r="G971">
        <v>1365.6843262</v>
      </c>
      <c r="H971">
        <v>1353.2510986</v>
      </c>
      <c r="I971">
        <v>1301.8992920000001</v>
      </c>
      <c r="J971">
        <v>1276.5601807</v>
      </c>
      <c r="K971">
        <v>0</v>
      </c>
      <c r="L971">
        <v>2400</v>
      </c>
      <c r="M971">
        <v>2400</v>
      </c>
      <c r="N971">
        <v>0</v>
      </c>
    </row>
    <row r="972" spans="1:14" x14ac:dyDescent="0.25">
      <c r="A972">
        <v>549.00012100000004</v>
      </c>
      <c r="B972" s="1">
        <f>DATE(2011,11,1) + TIME(0,0,10)</f>
        <v>40848.000115740739</v>
      </c>
      <c r="C972">
        <v>80</v>
      </c>
      <c r="D972">
        <v>79.937805175999998</v>
      </c>
      <c r="E972">
        <v>50</v>
      </c>
      <c r="F972">
        <v>42.577449799</v>
      </c>
      <c r="G972">
        <v>1364.9389647999999</v>
      </c>
      <c r="H972">
        <v>1352.5048827999999</v>
      </c>
      <c r="I972">
        <v>1302.6715088000001</v>
      </c>
      <c r="J972">
        <v>1277.4388428</v>
      </c>
      <c r="K972">
        <v>0</v>
      </c>
      <c r="L972">
        <v>2400</v>
      </c>
      <c r="M972">
        <v>2400</v>
      </c>
      <c r="N972">
        <v>0</v>
      </c>
    </row>
    <row r="973" spans="1:14" x14ac:dyDescent="0.25">
      <c r="A973">
        <v>549.00036399999999</v>
      </c>
      <c r="B973" s="1">
        <f>DATE(2011,11,1) + TIME(0,0,31)</f>
        <v>40848.000358796293</v>
      </c>
      <c r="C973">
        <v>80</v>
      </c>
      <c r="D973">
        <v>79.931632996000005</v>
      </c>
      <c r="E973">
        <v>50</v>
      </c>
      <c r="F973">
        <v>42.583187103</v>
      </c>
      <c r="G973">
        <v>1363.0168457</v>
      </c>
      <c r="H973">
        <v>1350.5808105000001</v>
      </c>
      <c r="I973">
        <v>1304.8061522999999</v>
      </c>
      <c r="J973">
        <v>1279.8386230000001</v>
      </c>
      <c r="K973">
        <v>0</v>
      </c>
      <c r="L973">
        <v>2400</v>
      </c>
      <c r="M973">
        <v>2400</v>
      </c>
      <c r="N973">
        <v>0</v>
      </c>
    </row>
    <row r="974" spans="1:14" x14ac:dyDescent="0.25">
      <c r="A974">
        <v>549.00109299999997</v>
      </c>
      <c r="B974" s="1">
        <f>DATE(2011,11,1) + TIME(0,1,34)</f>
        <v>40848.001087962963</v>
      </c>
      <c r="C974">
        <v>80</v>
      </c>
      <c r="D974">
        <v>79.918685913000004</v>
      </c>
      <c r="E974">
        <v>50</v>
      </c>
      <c r="F974">
        <v>42.598396301000001</v>
      </c>
      <c r="G974">
        <v>1358.9835204999999</v>
      </c>
      <c r="H974">
        <v>1346.5444336</v>
      </c>
      <c r="I974">
        <v>1309.9868164</v>
      </c>
      <c r="J974">
        <v>1285.505249</v>
      </c>
      <c r="K974">
        <v>0</v>
      </c>
      <c r="L974">
        <v>2400</v>
      </c>
      <c r="M974">
        <v>2400</v>
      </c>
      <c r="N974">
        <v>0</v>
      </c>
    </row>
    <row r="975" spans="1:14" x14ac:dyDescent="0.25">
      <c r="A975">
        <v>549.00328000000002</v>
      </c>
      <c r="B975" s="1">
        <f>DATE(2011,11,1) + TIME(0,4,43)</f>
        <v>40848.003275462965</v>
      </c>
      <c r="C975">
        <v>80</v>
      </c>
      <c r="D975">
        <v>79.898559570000003</v>
      </c>
      <c r="E975">
        <v>50</v>
      </c>
      <c r="F975">
        <v>42.633541106999999</v>
      </c>
      <c r="G975">
        <v>1352.7985839999999</v>
      </c>
      <c r="H975">
        <v>1340.3579102000001</v>
      </c>
      <c r="I975">
        <v>1319.7537841999999</v>
      </c>
      <c r="J975">
        <v>1295.6879882999999</v>
      </c>
      <c r="K975">
        <v>0</v>
      </c>
      <c r="L975">
        <v>2400</v>
      </c>
      <c r="M975">
        <v>2400</v>
      </c>
      <c r="N975">
        <v>0</v>
      </c>
    </row>
    <row r="976" spans="1:14" x14ac:dyDescent="0.25">
      <c r="A976">
        <v>549.00984100000005</v>
      </c>
      <c r="B976" s="1">
        <f>DATE(2011,11,1) + TIME(0,14,10)</f>
        <v>40848.009837962964</v>
      </c>
      <c r="C976">
        <v>80</v>
      </c>
      <c r="D976">
        <v>79.874496460000003</v>
      </c>
      <c r="E976">
        <v>50</v>
      </c>
      <c r="F976">
        <v>42.716346741000002</v>
      </c>
      <c r="G976">
        <v>1345.6782227000001</v>
      </c>
      <c r="H976">
        <v>1333.2379149999999</v>
      </c>
      <c r="I976">
        <v>1333.0825195</v>
      </c>
      <c r="J976">
        <v>1309.0650635</v>
      </c>
      <c r="K976">
        <v>0</v>
      </c>
      <c r="L976">
        <v>2400</v>
      </c>
      <c r="M976">
        <v>2400</v>
      </c>
      <c r="N976">
        <v>0</v>
      </c>
    </row>
    <row r="977" spans="1:14" x14ac:dyDescent="0.25">
      <c r="A977">
        <v>549.02952400000004</v>
      </c>
      <c r="B977" s="1">
        <f>DATE(2011,11,1) + TIME(0,42,30)</f>
        <v>40848.029513888891</v>
      </c>
      <c r="C977">
        <v>80</v>
      </c>
      <c r="D977">
        <v>79.847335814999994</v>
      </c>
      <c r="E977">
        <v>50</v>
      </c>
      <c r="F977">
        <v>42.926990508999999</v>
      </c>
      <c r="G977">
        <v>1338.4334716999999</v>
      </c>
      <c r="H977">
        <v>1325.9899902</v>
      </c>
      <c r="I977">
        <v>1347.4543457</v>
      </c>
      <c r="J977">
        <v>1323.3830565999999</v>
      </c>
      <c r="K977">
        <v>0</v>
      </c>
      <c r="L977">
        <v>2400</v>
      </c>
      <c r="M977">
        <v>2400</v>
      </c>
      <c r="N977">
        <v>0</v>
      </c>
    </row>
    <row r="978" spans="1:14" x14ac:dyDescent="0.25">
      <c r="A978">
        <v>549.07085500000005</v>
      </c>
      <c r="B978" s="1">
        <f>DATE(2011,11,1) + TIME(1,42,1)</f>
        <v>40848.070844907408</v>
      </c>
      <c r="C978">
        <v>80</v>
      </c>
      <c r="D978">
        <v>79.819702148000005</v>
      </c>
      <c r="E978">
        <v>50</v>
      </c>
      <c r="F978">
        <v>43.324100494</v>
      </c>
      <c r="G978">
        <v>1332.4019774999999</v>
      </c>
      <c r="H978">
        <v>1319.9376221</v>
      </c>
      <c r="I978">
        <v>1359.2457274999999</v>
      </c>
      <c r="J978">
        <v>1335.2424315999999</v>
      </c>
      <c r="K978">
        <v>0</v>
      </c>
      <c r="L978">
        <v>2400</v>
      </c>
      <c r="M978">
        <v>2400</v>
      </c>
      <c r="N978">
        <v>0</v>
      </c>
    </row>
    <row r="979" spans="1:14" x14ac:dyDescent="0.25">
      <c r="A979">
        <v>549.11459400000001</v>
      </c>
      <c r="B979" s="1">
        <f>DATE(2011,11,1) + TIME(2,45,0)</f>
        <v>40848.114583333336</v>
      </c>
      <c r="C979">
        <v>80</v>
      </c>
      <c r="D979">
        <v>79.798919678000004</v>
      </c>
      <c r="E979">
        <v>50</v>
      </c>
      <c r="F979">
        <v>43.713558196999998</v>
      </c>
      <c r="G979">
        <v>1328.7683105000001</v>
      </c>
      <c r="H979">
        <v>1316.2792969</v>
      </c>
      <c r="I979">
        <v>1366.0994873</v>
      </c>
      <c r="J979">
        <v>1342.2092285000001</v>
      </c>
      <c r="K979">
        <v>0</v>
      </c>
      <c r="L979">
        <v>2400</v>
      </c>
      <c r="M979">
        <v>2400</v>
      </c>
      <c r="N979">
        <v>0</v>
      </c>
    </row>
    <row r="980" spans="1:14" x14ac:dyDescent="0.25">
      <c r="A980">
        <v>549.16039699999999</v>
      </c>
      <c r="B980" s="1">
        <f>DATE(2011,11,1) + TIME(3,50,58)</f>
        <v>40848.160393518519</v>
      </c>
      <c r="C980">
        <v>80</v>
      </c>
      <c r="D980">
        <v>79.780883789000001</v>
      </c>
      <c r="E980">
        <v>50</v>
      </c>
      <c r="F980">
        <v>44.093917847</v>
      </c>
      <c r="G980">
        <v>1326.1558838000001</v>
      </c>
      <c r="H980">
        <v>1313.6442870999999</v>
      </c>
      <c r="I980">
        <v>1370.8043213000001</v>
      </c>
      <c r="J980">
        <v>1347.0529785000001</v>
      </c>
      <c r="K980">
        <v>0</v>
      </c>
      <c r="L980">
        <v>2400</v>
      </c>
      <c r="M980">
        <v>2400</v>
      </c>
      <c r="N980">
        <v>0</v>
      </c>
    </row>
    <row r="981" spans="1:14" x14ac:dyDescent="0.25">
      <c r="A981">
        <v>549.20822599999997</v>
      </c>
      <c r="B981" s="1">
        <f>DATE(2011,11,1) + TIME(4,59,50)</f>
        <v>40848.20821759259</v>
      </c>
      <c r="C981">
        <v>80</v>
      </c>
      <c r="D981">
        <v>79.764137267999999</v>
      </c>
      <c r="E981">
        <v>50</v>
      </c>
      <c r="F981">
        <v>44.464458466000004</v>
      </c>
      <c r="G981">
        <v>1324.0844727000001</v>
      </c>
      <c r="H981">
        <v>1311.5541992000001</v>
      </c>
      <c r="I981">
        <v>1374.3570557</v>
      </c>
      <c r="J981">
        <v>1350.7584228999999</v>
      </c>
      <c r="K981">
        <v>0</v>
      </c>
      <c r="L981">
        <v>2400</v>
      </c>
      <c r="M981">
        <v>2400</v>
      </c>
      <c r="N981">
        <v>0</v>
      </c>
    </row>
    <row r="982" spans="1:14" x14ac:dyDescent="0.25">
      <c r="A982">
        <v>549.25814800000001</v>
      </c>
      <c r="B982" s="1">
        <f>DATE(2011,11,1) + TIME(6,11,43)</f>
        <v>40848.258136574077</v>
      </c>
      <c r="C982">
        <v>80</v>
      </c>
      <c r="D982">
        <v>79.748062133999994</v>
      </c>
      <c r="E982">
        <v>50</v>
      </c>
      <c r="F982">
        <v>44.824726105000003</v>
      </c>
      <c r="G982">
        <v>1322.3463135</v>
      </c>
      <c r="H982">
        <v>1309.8011475000001</v>
      </c>
      <c r="I982">
        <v>1377.2000731999999</v>
      </c>
      <c r="J982">
        <v>1353.7614745999999</v>
      </c>
      <c r="K982">
        <v>0</v>
      </c>
      <c r="L982">
        <v>2400</v>
      </c>
      <c r="M982">
        <v>2400</v>
      </c>
      <c r="N982">
        <v>0</v>
      </c>
    </row>
    <row r="983" spans="1:14" x14ac:dyDescent="0.25">
      <c r="A983">
        <v>549.31028800000001</v>
      </c>
      <c r="B983" s="1">
        <f>DATE(2011,11,1) + TIME(7,26,48)</f>
        <v>40848.310277777775</v>
      </c>
      <c r="C983">
        <v>80</v>
      </c>
      <c r="D983">
        <v>79.732315063000001</v>
      </c>
      <c r="E983">
        <v>50</v>
      </c>
      <c r="F983">
        <v>45.174442290999998</v>
      </c>
      <c r="G983">
        <v>1320.8360596</v>
      </c>
      <c r="H983">
        <v>1308.2788086</v>
      </c>
      <c r="I983">
        <v>1379.5631103999999</v>
      </c>
      <c r="J983">
        <v>1356.2877197</v>
      </c>
      <c r="K983">
        <v>0</v>
      </c>
      <c r="L983">
        <v>2400</v>
      </c>
      <c r="M983">
        <v>2400</v>
      </c>
      <c r="N983">
        <v>0</v>
      </c>
    </row>
    <row r="984" spans="1:14" x14ac:dyDescent="0.25">
      <c r="A984">
        <v>549.36481100000003</v>
      </c>
      <c r="B984" s="1">
        <f>DATE(2011,11,1) + TIME(8,45,19)</f>
        <v>40848.364803240744</v>
      </c>
      <c r="C984">
        <v>80</v>
      </c>
      <c r="D984">
        <v>79.716697693</v>
      </c>
      <c r="E984">
        <v>50</v>
      </c>
      <c r="F984">
        <v>45.513420105000002</v>
      </c>
      <c r="G984">
        <v>1319.4932861</v>
      </c>
      <c r="H984">
        <v>1306.9265137</v>
      </c>
      <c r="I984">
        <v>1381.5797118999999</v>
      </c>
      <c r="J984">
        <v>1358.4678954999999</v>
      </c>
      <c r="K984">
        <v>0</v>
      </c>
      <c r="L984">
        <v>2400</v>
      </c>
      <c r="M984">
        <v>2400</v>
      </c>
      <c r="N984">
        <v>0</v>
      </c>
    </row>
    <row r="985" spans="1:14" x14ac:dyDescent="0.25">
      <c r="A985">
        <v>549.421922</v>
      </c>
      <c r="B985" s="1">
        <f>DATE(2011,11,1) + TIME(10,7,34)</f>
        <v>40848.4219212963</v>
      </c>
      <c r="C985">
        <v>80</v>
      </c>
      <c r="D985">
        <v>79.701049804999997</v>
      </c>
      <c r="E985">
        <v>50</v>
      </c>
      <c r="F985">
        <v>45.841514586999999</v>
      </c>
      <c r="G985">
        <v>1318.2801514</v>
      </c>
      <c r="H985">
        <v>1305.7055664</v>
      </c>
      <c r="I985">
        <v>1383.3338623</v>
      </c>
      <c r="J985">
        <v>1360.3843993999999</v>
      </c>
      <c r="K985">
        <v>0</v>
      </c>
      <c r="L985">
        <v>2400</v>
      </c>
      <c r="M985">
        <v>2400</v>
      </c>
      <c r="N985">
        <v>0</v>
      </c>
    </row>
    <row r="986" spans="1:14" x14ac:dyDescent="0.25">
      <c r="A986">
        <v>549.48187900000005</v>
      </c>
      <c r="B986" s="1">
        <f>DATE(2011,11,1) + TIME(11,33,54)</f>
        <v>40848.481874999998</v>
      </c>
      <c r="C986">
        <v>80</v>
      </c>
      <c r="D986">
        <v>79.685272217000005</v>
      </c>
      <c r="E986">
        <v>50</v>
      </c>
      <c r="F986">
        <v>46.158710480000003</v>
      </c>
      <c r="G986">
        <v>1317.1704102000001</v>
      </c>
      <c r="H986">
        <v>1304.5893555</v>
      </c>
      <c r="I986">
        <v>1384.8828125</v>
      </c>
      <c r="J986">
        <v>1362.0935059000001</v>
      </c>
      <c r="K986">
        <v>0</v>
      </c>
      <c r="L986">
        <v>2400</v>
      </c>
      <c r="M986">
        <v>2400</v>
      </c>
      <c r="N986">
        <v>0</v>
      </c>
    </row>
    <row r="987" spans="1:14" x14ac:dyDescent="0.25">
      <c r="A987">
        <v>549.544982</v>
      </c>
      <c r="B987" s="1">
        <f>DATE(2011,11,1) + TIME(13,4,46)</f>
        <v>40848.544976851852</v>
      </c>
      <c r="C987">
        <v>80</v>
      </c>
      <c r="D987">
        <v>79.669250488000003</v>
      </c>
      <c r="E987">
        <v>50</v>
      </c>
      <c r="F987">
        <v>46.464958191000001</v>
      </c>
      <c r="G987">
        <v>1316.1451416</v>
      </c>
      <c r="H987">
        <v>1303.5585937999999</v>
      </c>
      <c r="I987">
        <v>1386.2672118999999</v>
      </c>
      <c r="J987">
        <v>1363.6348877</v>
      </c>
      <c r="K987">
        <v>0</v>
      </c>
      <c r="L987">
        <v>2400</v>
      </c>
      <c r="M987">
        <v>2400</v>
      </c>
      <c r="N987">
        <v>0</v>
      </c>
    </row>
    <row r="988" spans="1:14" x14ac:dyDescent="0.25">
      <c r="A988">
        <v>549.61158599999999</v>
      </c>
      <c r="B988" s="1">
        <f>DATE(2011,11,1) + TIME(14,40,41)</f>
        <v>40848.611585648148</v>
      </c>
      <c r="C988">
        <v>80</v>
      </c>
      <c r="D988">
        <v>79.652893066000004</v>
      </c>
      <c r="E988">
        <v>50</v>
      </c>
      <c r="F988">
        <v>46.760223388999997</v>
      </c>
      <c r="G988">
        <v>1315.1900635</v>
      </c>
      <c r="H988">
        <v>1302.5988769999999</v>
      </c>
      <c r="I988">
        <v>1387.5167236</v>
      </c>
      <c r="J988">
        <v>1365.0378418</v>
      </c>
      <c r="K988">
        <v>0</v>
      </c>
      <c r="L988">
        <v>2400</v>
      </c>
      <c r="M988">
        <v>2400</v>
      </c>
      <c r="N988">
        <v>0</v>
      </c>
    </row>
    <row r="989" spans="1:14" x14ac:dyDescent="0.25">
      <c r="A989">
        <v>549.68211499999995</v>
      </c>
      <c r="B989" s="1">
        <f>DATE(2011,11,1) + TIME(16,22,14)</f>
        <v>40848.682106481479</v>
      </c>
      <c r="C989">
        <v>80</v>
      </c>
      <c r="D989">
        <v>79.636100768999995</v>
      </c>
      <c r="E989">
        <v>50</v>
      </c>
      <c r="F989">
        <v>47.044456482000001</v>
      </c>
      <c r="G989">
        <v>1314.2941894999999</v>
      </c>
      <c r="H989">
        <v>1301.6989745999999</v>
      </c>
      <c r="I989">
        <v>1388.6540527</v>
      </c>
      <c r="J989">
        <v>1366.324707</v>
      </c>
      <c r="K989">
        <v>0</v>
      </c>
      <c r="L989">
        <v>2400</v>
      </c>
      <c r="M989">
        <v>2400</v>
      </c>
      <c r="N989">
        <v>0</v>
      </c>
    </row>
    <row r="990" spans="1:14" x14ac:dyDescent="0.25">
      <c r="A990">
        <v>549.75707599999998</v>
      </c>
      <c r="B990" s="1">
        <f>DATE(2011,11,1) + TIME(18,10,11)</f>
        <v>40848.757071759261</v>
      </c>
      <c r="C990">
        <v>80</v>
      </c>
      <c r="D990">
        <v>79.618766785000005</v>
      </c>
      <c r="E990">
        <v>50</v>
      </c>
      <c r="F990">
        <v>47.317619323999999</v>
      </c>
      <c r="G990">
        <v>1313.4481201000001</v>
      </c>
      <c r="H990">
        <v>1300.8496094</v>
      </c>
      <c r="I990">
        <v>1389.6970214999999</v>
      </c>
      <c r="J990">
        <v>1367.5131836</v>
      </c>
      <c r="K990">
        <v>0</v>
      </c>
      <c r="L990">
        <v>2400</v>
      </c>
      <c r="M990">
        <v>2400</v>
      </c>
      <c r="N990">
        <v>0</v>
      </c>
    </row>
    <row r="991" spans="1:14" x14ac:dyDescent="0.25">
      <c r="A991">
        <v>549.83708100000001</v>
      </c>
      <c r="B991" s="1">
        <f>DATE(2011,11,1) + TIME(20,5,23)</f>
        <v>40848.837071759262</v>
      </c>
      <c r="C991">
        <v>80</v>
      </c>
      <c r="D991">
        <v>79.600776671999995</v>
      </c>
      <c r="E991">
        <v>50</v>
      </c>
      <c r="F991">
        <v>47.579643249999997</v>
      </c>
      <c r="G991">
        <v>1312.6446533000001</v>
      </c>
      <c r="H991">
        <v>1300.0429687999999</v>
      </c>
      <c r="I991">
        <v>1390.6600341999999</v>
      </c>
      <c r="J991">
        <v>1368.6174315999999</v>
      </c>
      <c r="K991">
        <v>0</v>
      </c>
      <c r="L991">
        <v>2400</v>
      </c>
      <c r="M991">
        <v>2400</v>
      </c>
      <c r="N991">
        <v>0</v>
      </c>
    </row>
    <row r="992" spans="1:14" x14ac:dyDescent="0.25">
      <c r="A992">
        <v>549.92288099999996</v>
      </c>
      <c r="B992" s="1">
        <f>DATE(2011,11,1) + TIME(22,8,56)</f>
        <v>40848.92287037037</v>
      </c>
      <c r="C992">
        <v>80</v>
      </c>
      <c r="D992">
        <v>79.582008361999996</v>
      </c>
      <c r="E992">
        <v>50</v>
      </c>
      <c r="F992">
        <v>47.830440521</v>
      </c>
      <c r="G992">
        <v>1311.8770752</v>
      </c>
      <c r="H992">
        <v>1299.2728271000001</v>
      </c>
      <c r="I992">
        <v>1391.5546875</v>
      </c>
      <c r="J992">
        <v>1369.6490478999999</v>
      </c>
      <c r="K992">
        <v>0</v>
      </c>
      <c r="L992">
        <v>2400</v>
      </c>
      <c r="M992">
        <v>2400</v>
      </c>
      <c r="N992">
        <v>0</v>
      </c>
    </row>
    <row r="993" spans="1:14" x14ac:dyDescent="0.25">
      <c r="A993">
        <v>550.0154</v>
      </c>
      <c r="B993" s="1">
        <f>DATE(2011,11,2) + TIME(0,22,10)</f>
        <v>40849.015393518515</v>
      </c>
      <c r="C993">
        <v>80</v>
      </c>
      <c r="D993">
        <v>79.562301636000001</v>
      </c>
      <c r="E993">
        <v>50</v>
      </c>
      <c r="F993">
        <v>48.069892883000001</v>
      </c>
      <c r="G993">
        <v>1311.1400146000001</v>
      </c>
      <c r="H993">
        <v>1298.5334473</v>
      </c>
      <c r="I993">
        <v>1392.390625</v>
      </c>
      <c r="J993">
        <v>1370.6176757999999</v>
      </c>
      <c r="K993">
        <v>0</v>
      </c>
      <c r="L993">
        <v>2400</v>
      </c>
      <c r="M993">
        <v>2400</v>
      </c>
      <c r="N993">
        <v>0</v>
      </c>
    </row>
    <row r="994" spans="1:14" x14ac:dyDescent="0.25">
      <c r="A994">
        <v>550.11580100000003</v>
      </c>
      <c r="B994" s="1">
        <f>DATE(2011,11,2) + TIME(2,46,45)</f>
        <v>40849.115798611114</v>
      </c>
      <c r="C994">
        <v>80</v>
      </c>
      <c r="D994">
        <v>79.541473389000004</v>
      </c>
      <c r="E994">
        <v>50</v>
      </c>
      <c r="F994">
        <v>48.297840118000003</v>
      </c>
      <c r="G994">
        <v>1310.4284668</v>
      </c>
      <c r="H994">
        <v>1297.8195800999999</v>
      </c>
      <c r="I994">
        <v>1393.1761475000001</v>
      </c>
      <c r="J994">
        <v>1371.5316161999999</v>
      </c>
      <c r="K994">
        <v>0</v>
      </c>
      <c r="L994">
        <v>2400</v>
      </c>
      <c r="M994">
        <v>2400</v>
      </c>
      <c r="N994">
        <v>0</v>
      </c>
    </row>
    <row r="995" spans="1:14" x14ac:dyDescent="0.25">
      <c r="A995">
        <v>550.22554300000002</v>
      </c>
      <c r="B995" s="1">
        <f>DATE(2011,11,2) + TIME(5,24,46)</f>
        <v>40849.225532407407</v>
      </c>
      <c r="C995">
        <v>80</v>
      </c>
      <c r="D995">
        <v>79.519302367999998</v>
      </c>
      <c r="E995">
        <v>50</v>
      </c>
      <c r="F995">
        <v>48.514041900999999</v>
      </c>
      <c r="G995">
        <v>1309.737793</v>
      </c>
      <c r="H995">
        <v>1297.1268310999999</v>
      </c>
      <c r="I995">
        <v>1393.9182129000001</v>
      </c>
      <c r="J995">
        <v>1372.3979492000001</v>
      </c>
      <c r="K995">
        <v>0</v>
      </c>
      <c r="L995">
        <v>2400</v>
      </c>
      <c r="M995">
        <v>2400</v>
      </c>
      <c r="N995">
        <v>0</v>
      </c>
    </row>
    <row r="996" spans="1:14" x14ac:dyDescent="0.25">
      <c r="A996">
        <v>550.34655799999996</v>
      </c>
      <c r="B996" s="1">
        <f>DATE(2011,11,2) + TIME(8,19,2)</f>
        <v>40849.346550925926</v>
      </c>
      <c r="C996">
        <v>80</v>
      </c>
      <c r="D996">
        <v>79.495506286999998</v>
      </c>
      <c r="E996">
        <v>50</v>
      </c>
      <c r="F996">
        <v>48.718246460000003</v>
      </c>
      <c r="G996">
        <v>1309.0637207</v>
      </c>
      <c r="H996">
        <v>1296.4509277</v>
      </c>
      <c r="I996">
        <v>1394.6229248</v>
      </c>
      <c r="J996">
        <v>1373.2227783000001</v>
      </c>
      <c r="K996">
        <v>0</v>
      </c>
      <c r="L996">
        <v>2400</v>
      </c>
      <c r="M996">
        <v>2400</v>
      </c>
      <c r="N996">
        <v>0</v>
      </c>
    </row>
    <row r="997" spans="1:14" x14ac:dyDescent="0.25">
      <c r="A997">
        <v>550.48141199999998</v>
      </c>
      <c r="B997" s="1">
        <f>DATE(2011,11,2) + TIME(11,33,14)</f>
        <v>40849.481412037036</v>
      </c>
      <c r="C997">
        <v>80</v>
      </c>
      <c r="D997">
        <v>79.469718932999996</v>
      </c>
      <c r="E997">
        <v>50</v>
      </c>
      <c r="F997">
        <v>48.910114288000003</v>
      </c>
      <c r="G997">
        <v>1308.4020995999999</v>
      </c>
      <c r="H997">
        <v>1295.7874756000001</v>
      </c>
      <c r="I997">
        <v>1395.2956543</v>
      </c>
      <c r="J997">
        <v>1374.0115966999999</v>
      </c>
      <c r="K997">
        <v>0</v>
      </c>
      <c r="L997">
        <v>2400</v>
      </c>
      <c r="M997">
        <v>2400</v>
      </c>
      <c r="N997">
        <v>0</v>
      </c>
    </row>
    <row r="998" spans="1:14" x14ac:dyDescent="0.25">
      <c r="A998">
        <v>550.63360399999999</v>
      </c>
      <c r="B998" s="1">
        <f>DATE(2011,11,2) + TIME(15,12,23)</f>
        <v>40849.633599537039</v>
      </c>
      <c r="C998">
        <v>80</v>
      </c>
      <c r="D998">
        <v>79.441459656000006</v>
      </c>
      <c r="E998">
        <v>50</v>
      </c>
      <c r="F998">
        <v>49.089206695999998</v>
      </c>
      <c r="G998">
        <v>1307.7489014</v>
      </c>
      <c r="H998">
        <v>1295.1324463000001</v>
      </c>
      <c r="I998">
        <v>1395.9411620999999</v>
      </c>
      <c r="J998">
        <v>1374.7691649999999</v>
      </c>
      <c r="K998">
        <v>0</v>
      </c>
      <c r="L998">
        <v>2400</v>
      </c>
      <c r="M998">
        <v>2400</v>
      </c>
      <c r="N998">
        <v>0</v>
      </c>
    </row>
    <row r="999" spans="1:14" x14ac:dyDescent="0.25">
      <c r="A999">
        <v>550.80807500000003</v>
      </c>
      <c r="B999" s="1">
        <f>DATE(2011,11,2) + TIME(19,23,37)</f>
        <v>40849.808067129627</v>
      </c>
      <c r="C999">
        <v>80</v>
      </c>
      <c r="D999">
        <v>79.410079956000004</v>
      </c>
      <c r="E999">
        <v>50</v>
      </c>
      <c r="F999">
        <v>49.254936217999997</v>
      </c>
      <c r="G999">
        <v>1307.0998535000001</v>
      </c>
      <c r="H999">
        <v>1294.4815673999999</v>
      </c>
      <c r="I999">
        <v>1396.5632324000001</v>
      </c>
      <c r="J999">
        <v>1375.4995117000001</v>
      </c>
      <c r="K999">
        <v>0</v>
      </c>
      <c r="L999">
        <v>2400</v>
      </c>
      <c r="M999">
        <v>2400</v>
      </c>
      <c r="N999">
        <v>0</v>
      </c>
    </row>
    <row r="1000" spans="1:14" x14ac:dyDescent="0.25">
      <c r="A1000">
        <v>550.98967700000003</v>
      </c>
      <c r="B1000" s="1">
        <f>DATE(2011,11,2) + TIME(23,45,8)</f>
        <v>40849.989675925928</v>
      </c>
      <c r="C1000">
        <v>80</v>
      </c>
      <c r="D1000">
        <v>79.377784728999998</v>
      </c>
      <c r="E1000">
        <v>50</v>
      </c>
      <c r="F1000">
        <v>49.393199920999997</v>
      </c>
      <c r="G1000">
        <v>1306.5123291</v>
      </c>
      <c r="H1000">
        <v>1293.8925781</v>
      </c>
      <c r="I1000">
        <v>1397.1037598</v>
      </c>
      <c r="J1000">
        <v>1376.135376</v>
      </c>
      <c r="K1000">
        <v>0</v>
      </c>
      <c r="L1000">
        <v>2400</v>
      </c>
      <c r="M1000">
        <v>2400</v>
      </c>
      <c r="N1000">
        <v>0</v>
      </c>
    </row>
    <row r="1001" spans="1:14" x14ac:dyDescent="0.25">
      <c r="A1001">
        <v>551.17288599999995</v>
      </c>
      <c r="B1001" s="1">
        <f>DATE(2011,11,3) + TIME(4,8,57)</f>
        <v>40850.172881944447</v>
      </c>
      <c r="C1001">
        <v>80</v>
      </c>
      <c r="D1001">
        <v>79.345367432000003</v>
      </c>
      <c r="E1001">
        <v>50</v>
      </c>
      <c r="F1001">
        <v>49.504886626999998</v>
      </c>
      <c r="G1001">
        <v>1305.9945068</v>
      </c>
      <c r="H1001">
        <v>1293.3731689000001</v>
      </c>
      <c r="I1001">
        <v>1397.5614014</v>
      </c>
      <c r="J1001">
        <v>1376.675293</v>
      </c>
      <c r="K1001">
        <v>0</v>
      </c>
      <c r="L1001">
        <v>2400</v>
      </c>
      <c r="M1001">
        <v>2400</v>
      </c>
      <c r="N1001">
        <v>0</v>
      </c>
    </row>
    <row r="1002" spans="1:14" x14ac:dyDescent="0.25">
      <c r="A1002">
        <v>551.35958600000004</v>
      </c>
      <c r="B1002" s="1">
        <f>DATE(2011,11,3) + TIME(8,37,48)</f>
        <v>40850.359583333331</v>
      </c>
      <c r="C1002">
        <v>80</v>
      </c>
      <c r="D1002">
        <v>79.312591553000004</v>
      </c>
      <c r="E1002">
        <v>50</v>
      </c>
      <c r="F1002">
        <v>49.595733643000003</v>
      </c>
      <c r="G1002">
        <v>1305.5321045000001</v>
      </c>
      <c r="H1002">
        <v>1292.9093018000001</v>
      </c>
      <c r="I1002">
        <v>1397.9549560999999</v>
      </c>
      <c r="J1002">
        <v>1377.140625</v>
      </c>
      <c r="K1002">
        <v>0</v>
      </c>
      <c r="L1002">
        <v>2400</v>
      </c>
      <c r="M1002">
        <v>2400</v>
      </c>
      <c r="N1002">
        <v>0</v>
      </c>
    </row>
    <row r="1003" spans="1:14" x14ac:dyDescent="0.25">
      <c r="A1003">
        <v>551.55107999999996</v>
      </c>
      <c r="B1003" s="1">
        <f>DATE(2011,11,3) + TIME(13,13,33)</f>
        <v>40850.551076388889</v>
      </c>
      <c r="C1003">
        <v>80</v>
      </c>
      <c r="D1003">
        <v>79.279296875</v>
      </c>
      <c r="E1003">
        <v>50</v>
      </c>
      <c r="F1003">
        <v>49.669784546000002</v>
      </c>
      <c r="G1003">
        <v>1305.1159668</v>
      </c>
      <c r="H1003">
        <v>1292.4918213000001</v>
      </c>
      <c r="I1003">
        <v>1398.2954102000001</v>
      </c>
      <c r="J1003">
        <v>1377.5443115</v>
      </c>
      <c r="K1003">
        <v>0</v>
      </c>
      <c r="L1003">
        <v>2400</v>
      </c>
      <c r="M1003">
        <v>2400</v>
      </c>
      <c r="N1003">
        <v>0</v>
      </c>
    </row>
    <row r="1004" spans="1:14" x14ac:dyDescent="0.25">
      <c r="A1004">
        <v>551.74872500000004</v>
      </c>
      <c r="B1004" s="1">
        <f>DATE(2011,11,3) + TIME(17,58,9)</f>
        <v>40850.748715277776</v>
      </c>
      <c r="C1004">
        <v>80</v>
      </c>
      <c r="D1004">
        <v>79.245300293</v>
      </c>
      <c r="E1004">
        <v>50</v>
      </c>
      <c r="F1004">
        <v>49.730167389000002</v>
      </c>
      <c r="G1004">
        <v>1304.7390137</v>
      </c>
      <c r="H1004">
        <v>1292.1134033000001</v>
      </c>
      <c r="I1004">
        <v>1398.5905762</v>
      </c>
      <c r="J1004">
        <v>1377.8956298999999</v>
      </c>
      <c r="K1004">
        <v>0</v>
      </c>
      <c r="L1004">
        <v>2400</v>
      </c>
      <c r="M1004">
        <v>2400</v>
      </c>
      <c r="N1004">
        <v>0</v>
      </c>
    </row>
    <row r="1005" spans="1:14" x14ac:dyDescent="0.25">
      <c r="A1005">
        <v>551.95396100000005</v>
      </c>
      <c r="B1005" s="1">
        <f>DATE(2011,11,3) + TIME(22,53,42)</f>
        <v>40850.953958333332</v>
      </c>
      <c r="C1005">
        <v>80</v>
      </c>
      <c r="D1005">
        <v>79.210411071999999</v>
      </c>
      <c r="E1005">
        <v>50</v>
      </c>
      <c r="F1005">
        <v>49.779342651</v>
      </c>
      <c r="G1005">
        <v>1304.395874</v>
      </c>
      <c r="H1005">
        <v>1291.7687988</v>
      </c>
      <c r="I1005">
        <v>1398.8463135</v>
      </c>
      <c r="J1005">
        <v>1378.2016602000001</v>
      </c>
      <c r="K1005">
        <v>0</v>
      </c>
      <c r="L1005">
        <v>2400</v>
      </c>
      <c r="M1005">
        <v>2400</v>
      </c>
      <c r="N1005">
        <v>0</v>
      </c>
    </row>
    <row r="1006" spans="1:14" x14ac:dyDescent="0.25">
      <c r="A1006">
        <v>552.16837699999996</v>
      </c>
      <c r="B1006" s="1">
        <f>DATE(2011,11,4) + TIME(4,2,27)</f>
        <v>40851.168368055558</v>
      </c>
      <c r="C1006">
        <v>80</v>
      </c>
      <c r="D1006">
        <v>79.174430846999996</v>
      </c>
      <c r="E1006">
        <v>50</v>
      </c>
      <c r="F1006">
        <v>49.819282532000003</v>
      </c>
      <c r="G1006">
        <v>1304.0822754000001</v>
      </c>
      <c r="H1006">
        <v>1291.4537353999999</v>
      </c>
      <c r="I1006">
        <v>1399.0667725000001</v>
      </c>
      <c r="J1006">
        <v>1378.4677733999999</v>
      </c>
      <c r="K1006">
        <v>0</v>
      </c>
      <c r="L1006">
        <v>2400</v>
      </c>
      <c r="M1006">
        <v>2400</v>
      </c>
      <c r="N1006">
        <v>0</v>
      </c>
    </row>
    <row r="1007" spans="1:14" x14ac:dyDescent="0.25">
      <c r="A1007">
        <v>552.39377999999999</v>
      </c>
      <c r="B1007" s="1">
        <f>DATE(2011,11,4) + TIME(9,27,2)</f>
        <v>40851.393773148149</v>
      </c>
      <c r="C1007">
        <v>80</v>
      </c>
      <c r="D1007">
        <v>79.137130737000007</v>
      </c>
      <c r="E1007">
        <v>50</v>
      </c>
      <c r="F1007">
        <v>49.851581572999997</v>
      </c>
      <c r="G1007">
        <v>1303.7947998</v>
      </c>
      <c r="H1007">
        <v>1291.1647949000001</v>
      </c>
      <c r="I1007">
        <v>1399.2556152</v>
      </c>
      <c r="J1007">
        <v>1378.6982422000001</v>
      </c>
      <c r="K1007">
        <v>0</v>
      </c>
      <c r="L1007">
        <v>2400</v>
      </c>
      <c r="M1007">
        <v>2400</v>
      </c>
      <c r="N1007">
        <v>0</v>
      </c>
    </row>
    <row r="1008" spans="1:14" x14ac:dyDescent="0.25">
      <c r="A1008">
        <v>552.63228400000003</v>
      </c>
      <c r="B1008" s="1">
        <f>DATE(2011,11,4) + TIME(15,10,29)</f>
        <v>40851.632280092592</v>
      </c>
      <c r="C1008">
        <v>80</v>
      </c>
      <c r="D1008">
        <v>79.098228454999997</v>
      </c>
      <c r="E1008">
        <v>50</v>
      </c>
      <c r="F1008">
        <v>49.877555846999996</v>
      </c>
      <c r="G1008">
        <v>1303.5307617000001</v>
      </c>
      <c r="H1008">
        <v>1290.8990478999999</v>
      </c>
      <c r="I1008">
        <v>1399.4149170000001</v>
      </c>
      <c r="J1008">
        <v>1378.8962402</v>
      </c>
      <c r="K1008">
        <v>0</v>
      </c>
      <c r="L1008">
        <v>2400</v>
      </c>
      <c r="M1008">
        <v>2400</v>
      </c>
      <c r="N1008">
        <v>0</v>
      </c>
    </row>
    <row r="1009" spans="1:14" x14ac:dyDescent="0.25">
      <c r="A1009">
        <v>552.88642300000004</v>
      </c>
      <c r="B1009" s="1">
        <f>DATE(2011,11,4) + TIME(21,16,26)</f>
        <v>40851.886412037034</v>
      </c>
      <c r="C1009">
        <v>80</v>
      </c>
      <c r="D1009">
        <v>79.057426453000005</v>
      </c>
      <c r="E1009">
        <v>50</v>
      </c>
      <c r="F1009">
        <v>49.898284912000001</v>
      </c>
      <c r="G1009">
        <v>1303.2877197</v>
      </c>
      <c r="H1009">
        <v>1290.6544189000001</v>
      </c>
      <c r="I1009">
        <v>1399.546875</v>
      </c>
      <c r="J1009">
        <v>1379.0640868999999</v>
      </c>
      <c r="K1009">
        <v>0</v>
      </c>
      <c r="L1009">
        <v>2400</v>
      </c>
      <c r="M1009">
        <v>2400</v>
      </c>
      <c r="N1009">
        <v>0</v>
      </c>
    </row>
    <row r="1010" spans="1:14" x14ac:dyDescent="0.25">
      <c r="A1010">
        <v>553.15929300000005</v>
      </c>
      <c r="B1010" s="1">
        <f>DATE(2011,11,5) + TIME(3,49,22)</f>
        <v>40852.159282407411</v>
      </c>
      <c r="C1010">
        <v>80</v>
      </c>
      <c r="D1010">
        <v>79.014335631999998</v>
      </c>
      <c r="E1010">
        <v>50</v>
      </c>
      <c r="F1010">
        <v>49.914676665999998</v>
      </c>
      <c r="G1010">
        <v>1303.0638428</v>
      </c>
      <c r="H1010">
        <v>1290.4288329999999</v>
      </c>
      <c r="I1010">
        <v>1399.6524658000001</v>
      </c>
      <c r="J1010">
        <v>1379.2037353999999</v>
      </c>
      <c r="K1010">
        <v>0</v>
      </c>
      <c r="L1010">
        <v>2400</v>
      </c>
      <c r="M1010">
        <v>2400</v>
      </c>
      <c r="N1010">
        <v>0</v>
      </c>
    </row>
    <row r="1011" spans="1:14" x14ac:dyDescent="0.25">
      <c r="A1011">
        <v>553.454746</v>
      </c>
      <c r="B1011" s="1">
        <f>DATE(2011,11,5) + TIME(10,54,50)</f>
        <v>40852.454745370371</v>
      </c>
      <c r="C1011">
        <v>80</v>
      </c>
      <c r="D1011">
        <v>78.968490600999999</v>
      </c>
      <c r="E1011">
        <v>50</v>
      </c>
      <c r="F1011">
        <v>49.927494049000003</v>
      </c>
      <c r="G1011">
        <v>1302.8574219</v>
      </c>
      <c r="H1011">
        <v>1290.2205810999999</v>
      </c>
      <c r="I1011">
        <v>1399.7327881000001</v>
      </c>
      <c r="J1011">
        <v>1379.3166504000001</v>
      </c>
      <c r="K1011">
        <v>0</v>
      </c>
      <c r="L1011">
        <v>2400</v>
      </c>
      <c r="M1011">
        <v>2400</v>
      </c>
      <c r="N1011">
        <v>0</v>
      </c>
    </row>
    <row r="1012" spans="1:14" x14ac:dyDescent="0.25">
      <c r="A1012">
        <v>553.77666399999998</v>
      </c>
      <c r="B1012" s="1">
        <f>DATE(2011,11,5) + TIME(18,38,23)</f>
        <v>40852.776655092595</v>
      </c>
      <c r="C1012">
        <v>80</v>
      </c>
      <c r="D1012">
        <v>78.919448853000006</v>
      </c>
      <c r="E1012">
        <v>50</v>
      </c>
      <c r="F1012">
        <v>49.937358856000003</v>
      </c>
      <c r="G1012">
        <v>1302.6677245999999</v>
      </c>
      <c r="H1012">
        <v>1290.0288086</v>
      </c>
      <c r="I1012">
        <v>1399.7878418</v>
      </c>
      <c r="J1012">
        <v>1379.4031981999999</v>
      </c>
      <c r="K1012">
        <v>0</v>
      </c>
      <c r="L1012">
        <v>2400</v>
      </c>
      <c r="M1012">
        <v>2400</v>
      </c>
      <c r="N1012">
        <v>0</v>
      </c>
    </row>
    <row r="1013" spans="1:14" x14ac:dyDescent="0.25">
      <c r="A1013">
        <v>554.12499500000001</v>
      </c>
      <c r="B1013" s="1">
        <f>DATE(2011,11,6) + TIME(2,59,59)</f>
        <v>40853.124988425923</v>
      </c>
      <c r="C1013">
        <v>80</v>
      </c>
      <c r="D1013">
        <v>78.867141724000007</v>
      </c>
      <c r="E1013">
        <v>50</v>
      </c>
      <c r="F1013">
        <v>49.944744110000002</v>
      </c>
      <c r="G1013">
        <v>1302.4954834</v>
      </c>
      <c r="H1013">
        <v>1289.8544922000001</v>
      </c>
      <c r="I1013">
        <v>1399.8165283000001</v>
      </c>
      <c r="J1013">
        <v>1379.4627685999999</v>
      </c>
      <c r="K1013">
        <v>0</v>
      </c>
      <c r="L1013">
        <v>2400</v>
      </c>
      <c r="M1013">
        <v>2400</v>
      </c>
      <c r="N1013">
        <v>0</v>
      </c>
    </row>
    <row r="1014" spans="1:14" x14ac:dyDescent="0.25">
      <c r="A1014">
        <v>554.49296700000002</v>
      </c>
      <c r="B1014" s="1">
        <f>DATE(2011,11,6) + TIME(11,49,52)</f>
        <v>40853.492962962962</v>
      </c>
      <c r="C1014">
        <v>80</v>
      </c>
      <c r="D1014">
        <v>78.812217712000006</v>
      </c>
      <c r="E1014">
        <v>50</v>
      </c>
      <c r="F1014">
        <v>49.950065613</v>
      </c>
      <c r="G1014">
        <v>1302.3430175999999</v>
      </c>
      <c r="H1014">
        <v>1289.6998291</v>
      </c>
      <c r="I1014">
        <v>1399.8187256000001</v>
      </c>
      <c r="J1014">
        <v>1379.4953613</v>
      </c>
      <c r="K1014">
        <v>0</v>
      </c>
      <c r="L1014">
        <v>2400</v>
      </c>
      <c r="M1014">
        <v>2400</v>
      </c>
      <c r="N1014">
        <v>0</v>
      </c>
    </row>
    <row r="1015" spans="1:14" x14ac:dyDescent="0.25">
      <c r="A1015">
        <v>554.86180100000001</v>
      </c>
      <c r="B1015" s="1">
        <f>DATE(2011,11,6) + TIME(20,40,59)</f>
        <v>40853.861793981479</v>
      </c>
      <c r="C1015">
        <v>80</v>
      </c>
      <c r="D1015">
        <v>78.756637573000006</v>
      </c>
      <c r="E1015">
        <v>50</v>
      </c>
      <c r="F1015">
        <v>49.953720093000001</v>
      </c>
      <c r="G1015">
        <v>1302.2136230000001</v>
      </c>
      <c r="H1015">
        <v>1289.5682373</v>
      </c>
      <c r="I1015">
        <v>1399.796875</v>
      </c>
      <c r="J1015">
        <v>1379.5025635</v>
      </c>
      <c r="K1015">
        <v>0</v>
      </c>
      <c r="L1015">
        <v>2400</v>
      </c>
      <c r="M1015">
        <v>2400</v>
      </c>
      <c r="N1015">
        <v>0</v>
      </c>
    </row>
    <row r="1016" spans="1:14" x14ac:dyDescent="0.25">
      <c r="A1016">
        <v>555.23499000000004</v>
      </c>
      <c r="B1016" s="1">
        <f>DATE(2011,11,7) + TIME(5,38,23)</f>
        <v>40854.234988425924</v>
      </c>
      <c r="C1016">
        <v>80</v>
      </c>
      <c r="D1016">
        <v>78.700386046999995</v>
      </c>
      <c r="E1016">
        <v>50</v>
      </c>
      <c r="F1016">
        <v>49.956260681000003</v>
      </c>
      <c r="G1016">
        <v>1302.1025391000001</v>
      </c>
      <c r="H1016">
        <v>1289.4547118999999</v>
      </c>
      <c r="I1016">
        <v>1399.7609863</v>
      </c>
      <c r="J1016">
        <v>1379.4936522999999</v>
      </c>
      <c r="K1016">
        <v>0</v>
      </c>
      <c r="L1016">
        <v>2400</v>
      </c>
      <c r="M1016">
        <v>2400</v>
      </c>
      <c r="N1016">
        <v>0</v>
      </c>
    </row>
    <row r="1017" spans="1:14" x14ac:dyDescent="0.25">
      <c r="A1017">
        <v>555.61581000000001</v>
      </c>
      <c r="B1017" s="1">
        <f>DATE(2011,11,7) + TIME(14,46,45)</f>
        <v>40854.615798611114</v>
      </c>
      <c r="C1017">
        <v>80</v>
      </c>
      <c r="D1017">
        <v>78.643302917</v>
      </c>
      <c r="E1017">
        <v>50</v>
      </c>
      <c r="F1017">
        <v>49.958042145</v>
      </c>
      <c r="G1017">
        <v>1302.0059814000001</v>
      </c>
      <c r="H1017">
        <v>1289.3557129000001</v>
      </c>
      <c r="I1017">
        <v>1399.7141113</v>
      </c>
      <c r="J1017">
        <v>1379.472168</v>
      </c>
      <c r="K1017">
        <v>0</v>
      </c>
      <c r="L1017">
        <v>2400</v>
      </c>
      <c r="M1017">
        <v>2400</v>
      </c>
      <c r="N1017">
        <v>0</v>
      </c>
    </row>
    <row r="1018" spans="1:14" x14ac:dyDescent="0.25">
      <c r="A1018">
        <v>556.00741400000004</v>
      </c>
      <c r="B1018" s="1">
        <f>DATE(2011,11,8) + TIME(0,10,40)</f>
        <v>40855.007407407407</v>
      </c>
      <c r="C1018">
        <v>80</v>
      </c>
      <c r="D1018">
        <v>78.585166931000003</v>
      </c>
      <c r="E1018">
        <v>50</v>
      </c>
      <c r="F1018">
        <v>49.959300995</v>
      </c>
      <c r="G1018">
        <v>1301.9207764</v>
      </c>
      <c r="H1018">
        <v>1289.2680664</v>
      </c>
      <c r="I1018">
        <v>1399.6583252</v>
      </c>
      <c r="J1018">
        <v>1379.4406738</v>
      </c>
      <c r="K1018">
        <v>0</v>
      </c>
      <c r="L1018">
        <v>2400</v>
      </c>
      <c r="M1018">
        <v>2400</v>
      </c>
      <c r="N1018">
        <v>0</v>
      </c>
    </row>
    <row r="1019" spans="1:14" x14ac:dyDescent="0.25">
      <c r="A1019">
        <v>556.41306199999997</v>
      </c>
      <c r="B1019" s="1">
        <f>DATE(2011,11,8) + TIME(9,54,48)</f>
        <v>40855.413055555553</v>
      </c>
      <c r="C1019">
        <v>80</v>
      </c>
      <c r="D1019">
        <v>78.525665282999995</v>
      </c>
      <c r="E1019">
        <v>50</v>
      </c>
      <c r="F1019">
        <v>49.960201263000002</v>
      </c>
      <c r="G1019">
        <v>1301.8448486</v>
      </c>
      <c r="H1019">
        <v>1289.1894531</v>
      </c>
      <c r="I1019">
        <v>1399.5952147999999</v>
      </c>
      <c r="J1019">
        <v>1379.401001</v>
      </c>
      <c r="K1019">
        <v>0</v>
      </c>
      <c r="L1019">
        <v>2400</v>
      </c>
      <c r="M1019">
        <v>2400</v>
      </c>
      <c r="N1019">
        <v>0</v>
      </c>
    </row>
    <row r="1020" spans="1:14" x14ac:dyDescent="0.25">
      <c r="A1020">
        <v>556.836322</v>
      </c>
      <c r="B1020" s="1">
        <f>DATE(2011,11,8) + TIME(20,4,18)</f>
        <v>40855.836319444446</v>
      </c>
      <c r="C1020">
        <v>80</v>
      </c>
      <c r="D1020">
        <v>78.464431762999993</v>
      </c>
      <c r="E1020">
        <v>50</v>
      </c>
      <c r="F1020">
        <v>49.960845947000003</v>
      </c>
      <c r="G1020">
        <v>1301.7763672000001</v>
      </c>
      <c r="H1020">
        <v>1289.1179199000001</v>
      </c>
      <c r="I1020">
        <v>1399.5257568</v>
      </c>
      <c r="J1020">
        <v>1379.3543701000001</v>
      </c>
      <c r="K1020">
        <v>0</v>
      </c>
      <c r="L1020">
        <v>2400</v>
      </c>
      <c r="M1020">
        <v>2400</v>
      </c>
      <c r="N1020">
        <v>0</v>
      </c>
    </row>
    <row r="1021" spans="1:14" x14ac:dyDescent="0.25">
      <c r="A1021">
        <v>557.28126999999995</v>
      </c>
      <c r="B1021" s="1">
        <f>DATE(2011,11,9) + TIME(6,45,1)</f>
        <v>40856.281261574077</v>
      </c>
      <c r="C1021">
        <v>80</v>
      </c>
      <c r="D1021">
        <v>78.401039123999993</v>
      </c>
      <c r="E1021">
        <v>50</v>
      </c>
      <c r="F1021">
        <v>49.961311340000002</v>
      </c>
      <c r="G1021">
        <v>1301.713501</v>
      </c>
      <c r="H1021">
        <v>1289.0522461</v>
      </c>
      <c r="I1021">
        <v>1399.4509277</v>
      </c>
      <c r="J1021">
        <v>1379.3020019999999</v>
      </c>
      <c r="K1021">
        <v>0</v>
      </c>
      <c r="L1021">
        <v>2400</v>
      </c>
      <c r="M1021">
        <v>2400</v>
      </c>
      <c r="N1021">
        <v>0</v>
      </c>
    </row>
    <row r="1022" spans="1:14" x14ac:dyDescent="0.25">
      <c r="A1022">
        <v>557.752747</v>
      </c>
      <c r="B1022" s="1">
        <f>DATE(2011,11,9) + TIME(18,3,57)</f>
        <v>40856.752743055556</v>
      </c>
      <c r="C1022">
        <v>80</v>
      </c>
      <c r="D1022">
        <v>78.334960937999995</v>
      </c>
      <c r="E1022">
        <v>50</v>
      </c>
      <c r="F1022">
        <v>49.961654662999997</v>
      </c>
      <c r="G1022">
        <v>1301.6552733999999</v>
      </c>
      <c r="H1022">
        <v>1288.9907227000001</v>
      </c>
      <c r="I1022">
        <v>1399.3710937999999</v>
      </c>
      <c r="J1022">
        <v>1379.2445068</v>
      </c>
      <c r="K1022">
        <v>0</v>
      </c>
      <c r="L1022">
        <v>2400</v>
      </c>
      <c r="M1022">
        <v>2400</v>
      </c>
      <c r="N1022">
        <v>0</v>
      </c>
    </row>
    <row r="1023" spans="1:14" x14ac:dyDescent="0.25">
      <c r="A1023">
        <v>558.25658899999996</v>
      </c>
      <c r="B1023" s="1">
        <f>DATE(2011,11,10) + TIME(6,9,29)</f>
        <v>40857.256585648145</v>
      </c>
      <c r="C1023">
        <v>80</v>
      </c>
      <c r="D1023">
        <v>78.265602111999996</v>
      </c>
      <c r="E1023">
        <v>50</v>
      </c>
      <c r="F1023">
        <v>49.961906433000003</v>
      </c>
      <c r="G1023">
        <v>1301.6004639</v>
      </c>
      <c r="H1023">
        <v>1288.9323730000001</v>
      </c>
      <c r="I1023">
        <v>1399.2866211</v>
      </c>
      <c r="J1023">
        <v>1379.1824951000001</v>
      </c>
      <c r="K1023">
        <v>0</v>
      </c>
      <c r="L1023">
        <v>2400</v>
      </c>
      <c r="M1023">
        <v>2400</v>
      </c>
      <c r="N1023">
        <v>0</v>
      </c>
    </row>
    <row r="1024" spans="1:14" x14ac:dyDescent="0.25">
      <c r="A1024">
        <v>558.78912800000001</v>
      </c>
      <c r="B1024" s="1">
        <f>DATE(2011,11,10) + TIME(18,56,20)</f>
        <v>40857.789120370369</v>
      </c>
      <c r="C1024">
        <v>80</v>
      </c>
      <c r="D1024">
        <v>78.193084717000005</v>
      </c>
      <c r="E1024">
        <v>50</v>
      </c>
      <c r="F1024">
        <v>49.962089538999997</v>
      </c>
      <c r="G1024">
        <v>1301.5484618999999</v>
      </c>
      <c r="H1024">
        <v>1288.8767089999999</v>
      </c>
      <c r="I1024">
        <v>1399.197876</v>
      </c>
      <c r="J1024">
        <v>1379.1163329999999</v>
      </c>
      <c r="K1024">
        <v>0</v>
      </c>
      <c r="L1024">
        <v>2400</v>
      </c>
      <c r="M1024">
        <v>2400</v>
      </c>
      <c r="N1024">
        <v>0</v>
      </c>
    </row>
    <row r="1025" spans="1:14" x14ac:dyDescent="0.25">
      <c r="A1025">
        <v>559.35638100000006</v>
      </c>
      <c r="B1025" s="1">
        <f>DATE(2011,11,11) + TIME(8,33,11)</f>
        <v>40858.356377314813</v>
      </c>
      <c r="C1025">
        <v>80</v>
      </c>
      <c r="D1025">
        <v>78.116935729999994</v>
      </c>
      <c r="E1025">
        <v>50</v>
      </c>
      <c r="F1025">
        <v>49.962230681999998</v>
      </c>
      <c r="G1025">
        <v>1301.4986572</v>
      </c>
      <c r="H1025">
        <v>1288.8227539</v>
      </c>
      <c r="I1025">
        <v>1399.1065673999999</v>
      </c>
      <c r="J1025">
        <v>1379.0474853999999</v>
      </c>
      <c r="K1025">
        <v>0</v>
      </c>
      <c r="L1025">
        <v>2400</v>
      </c>
      <c r="M1025">
        <v>2400</v>
      </c>
      <c r="N1025">
        <v>0</v>
      </c>
    </row>
    <row r="1026" spans="1:14" x14ac:dyDescent="0.25">
      <c r="A1026">
        <v>559.941463</v>
      </c>
      <c r="B1026" s="1">
        <f>DATE(2011,11,11) + TIME(22,35,42)</f>
        <v>40858.941458333335</v>
      </c>
      <c r="C1026">
        <v>80</v>
      </c>
      <c r="D1026">
        <v>78.038352966000005</v>
      </c>
      <c r="E1026">
        <v>50</v>
      </c>
      <c r="F1026">
        <v>49.962329865000001</v>
      </c>
      <c r="G1026">
        <v>1301.4510498</v>
      </c>
      <c r="H1026">
        <v>1288.770874</v>
      </c>
      <c r="I1026">
        <v>1399.0129394999999</v>
      </c>
      <c r="J1026">
        <v>1378.9765625</v>
      </c>
      <c r="K1026">
        <v>0</v>
      </c>
      <c r="L1026">
        <v>2400</v>
      </c>
      <c r="M1026">
        <v>2400</v>
      </c>
      <c r="N1026">
        <v>0</v>
      </c>
    </row>
    <row r="1027" spans="1:14" x14ac:dyDescent="0.25">
      <c r="A1027">
        <v>560.53165200000001</v>
      </c>
      <c r="B1027" s="1">
        <f>DATE(2011,11,12) + TIME(12,45,34)</f>
        <v>40859.531643518516</v>
      </c>
      <c r="C1027">
        <v>80</v>
      </c>
      <c r="D1027">
        <v>77.958671570000007</v>
      </c>
      <c r="E1027">
        <v>50</v>
      </c>
      <c r="F1027">
        <v>49.962398528999998</v>
      </c>
      <c r="G1027">
        <v>1301.4058838000001</v>
      </c>
      <c r="H1027">
        <v>1288.7210693</v>
      </c>
      <c r="I1027">
        <v>1398.9206543</v>
      </c>
      <c r="J1027">
        <v>1378.9061279</v>
      </c>
      <c r="K1027">
        <v>0</v>
      </c>
      <c r="L1027">
        <v>2400</v>
      </c>
      <c r="M1027">
        <v>2400</v>
      </c>
      <c r="N1027">
        <v>0</v>
      </c>
    </row>
    <row r="1028" spans="1:14" x14ac:dyDescent="0.25">
      <c r="A1028">
        <v>561.13241100000005</v>
      </c>
      <c r="B1028" s="1">
        <f>DATE(2011,11,13) + TIME(3,10,40)</f>
        <v>40860.132407407407</v>
      </c>
      <c r="C1028">
        <v>80</v>
      </c>
      <c r="D1028">
        <v>77.878021239999995</v>
      </c>
      <c r="E1028">
        <v>50</v>
      </c>
      <c r="F1028">
        <v>49.962451934999997</v>
      </c>
      <c r="G1028">
        <v>1301.3625488</v>
      </c>
      <c r="H1028">
        <v>1288.6729736</v>
      </c>
      <c r="I1028">
        <v>1398.8314209</v>
      </c>
      <c r="J1028">
        <v>1378.8378906</v>
      </c>
      <c r="K1028">
        <v>0</v>
      </c>
      <c r="L1028">
        <v>2400</v>
      </c>
      <c r="M1028">
        <v>2400</v>
      </c>
      <c r="N1028">
        <v>0</v>
      </c>
    </row>
    <row r="1029" spans="1:14" x14ac:dyDescent="0.25">
      <c r="A1029">
        <v>561.74908800000003</v>
      </c>
      <c r="B1029" s="1">
        <f>DATE(2011,11,13) + TIME(17,58,41)</f>
        <v>40860.749085648145</v>
      </c>
      <c r="C1029">
        <v>80</v>
      </c>
      <c r="D1029">
        <v>77.796188353999995</v>
      </c>
      <c r="E1029">
        <v>50</v>
      </c>
      <c r="F1029">
        <v>49.962493895999998</v>
      </c>
      <c r="G1029">
        <v>1301.3205565999999</v>
      </c>
      <c r="H1029">
        <v>1288.6257324000001</v>
      </c>
      <c r="I1029">
        <v>1398.744751</v>
      </c>
      <c r="J1029">
        <v>1378.7713623</v>
      </c>
      <c r="K1029">
        <v>0</v>
      </c>
      <c r="L1029">
        <v>2400</v>
      </c>
      <c r="M1029">
        <v>2400</v>
      </c>
      <c r="N1029">
        <v>0</v>
      </c>
    </row>
    <row r="1030" spans="1:14" x14ac:dyDescent="0.25">
      <c r="A1030">
        <v>562.38656700000001</v>
      </c>
      <c r="B1030" s="1">
        <f>DATE(2011,11,14) + TIME(9,16,39)</f>
        <v>40861.386562500003</v>
      </c>
      <c r="C1030">
        <v>80</v>
      </c>
      <c r="D1030">
        <v>77.712814331000004</v>
      </c>
      <c r="E1030">
        <v>50</v>
      </c>
      <c r="F1030">
        <v>49.962528229</v>
      </c>
      <c r="G1030">
        <v>1301.2791748</v>
      </c>
      <c r="H1030">
        <v>1288.5787353999999</v>
      </c>
      <c r="I1030">
        <v>1398.6600341999999</v>
      </c>
      <c r="J1030">
        <v>1378.7060547000001</v>
      </c>
      <c r="K1030">
        <v>0</v>
      </c>
      <c r="L1030">
        <v>2400</v>
      </c>
      <c r="M1030">
        <v>2400</v>
      </c>
      <c r="N1030">
        <v>0</v>
      </c>
    </row>
    <row r="1031" spans="1:14" x14ac:dyDescent="0.25">
      <c r="A1031">
        <v>563.04774099999997</v>
      </c>
      <c r="B1031" s="1">
        <f>DATE(2011,11,15) + TIME(1,8,44)</f>
        <v>40862.047731481478</v>
      </c>
      <c r="C1031">
        <v>80</v>
      </c>
      <c r="D1031">
        <v>77.627601623999993</v>
      </c>
      <c r="E1031">
        <v>50</v>
      </c>
      <c r="F1031">
        <v>49.962554932000003</v>
      </c>
      <c r="G1031">
        <v>1301.2376709</v>
      </c>
      <c r="H1031">
        <v>1288.5313721</v>
      </c>
      <c r="I1031">
        <v>1398.5766602000001</v>
      </c>
      <c r="J1031">
        <v>1378.6418457</v>
      </c>
      <c r="K1031">
        <v>0</v>
      </c>
      <c r="L1031">
        <v>2400</v>
      </c>
      <c r="M1031">
        <v>2400</v>
      </c>
      <c r="N1031">
        <v>0</v>
      </c>
    </row>
    <row r="1032" spans="1:14" x14ac:dyDescent="0.25">
      <c r="A1032">
        <v>563.73878999999999</v>
      </c>
      <c r="B1032" s="1">
        <f>DATE(2011,11,15) + TIME(17,43,51)</f>
        <v>40862.73878472222</v>
      </c>
      <c r="C1032">
        <v>80</v>
      </c>
      <c r="D1032">
        <v>77.540039062000005</v>
      </c>
      <c r="E1032">
        <v>50</v>
      </c>
      <c r="F1032">
        <v>49.962574005</v>
      </c>
      <c r="G1032">
        <v>1301.1956786999999</v>
      </c>
      <c r="H1032">
        <v>1288.4831543</v>
      </c>
      <c r="I1032">
        <v>1398.4942627</v>
      </c>
      <c r="J1032">
        <v>1378.5782471</v>
      </c>
      <c r="K1032">
        <v>0</v>
      </c>
      <c r="L1032">
        <v>2400</v>
      </c>
      <c r="M1032">
        <v>2400</v>
      </c>
      <c r="N1032">
        <v>0</v>
      </c>
    </row>
    <row r="1033" spans="1:14" x14ac:dyDescent="0.25">
      <c r="A1033">
        <v>564.46683099999996</v>
      </c>
      <c r="B1033" s="1">
        <f>DATE(2011,11,16) + TIME(11,12,14)</f>
        <v>40863.466828703706</v>
      </c>
      <c r="C1033">
        <v>80</v>
      </c>
      <c r="D1033">
        <v>77.449478149000001</v>
      </c>
      <c r="E1033">
        <v>50</v>
      </c>
      <c r="F1033">
        <v>49.962593079000001</v>
      </c>
      <c r="G1033">
        <v>1301.1527100000001</v>
      </c>
      <c r="H1033">
        <v>1288.4332274999999</v>
      </c>
      <c r="I1033">
        <v>1398.4123535000001</v>
      </c>
      <c r="J1033">
        <v>1378.5148925999999</v>
      </c>
      <c r="K1033">
        <v>0</v>
      </c>
      <c r="L1033">
        <v>2400</v>
      </c>
      <c r="M1033">
        <v>2400</v>
      </c>
      <c r="N1033">
        <v>0</v>
      </c>
    </row>
    <row r="1034" spans="1:14" x14ac:dyDescent="0.25">
      <c r="A1034">
        <v>565.23335899999995</v>
      </c>
      <c r="B1034" s="1">
        <f>DATE(2011,11,17) + TIME(5,36,2)</f>
        <v>40864.233356481483</v>
      </c>
      <c r="C1034">
        <v>80</v>
      </c>
      <c r="D1034">
        <v>77.355583190999994</v>
      </c>
      <c r="E1034">
        <v>50</v>
      </c>
      <c r="F1034">
        <v>49.962608336999999</v>
      </c>
      <c r="G1034">
        <v>1301.1082764</v>
      </c>
      <c r="H1034">
        <v>1288.3812256000001</v>
      </c>
      <c r="I1034">
        <v>1398.3303223</v>
      </c>
      <c r="J1034">
        <v>1378.4515381000001</v>
      </c>
      <c r="K1034">
        <v>0</v>
      </c>
      <c r="L1034">
        <v>2400</v>
      </c>
      <c r="M1034">
        <v>2400</v>
      </c>
      <c r="N1034">
        <v>0</v>
      </c>
    </row>
    <row r="1035" spans="1:14" x14ac:dyDescent="0.25">
      <c r="A1035">
        <v>566.03132400000004</v>
      </c>
      <c r="B1035" s="1">
        <f>DATE(2011,11,18) + TIME(0,45,6)</f>
        <v>40865.031319444446</v>
      </c>
      <c r="C1035">
        <v>80</v>
      </c>
      <c r="D1035">
        <v>77.258666992000002</v>
      </c>
      <c r="E1035">
        <v>50</v>
      </c>
      <c r="F1035">
        <v>49.962623596</v>
      </c>
      <c r="G1035">
        <v>1301.0620117000001</v>
      </c>
      <c r="H1035">
        <v>1288.3269043</v>
      </c>
      <c r="I1035">
        <v>1398.2484131000001</v>
      </c>
      <c r="J1035">
        <v>1378.3880615</v>
      </c>
      <c r="K1035">
        <v>0</v>
      </c>
      <c r="L1035">
        <v>2400</v>
      </c>
      <c r="M1035">
        <v>2400</v>
      </c>
      <c r="N1035">
        <v>0</v>
      </c>
    </row>
    <row r="1036" spans="1:14" x14ac:dyDescent="0.25">
      <c r="A1036">
        <v>566.84016799999995</v>
      </c>
      <c r="B1036" s="1">
        <f>DATE(2011,11,18) + TIME(20,9,50)</f>
        <v>40865.840162037035</v>
      </c>
      <c r="C1036">
        <v>80</v>
      </c>
      <c r="D1036">
        <v>77.160140991000006</v>
      </c>
      <c r="E1036">
        <v>50</v>
      </c>
      <c r="F1036">
        <v>49.962635040000002</v>
      </c>
      <c r="G1036">
        <v>1301.0145264</v>
      </c>
      <c r="H1036">
        <v>1288.2706298999999</v>
      </c>
      <c r="I1036">
        <v>1398.1674805</v>
      </c>
      <c r="J1036">
        <v>1378.3253173999999</v>
      </c>
      <c r="K1036">
        <v>0</v>
      </c>
      <c r="L1036">
        <v>2400</v>
      </c>
      <c r="M1036">
        <v>2400</v>
      </c>
      <c r="N1036">
        <v>0</v>
      </c>
    </row>
    <row r="1037" spans="1:14" x14ac:dyDescent="0.25">
      <c r="A1037">
        <v>567.65776600000004</v>
      </c>
      <c r="B1037" s="1">
        <f>DATE(2011,11,19) + TIME(15,47,10)</f>
        <v>40866.657754629632</v>
      </c>
      <c r="C1037">
        <v>80</v>
      </c>
      <c r="D1037">
        <v>77.060905457000004</v>
      </c>
      <c r="E1037">
        <v>50</v>
      </c>
      <c r="F1037">
        <v>49.962646483999997</v>
      </c>
      <c r="G1037">
        <v>1300.9661865</v>
      </c>
      <c r="H1037">
        <v>1288.2130127</v>
      </c>
      <c r="I1037">
        <v>1398.0893555</v>
      </c>
      <c r="J1037">
        <v>1378.2646483999999</v>
      </c>
      <c r="K1037">
        <v>0</v>
      </c>
      <c r="L1037">
        <v>2400</v>
      </c>
      <c r="M1037">
        <v>2400</v>
      </c>
      <c r="N1037">
        <v>0</v>
      </c>
    </row>
    <row r="1038" spans="1:14" x14ac:dyDescent="0.25">
      <c r="A1038">
        <v>568.49112600000001</v>
      </c>
      <c r="B1038" s="1">
        <f>DATE(2011,11,20) + TIME(11,47,13)</f>
        <v>40867.491122685184</v>
      </c>
      <c r="C1038">
        <v>80</v>
      </c>
      <c r="D1038">
        <v>76.960990906000006</v>
      </c>
      <c r="E1038">
        <v>50</v>
      </c>
      <c r="F1038">
        <v>49.962657927999999</v>
      </c>
      <c r="G1038">
        <v>1300.9172363</v>
      </c>
      <c r="H1038">
        <v>1288.1539307</v>
      </c>
      <c r="I1038">
        <v>1398.0139160000001</v>
      </c>
      <c r="J1038">
        <v>1378.2059326000001</v>
      </c>
      <c r="K1038">
        <v>0</v>
      </c>
      <c r="L1038">
        <v>2400</v>
      </c>
      <c r="M1038">
        <v>2400</v>
      </c>
      <c r="N1038">
        <v>0</v>
      </c>
    </row>
    <row r="1039" spans="1:14" x14ac:dyDescent="0.25">
      <c r="A1039">
        <v>569.34731899999997</v>
      </c>
      <c r="B1039" s="1">
        <f>DATE(2011,11,21) + TIME(8,20,8)</f>
        <v>40868.347314814811</v>
      </c>
      <c r="C1039">
        <v>80</v>
      </c>
      <c r="D1039">
        <v>76.860031128000003</v>
      </c>
      <c r="E1039">
        <v>50</v>
      </c>
      <c r="F1039">
        <v>49.962669372999997</v>
      </c>
      <c r="G1039">
        <v>1300.8668213000001</v>
      </c>
      <c r="H1039">
        <v>1288.0930175999999</v>
      </c>
      <c r="I1039">
        <v>1397.9404297000001</v>
      </c>
      <c r="J1039">
        <v>1378.1486815999999</v>
      </c>
      <c r="K1039">
        <v>0</v>
      </c>
      <c r="L1039">
        <v>2400</v>
      </c>
      <c r="M1039">
        <v>2400</v>
      </c>
      <c r="N1039">
        <v>0</v>
      </c>
    </row>
    <row r="1040" spans="1:14" x14ac:dyDescent="0.25">
      <c r="A1040">
        <v>570.23391800000002</v>
      </c>
      <c r="B1040" s="1">
        <f>DATE(2011,11,22) + TIME(5,36,50)</f>
        <v>40869.233912037038</v>
      </c>
      <c r="C1040">
        <v>80</v>
      </c>
      <c r="D1040">
        <v>76.757423400999997</v>
      </c>
      <c r="E1040">
        <v>50</v>
      </c>
      <c r="F1040">
        <v>49.962684631000002</v>
      </c>
      <c r="G1040">
        <v>1300.8148193</v>
      </c>
      <c r="H1040">
        <v>1288.0295410000001</v>
      </c>
      <c r="I1040">
        <v>1397.8682861</v>
      </c>
      <c r="J1040">
        <v>1378.0922852000001</v>
      </c>
      <c r="K1040">
        <v>0</v>
      </c>
      <c r="L1040">
        <v>2400</v>
      </c>
      <c r="M1040">
        <v>2400</v>
      </c>
      <c r="N1040">
        <v>0</v>
      </c>
    </row>
    <row r="1041" spans="1:14" x14ac:dyDescent="0.25">
      <c r="A1041">
        <v>571.159449</v>
      </c>
      <c r="B1041" s="1">
        <f>DATE(2011,11,23) + TIME(3,49,36)</f>
        <v>40870.159444444442</v>
      </c>
      <c r="C1041">
        <v>80</v>
      </c>
      <c r="D1041">
        <v>76.652450561999999</v>
      </c>
      <c r="E1041">
        <v>50</v>
      </c>
      <c r="F1041">
        <v>49.962699890000003</v>
      </c>
      <c r="G1041">
        <v>1300.760376</v>
      </c>
      <c r="H1041">
        <v>1287.9627685999999</v>
      </c>
      <c r="I1041">
        <v>1397.7967529</v>
      </c>
      <c r="J1041">
        <v>1378.0362548999999</v>
      </c>
      <c r="K1041">
        <v>0</v>
      </c>
      <c r="L1041">
        <v>2400</v>
      </c>
      <c r="M1041">
        <v>2400</v>
      </c>
      <c r="N1041">
        <v>0</v>
      </c>
    </row>
    <row r="1042" spans="1:14" x14ac:dyDescent="0.25">
      <c r="A1042">
        <v>572.13393099999996</v>
      </c>
      <c r="B1042" s="1">
        <f>DATE(2011,11,24) + TIME(3,12,51)</f>
        <v>40871.133923611109</v>
      </c>
      <c r="C1042">
        <v>80</v>
      </c>
      <c r="D1042">
        <v>76.544250488000003</v>
      </c>
      <c r="E1042">
        <v>50</v>
      </c>
      <c r="F1042">
        <v>49.962718963999997</v>
      </c>
      <c r="G1042">
        <v>1300.7030029</v>
      </c>
      <c r="H1042">
        <v>1287.8920897999999</v>
      </c>
      <c r="I1042">
        <v>1397.7250977000001</v>
      </c>
      <c r="J1042">
        <v>1377.9801024999999</v>
      </c>
      <c r="K1042">
        <v>0</v>
      </c>
      <c r="L1042">
        <v>2400</v>
      </c>
      <c r="M1042">
        <v>2400</v>
      </c>
      <c r="N1042">
        <v>0</v>
      </c>
    </row>
    <row r="1043" spans="1:14" x14ac:dyDescent="0.25">
      <c r="A1043">
        <v>573.16944999999998</v>
      </c>
      <c r="B1043" s="1">
        <f>DATE(2011,11,25) + TIME(4,4,0)</f>
        <v>40872.169444444444</v>
      </c>
      <c r="C1043">
        <v>80</v>
      </c>
      <c r="D1043">
        <v>76.431831360000004</v>
      </c>
      <c r="E1043">
        <v>50</v>
      </c>
      <c r="F1043">
        <v>49.962738037000001</v>
      </c>
      <c r="G1043">
        <v>1300.6419678</v>
      </c>
      <c r="H1043">
        <v>1287.8161620999999</v>
      </c>
      <c r="I1043">
        <v>1397.6529541</v>
      </c>
      <c r="J1043">
        <v>1377.9232178</v>
      </c>
      <c r="K1043">
        <v>0</v>
      </c>
      <c r="L1043">
        <v>2400</v>
      </c>
      <c r="M1043">
        <v>2400</v>
      </c>
      <c r="N1043">
        <v>0</v>
      </c>
    </row>
    <row r="1044" spans="1:14" x14ac:dyDescent="0.25">
      <c r="A1044">
        <v>574.22982200000001</v>
      </c>
      <c r="B1044" s="1">
        <f>DATE(2011,11,26) + TIME(5,30,56)</f>
        <v>40873.229814814818</v>
      </c>
      <c r="C1044">
        <v>80</v>
      </c>
      <c r="D1044">
        <v>76.316345214999998</v>
      </c>
      <c r="E1044">
        <v>50</v>
      </c>
      <c r="F1044">
        <v>49.962757111000002</v>
      </c>
      <c r="G1044">
        <v>1300.5766602000001</v>
      </c>
      <c r="H1044">
        <v>1287.7349853999999</v>
      </c>
      <c r="I1044">
        <v>1397.5797118999999</v>
      </c>
      <c r="J1044">
        <v>1377.8654785000001</v>
      </c>
      <c r="K1044">
        <v>0</v>
      </c>
      <c r="L1044">
        <v>2400</v>
      </c>
      <c r="M1044">
        <v>2400</v>
      </c>
      <c r="N1044">
        <v>0</v>
      </c>
    </row>
    <row r="1045" spans="1:14" x14ac:dyDescent="0.25">
      <c r="A1045">
        <v>575.29573200000004</v>
      </c>
      <c r="B1045" s="1">
        <f>DATE(2011,11,27) + TIME(7,5,51)</f>
        <v>40874.295729166668</v>
      </c>
      <c r="C1045">
        <v>80</v>
      </c>
      <c r="D1045">
        <v>76.199798584000007</v>
      </c>
      <c r="E1045">
        <v>50</v>
      </c>
      <c r="F1045">
        <v>49.962776183999999</v>
      </c>
      <c r="G1045">
        <v>1300.5089111</v>
      </c>
      <c r="H1045">
        <v>1287.6499022999999</v>
      </c>
      <c r="I1045">
        <v>1397.5078125</v>
      </c>
      <c r="J1045">
        <v>1377.8085937999999</v>
      </c>
      <c r="K1045">
        <v>0</v>
      </c>
      <c r="L1045">
        <v>2400</v>
      </c>
      <c r="M1045">
        <v>2400</v>
      </c>
      <c r="N1045">
        <v>0</v>
      </c>
    </row>
    <row r="1046" spans="1:14" x14ac:dyDescent="0.25">
      <c r="A1046">
        <v>576.37668199999996</v>
      </c>
      <c r="B1046" s="1">
        <f>DATE(2011,11,28) + TIME(9,2,25)</f>
        <v>40875.37667824074</v>
      </c>
      <c r="C1046">
        <v>80</v>
      </c>
      <c r="D1046">
        <v>76.082931518999999</v>
      </c>
      <c r="E1046">
        <v>50</v>
      </c>
      <c r="F1046">
        <v>49.962799072000003</v>
      </c>
      <c r="G1046">
        <v>1300.4394531</v>
      </c>
      <c r="H1046">
        <v>1287.5621338000001</v>
      </c>
      <c r="I1046">
        <v>1397.4383545000001</v>
      </c>
      <c r="J1046">
        <v>1377.7535399999999</v>
      </c>
      <c r="K1046">
        <v>0</v>
      </c>
      <c r="L1046">
        <v>2400</v>
      </c>
      <c r="M1046">
        <v>2400</v>
      </c>
      <c r="N1046">
        <v>0</v>
      </c>
    </row>
    <row r="1047" spans="1:14" x14ac:dyDescent="0.25">
      <c r="A1047">
        <v>577.48219099999994</v>
      </c>
      <c r="B1047" s="1">
        <f>DATE(2011,11,29) + TIME(11,34,21)</f>
        <v>40876.482187499998</v>
      </c>
      <c r="C1047">
        <v>80</v>
      </c>
      <c r="D1047">
        <v>75.965507506999998</v>
      </c>
      <c r="E1047">
        <v>50</v>
      </c>
      <c r="F1047">
        <v>49.962821959999999</v>
      </c>
      <c r="G1047">
        <v>1300.3676757999999</v>
      </c>
      <c r="H1047">
        <v>1287.4709473</v>
      </c>
      <c r="I1047">
        <v>1397.3707274999999</v>
      </c>
      <c r="J1047">
        <v>1377.6995850000001</v>
      </c>
      <c r="K1047">
        <v>0</v>
      </c>
      <c r="L1047">
        <v>2400</v>
      </c>
      <c r="M1047">
        <v>2400</v>
      </c>
      <c r="N1047">
        <v>0</v>
      </c>
    </row>
    <row r="1048" spans="1:14" x14ac:dyDescent="0.25">
      <c r="A1048">
        <v>578.62221499999998</v>
      </c>
      <c r="B1048" s="1">
        <f>DATE(2011,11,30) + TIME(14,55,59)</f>
        <v>40877.622210648151</v>
      </c>
      <c r="C1048">
        <v>80</v>
      </c>
      <c r="D1048">
        <v>75.846855164000004</v>
      </c>
      <c r="E1048">
        <v>50</v>
      </c>
      <c r="F1048">
        <v>49.962848663000003</v>
      </c>
      <c r="G1048">
        <v>1300.2930908000001</v>
      </c>
      <c r="H1048">
        <v>1287.3756103999999</v>
      </c>
      <c r="I1048">
        <v>1397.3041992000001</v>
      </c>
      <c r="J1048">
        <v>1377.6464844</v>
      </c>
      <c r="K1048">
        <v>0</v>
      </c>
      <c r="L1048">
        <v>2400</v>
      </c>
      <c r="M1048">
        <v>2400</v>
      </c>
      <c r="N1048">
        <v>0</v>
      </c>
    </row>
    <row r="1049" spans="1:14" x14ac:dyDescent="0.25">
      <c r="A1049">
        <v>579</v>
      </c>
      <c r="B1049" s="1">
        <f>DATE(2011,12,1) + TIME(0,0,0)</f>
        <v>40878</v>
      </c>
      <c r="C1049">
        <v>80</v>
      </c>
      <c r="D1049">
        <v>75.782066345000004</v>
      </c>
      <c r="E1049">
        <v>50</v>
      </c>
      <c r="F1049">
        <v>49.962825774999999</v>
      </c>
      <c r="G1049">
        <v>1300.2298584</v>
      </c>
      <c r="H1049">
        <v>1287.2974853999999</v>
      </c>
      <c r="I1049">
        <v>1397.2470702999999</v>
      </c>
      <c r="J1049">
        <v>1377.6014404</v>
      </c>
      <c r="K1049">
        <v>0</v>
      </c>
      <c r="L1049">
        <v>2400</v>
      </c>
      <c r="M1049">
        <v>2400</v>
      </c>
      <c r="N1049">
        <v>0</v>
      </c>
    </row>
    <row r="1050" spans="1:14" x14ac:dyDescent="0.25">
      <c r="A1050">
        <v>580.18555200000003</v>
      </c>
      <c r="B1050" s="1">
        <f>DATE(2011,12,2) + TIME(4,27,11)</f>
        <v>40879.185543981483</v>
      </c>
      <c r="C1050">
        <v>80</v>
      </c>
      <c r="D1050">
        <v>75.676696777000004</v>
      </c>
      <c r="E1050">
        <v>50</v>
      </c>
      <c r="F1050">
        <v>49.962890625</v>
      </c>
      <c r="G1050">
        <v>1300.1849365</v>
      </c>
      <c r="H1050">
        <v>1287.2354736</v>
      </c>
      <c r="I1050">
        <v>1397.2144774999999</v>
      </c>
      <c r="J1050">
        <v>1377.5743408000001</v>
      </c>
      <c r="K1050">
        <v>0</v>
      </c>
      <c r="L1050">
        <v>2400</v>
      </c>
      <c r="M1050">
        <v>2400</v>
      </c>
      <c r="N1050">
        <v>0</v>
      </c>
    </row>
    <row r="1051" spans="1:14" x14ac:dyDescent="0.25">
      <c r="A1051">
        <v>581.43782299999998</v>
      </c>
      <c r="B1051" s="1">
        <f>DATE(2011,12,3) + TIME(10,30,27)</f>
        <v>40880.4378125</v>
      </c>
      <c r="C1051">
        <v>80</v>
      </c>
      <c r="D1051">
        <v>75.559196471999996</v>
      </c>
      <c r="E1051">
        <v>50</v>
      </c>
      <c r="F1051">
        <v>49.962921143000003</v>
      </c>
      <c r="G1051">
        <v>1300.1043701000001</v>
      </c>
      <c r="H1051">
        <v>1287.1317139</v>
      </c>
      <c r="I1051">
        <v>1397.1512451000001</v>
      </c>
      <c r="J1051">
        <v>1377.5235596</v>
      </c>
      <c r="K1051">
        <v>0</v>
      </c>
      <c r="L1051">
        <v>2400</v>
      </c>
      <c r="M1051">
        <v>2400</v>
      </c>
      <c r="N1051">
        <v>0</v>
      </c>
    </row>
    <row r="1052" spans="1:14" x14ac:dyDescent="0.25">
      <c r="A1052">
        <v>582.74794699999995</v>
      </c>
      <c r="B1052" s="1">
        <f>DATE(2011,12,4) + TIME(17,57,2)</f>
        <v>40881.747939814813</v>
      </c>
      <c r="C1052">
        <v>80</v>
      </c>
      <c r="D1052">
        <v>75.434051514000004</v>
      </c>
      <c r="E1052">
        <v>50</v>
      </c>
      <c r="F1052">
        <v>49.962955475000001</v>
      </c>
      <c r="G1052">
        <v>1300.0159911999999</v>
      </c>
      <c r="H1052">
        <v>1287.0172118999999</v>
      </c>
      <c r="I1052">
        <v>1397.0849608999999</v>
      </c>
      <c r="J1052">
        <v>1377.4700928</v>
      </c>
      <c r="K1052">
        <v>0</v>
      </c>
      <c r="L1052">
        <v>2400</v>
      </c>
      <c r="M1052">
        <v>2400</v>
      </c>
      <c r="N1052">
        <v>0</v>
      </c>
    </row>
    <row r="1053" spans="1:14" x14ac:dyDescent="0.25">
      <c r="A1053">
        <v>584.069704</v>
      </c>
      <c r="B1053" s="1">
        <f>DATE(2011,12,6) + TIME(1,40,22)</f>
        <v>40883.069699074076</v>
      </c>
      <c r="C1053">
        <v>80</v>
      </c>
      <c r="D1053">
        <v>75.305198669000006</v>
      </c>
      <c r="E1053">
        <v>50</v>
      </c>
      <c r="F1053">
        <v>49.962989807</v>
      </c>
      <c r="G1053">
        <v>1299.9219971</v>
      </c>
      <c r="H1053">
        <v>1286.8947754000001</v>
      </c>
      <c r="I1053">
        <v>1397.0183105000001</v>
      </c>
      <c r="J1053">
        <v>1377.4161377</v>
      </c>
      <c r="K1053">
        <v>0</v>
      </c>
      <c r="L1053">
        <v>2400</v>
      </c>
      <c r="M1053">
        <v>2400</v>
      </c>
      <c r="N1053">
        <v>0</v>
      </c>
    </row>
    <row r="1054" spans="1:14" x14ac:dyDescent="0.25">
      <c r="A1054">
        <v>585.41499599999997</v>
      </c>
      <c r="B1054" s="1">
        <f>DATE(2011,12,7) + TIME(9,57,35)</f>
        <v>40884.414988425924</v>
      </c>
      <c r="C1054">
        <v>80</v>
      </c>
      <c r="D1054">
        <v>75.174957274999997</v>
      </c>
      <c r="E1054">
        <v>50</v>
      </c>
      <c r="F1054">
        <v>49.963027953999998</v>
      </c>
      <c r="G1054">
        <v>1299.8248291</v>
      </c>
      <c r="H1054">
        <v>1286.7672118999999</v>
      </c>
      <c r="I1054">
        <v>1396.9532471</v>
      </c>
      <c r="J1054">
        <v>1377.3632812000001</v>
      </c>
      <c r="K1054">
        <v>0</v>
      </c>
      <c r="L1054">
        <v>2400</v>
      </c>
      <c r="M1054">
        <v>2400</v>
      </c>
      <c r="N1054">
        <v>0</v>
      </c>
    </row>
    <row r="1055" spans="1:14" x14ac:dyDescent="0.25">
      <c r="A1055">
        <v>586.79376300000001</v>
      </c>
      <c r="B1055" s="1">
        <f>DATE(2011,12,8) + TIME(19,3,1)</f>
        <v>40885.793761574074</v>
      </c>
      <c r="C1055">
        <v>80</v>
      </c>
      <c r="D1055">
        <v>75.043617248999993</v>
      </c>
      <c r="E1055">
        <v>50</v>
      </c>
      <c r="F1055">
        <v>49.963066101000003</v>
      </c>
      <c r="G1055">
        <v>1299.7238769999999</v>
      </c>
      <c r="H1055">
        <v>1286.6341553</v>
      </c>
      <c r="I1055">
        <v>1396.8894043</v>
      </c>
      <c r="J1055">
        <v>1377.3111572</v>
      </c>
      <c r="K1055">
        <v>0</v>
      </c>
      <c r="L1055">
        <v>2400</v>
      </c>
      <c r="M1055">
        <v>2400</v>
      </c>
      <c r="N1055">
        <v>0</v>
      </c>
    </row>
    <row r="1056" spans="1:14" x14ac:dyDescent="0.25">
      <c r="A1056">
        <v>588.19915200000003</v>
      </c>
      <c r="B1056" s="1">
        <f>DATE(2011,12,10) + TIME(4,46,46)</f>
        <v>40887.199143518519</v>
      </c>
      <c r="C1056">
        <v>80</v>
      </c>
      <c r="D1056">
        <v>74.911247252999999</v>
      </c>
      <c r="E1056">
        <v>50</v>
      </c>
      <c r="F1056">
        <v>49.963104248</v>
      </c>
      <c r="G1056">
        <v>1299.6188964999999</v>
      </c>
      <c r="H1056">
        <v>1286.4951172000001</v>
      </c>
      <c r="I1056">
        <v>1396.8262939000001</v>
      </c>
      <c r="J1056">
        <v>1377.2595214999999</v>
      </c>
      <c r="K1056">
        <v>0</v>
      </c>
      <c r="L1056">
        <v>2400</v>
      </c>
      <c r="M1056">
        <v>2400</v>
      </c>
      <c r="N1056">
        <v>0</v>
      </c>
    </row>
    <row r="1057" spans="1:14" x14ac:dyDescent="0.25">
      <c r="A1057">
        <v>589.64348299999995</v>
      </c>
      <c r="B1057" s="1">
        <f>DATE(2011,12,11) + TIME(15,26,36)</f>
        <v>40888.643472222226</v>
      </c>
      <c r="C1057">
        <v>80</v>
      </c>
      <c r="D1057">
        <v>74.777679442999997</v>
      </c>
      <c r="E1057">
        <v>50</v>
      </c>
      <c r="F1057">
        <v>49.963146209999998</v>
      </c>
      <c r="G1057">
        <v>1299.5097656</v>
      </c>
      <c r="H1057">
        <v>1286.3498535000001</v>
      </c>
      <c r="I1057">
        <v>1396.7642822</v>
      </c>
      <c r="J1057">
        <v>1377.2086182</v>
      </c>
      <c r="K1057">
        <v>0</v>
      </c>
      <c r="L1057">
        <v>2400</v>
      </c>
      <c r="M1057">
        <v>2400</v>
      </c>
      <c r="N1057">
        <v>0</v>
      </c>
    </row>
    <row r="1058" spans="1:14" x14ac:dyDescent="0.25">
      <c r="A1058">
        <v>591.14008100000001</v>
      </c>
      <c r="B1058" s="1">
        <f>DATE(2011,12,13) + TIME(3,21,42)</f>
        <v>40890.140069444446</v>
      </c>
      <c r="C1058">
        <v>80</v>
      </c>
      <c r="D1058">
        <v>74.642158507999994</v>
      </c>
      <c r="E1058">
        <v>50</v>
      </c>
      <c r="F1058">
        <v>49.963191985999998</v>
      </c>
      <c r="G1058">
        <v>1299.3957519999999</v>
      </c>
      <c r="H1058">
        <v>1286.1975098</v>
      </c>
      <c r="I1058">
        <v>1396.7026367000001</v>
      </c>
      <c r="J1058">
        <v>1377.1578368999999</v>
      </c>
      <c r="K1058">
        <v>0</v>
      </c>
      <c r="L1058">
        <v>2400</v>
      </c>
      <c r="M1058">
        <v>2400</v>
      </c>
      <c r="N1058">
        <v>0</v>
      </c>
    </row>
    <row r="1059" spans="1:14" x14ac:dyDescent="0.25">
      <c r="A1059">
        <v>592.69556999999998</v>
      </c>
      <c r="B1059" s="1">
        <f>DATE(2011,12,14) + TIME(16,41,37)</f>
        <v>40891.695567129631</v>
      </c>
      <c r="C1059">
        <v>80</v>
      </c>
      <c r="D1059">
        <v>74.503890991000006</v>
      </c>
      <c r="E1059">
        <v>50</v>
      </c>
      <c r="F1059">
        <v>49.963241576999998</v>
      </c>
      <c r="G1059">
        <v>1299.2757568</v>
      </c>
      <c r="H1059">
        <v>1286.036499</v>
      </c>
      <c r="I1059">
        <v>1396.6408690999999</v>
      </c>
      <c r="J1059">
        <v>1377.1068115</v>
      </c>
      <c r="K1059">
        <v>0</v>
      </c>
      <c r="L1059">
        <v>2400</v>
      </c>
      <c r="M1059">
        <v>2400</v>
      </c>
      <c r="N1059">
        <v>0</v>
      </c>
    </row>
    <row r="1060" spans="1:14" x14ac:dyDescent="0.25">
      <c r="A1060">
        <v>594.27190399999995</v>
      </c>
      <c r="B1060" s="1">
        <f>DATE(2011,12,16) + TIME(6,31,32)</f>
        <v>40893.271898148145</v>
      </c>
      <c r="C1060">
        <v>80</v>
      </c>
      <c r="D1060">
        <v>74.363609314000001</v>
      </c>
      <c r="E1060">
        <v>50</v>
      </c>
      <c r="F1060">
        <v>49.963291167999998</v>
      </c>
      <c r="G1060">
        <v>1299.1494141000001</v>
      </c>
      <c r="H1060">
        <v>1285.8664550999999</v>
      </c>
      <c r="I1060">
        <v>1396.5791016000001</v>
      </c>
      <c r="J1060">
        <v>1377.0555420000001</v>
      </c>
      <c r="K1060">
        <v>0</v>
      </c>
      <c r="L1060">
        <v>2400</v>
      </c>
      <c r="M1060">
        <v>2400</v>
      </c>
      <c r="N1060">
        <v>0</v>
      </c>
    </row>
    <row r="1061" spans="1:14" x14ac:dyDescent="0.25">
      <c r="A1061">
        <v>595.87634700000001</v>
      </c>
      <c r="B1061" s="1">
        <f>DATE(2011,12,17) + TIME(21,1,56)</f>
        <v>40894.876342592594</v>
      </c>
      <c r="C1061">
        <v>80</v>
      </c>
      <c r="D1061">
        <v>74.222473144999995</v>
      </c>
      <c r="E1061">
        <v>50</v>
      </c>
      <c r="F1061">
        <v>49.963340758999998</v>
      </c>
      <c r="G1061">
        <v>1299.0189209</v>
      </c>
      <c r="H1061">
        <v>1285.6899414</v>
      </c>
      <c r="I1061">
        <v>1396.5184326000001</v>
      </c>
      <c r="J1061">
        <v>1377.0051269999999</v>
      </c>
      <c r="K1061">
        <v>0</v>
      </c>
      <c r="L1061">
        <v>2400</v>
      </c>
      <c r="M1061">
        <v>2400</v>
      </c>
      <c r="N1061">
        <v>0</v>
      </c>
    </row>
    <row r="1062" spans="1:14" x14ac:dyDescent="0.25">
      <c r="A1062">
        <v>597.519901</v>
      </c>
      <c r="B1062" s="1">
        <f>DATE(2011,12,19) + TIME(12,28,39)</f>
        <v>40896.519895833335</v>
      </c>
      <c r="C1062">
        <v>80</v>
      </c>
      <c r="D1062">
        <v>74.080345154</v>
      </c>
      <c r="E1062">
        <v>50</v>
      </c>
      <c r="F1062">
        <v>49.963390349999997</v>
      </c>
      <c r="G1062">
        <v>1298.8837891000001</v>
      </c>
      <c r="H1062">
        <v>1285.5064697</v>
      </c>
      <c r="I1062">
        <v>1396.4587402</v>
      </c>
      <c r="J1062">
        <v>1376.9553223</v>
      </c>
      <c r="K1062">
        <v>0</v>
      </c>
      <c r="L1062">
        <v>2400</v>
      </c>
      <c r="M1062">
        <v>2400</v>
      </c>
      <c r="N1062">
        <v>0</v>
      </c>
    </row>
    <row r="1063" spans="1:14" x14ac:dyDescent="0.25">
      <c r="A1063">
        <v>599.19577500000003</v>
      </c>
      <c r="B1063" s="1">
        <f>DATE(2011,12,21) + TIME(4,41,54)</f>
        <v>40898.195763888885</v>
      </c>
      <c r="C1063">
        <v>80</v>
      </c>
      <c r="D1063">
        <v>73.937065125000004</v>
      </c>
      <c r="E1063">
        <v>50</v>
      </c>
      <c r="F1063">
        <v>49.963447571000003</v>
      </c>
      <c r="G1063">
        <v>1298.7432861</v>
      </c>
      <c r="H1063">
        <v>1285.3151855000001</v>
      </c>
      <c r="I1063">
        <v>1396.3996582</v>
      </c>
      <c r="J1063">
        <v>1376.9057617000001</v>
      </c>
      <c r="K1063">
        <v>0</v>
      </c>
      <c r="L1063">
        <v>2400</v>
      </c>
      <c r="M1063">
        <v>2400</v>
      </c>
      <c r="N1063">
        <v>0</v>
      </c>
    </row>
    <row r="1064" spans="1:14" x14ac:dyDescent="0.25">
      <c r="A1064">
        <v>600.90778799999998</v>
      </c>
      <c r="B1064" s="1">
        <f>DATE(2011,12,22) + TIME(21,47,12)</f>
        <v>40899.907777777778</v>
      </c>
      <c r="C1064">
        <v>80</v>
      </c>
      <c r="D1064">
        <v>73.792671204000001</v>
      </c>
      <c r="E1064">
        <v>50</v>
      </c>
      <c r="F1064">
        <v>49.963500977000002</v>
      </c>
      <c r="G1064">
        <v>1298.5977783000001</v>
      </c>
      <c r="H1064">
        <v>1285.1164550999999</v>
      </c>
      <c r="I1064">
        <v>1396.3411865</v>
      </c>
      <c r="J1064">
        <v>1376.8566894999999</v>
      </c>
      <c r="K1064">
        <v>0</v>
      </c>
      <c r="L1064">
        <v>2400</v>
      </c>
      <c r="M1064">
        <v>2400</v>
      </c>
      <c r="N1064">
        <v>0</v>
      </c>
    </row>
    <row r="1065" spans="1:14" x14ac:dyDescent="0.25">
      <c r="A1065">
        <v>602.659628</v>
      </c>
      <c r="B1065" s="1">
        <f>DATE(2011,12,24) + TIME(15,49,51)</f>
        <v>40901.659618055557</v>
      </c>
      <c r="C1065">
        <v>80</v>
      </c>
      <c r="D1065">
        <v>73.646965026999993</v>
      </c>
      <c r="E1065">
        <v>50</v>
      </c>
      <c r="F1065">
        <v>49.963558196999998</v>
      </c>
      <c r="G1065">
        <v>1298.4468993999999</v>
      </c>
      <c r="H1065">
        <v>1284.9095459</v>
      </c>
      <c r="I1065">
        <v>1396.2834473</v>
      </c>
      <c r="J1065">
        <v>1376.8078613</v>
      </c>
      <c r="K1065">
        <v>0</v>
      </c>
      <c r="L1065">
        <v>2400</v>
      </c>
      <c r="M1065">
        <v>2400</v>
      </c>
      <c r="N1065">
        <v>0</v>
      </c>
    </row>
    <row r="1066" spans="1:14" x14ac:dyDescent="0.25">
      <c r="A1066">
        <v>604.45507199999997</v>
      </c>
      <c r="B1066" s="1">
        <f>DATE(2011,12,26) + TIME(10,55,18)</f>
        <v>40903.455069444448</v>
      </c>
      <c r="C1066">
        <v>80</v>
      </c>
      <c r="D1066">
        <v>73.499671935999999</v>
      </c>
      <c r="E1066">
        <v>50</v>
      </c>
      <c r="F1066">
        <v>49.963619231999999</v>
      </c>
      <c r="G1066">
        <v>1298.2901611</v>
      </c>
      <c r="H1066">
        <v>1284.6940918</v>
      </c>
      <c r="I1066">
        <v>1396.2260742000001</v>
      </c>
      <c r="J1066">
        <v>1376.7593993999999</v>
      </c>
      <c r="K1066">
        <v>0</v>
      </c>
      <c r="L1066">
        <v>2400</v>
      </c>
      <c r="M1066">
        <v>2400</v>
      </c>
      <c r="N1066">
        <v>0</v>
      </c>
    </row>
    <row r="1067" spans="1:14" x14ac:dyDescent="0.25">
      <c r="A1067">
        <v>606.29800599999999</v>
      </c>
      <c r="B1067" s="1">
        <f>DATE(2011,12,28) + TIME(7,9,7)</f>
        <v>40905.297997685186</v>
      </c>
      <c r="C1067">
        <v>80</v>
      </c>
      <c r="D1067">
        <v>73.350486755000006</v>
      </c>
      <c r="E1067">
        <v>50</v>
      </c>
      <c r="F1067">
        <v>49.963680267000001</v>
      </c>
      <c r="G1067">
        <v>1298.1273193</v>
      </c>
      <c r="H1067">
        <v>1284.4696045000001</v>
      </c>
      <c r="I1067">
        <v>1396.1691894999999</v>
      </c>
      <c r="J1067">
        <v>1376.7110596</v>
      </c>
      <c r="K1067">
        <v>0</v>
      </c>
      <c r="L1067">
        <v>2400</v>
      </c>
      <c r="M1067">
        <v>2400</v>
      </c>
      <c r="N1067">
        <v>0</v>
      </c>
    </row>
    <row r="1068" spans="1:14" x14ac:dyDescent="0.25">
      <c r="A1068">
        <v>608.192227</v>
      </c>
      <c r="B1068" s="1">
        <f>DATE(2011,12,30) + TIME(4,36,48)</f>
        <v>40907.19222222222</v>
      </c>
      <c r="C1068">
        <v>80</v>
      </c>
      <c r="D1068">
        <v>73.199089049999998</v>
      </c>
      <c r="E1068">
        <v>50</v>
      </c>
      <c r="F1068">
        <v>49.963745117000002</v>
      </c>
      <c r="G1068">
        <v>1297.9578856999999</v>
      </c>
      <c r="H1068">
        <v>1284.2353516000001</v>
      </c>
      <c r="I1068">
        <v>1396.1125488</v>
      </c>
      <c r="J1068">
        <v>1376.6628418</v>
      </c>
      <c r="K1068">
        <v>0</v>
      </c>
      <c r="L1068">
        <v>2400</v>
      </c>
      <c r="M1068">
        <v>2400</v>
      </c>
      <c r="N1068">
        <v>0</v>
      </c>
    </row>
    <row r="1069" spans="1:14" x14ac:dyDescent="0.25">
      <c r="A1069">
        <v>610</v>
      </c>
      <c r="B1069" s="1">
        <f>DATE(2012,1,1) + TIME(0,0,0)</f>
        <v>40909</v>
      </c>
      <c r="C1069">
        <v>80</v>
      </c>
      <c r="D1069">
        <v>73.048553467000005</v>
      </c>
      <c r="E1069">
        <v>50</v>
      </c>
      <c r="F1069">
        <v>49.963802338000001</v>
      </c>
      <c r="G1069">
        <v>1297.7828368999999</v>
      </c>
      <c r="H1069">
        <v>1283.9930420000001</v>
      </c>
      <c r="I1069">
        <v>1396.0563964999999</v>
      </c>
      <c r="J1069">
        <v>1376.6148682</v>
      </c>
      <c r="K1069">
        <v>0</v>
      </c>
      <c r="L1069">
        <v>2400</v>
      </c>
      <c r="M1069">
        <v>2400</v>
      </c>
      <c r="N1069">
        <v>0</v>
      </c>
    </row>
    <row r="1070" spans="1:14" x14ac:dyDescent="0.25">
      <c r="A1070">
        <v>611.93015200000002</v>
      </c>
      <c r="B1070" s="1">
        <f>DATE(2012,1,2) + TIME(22,19,25)</f>
        <v>40910.930150462962</v>
      </c>
      <c r="C1070">
        <v>80</v>
      </c>
      <c r="D1070">
        <v>72.899131775000001</v>
      </c>
      <c r="E1070">
        <v>50</v>
      </c>
      <c r="F1070">
        <v>49.963871001999998</v>
      </c>
      <c r="G1070">
        <v>1297.6097411999999</v>
      </c>
      <c r="H1070">
        <v>1283.7517089999999</v>
      </c>
      <c r="I1070">
        <v>1396.0035399999999</v>
      </c>
      <c r="J1070">
        <v>1376.5695800999999</v>
      </c>
      <c r="K1070">
        <v>0</v>
      </c>
      <c r="L1070">
        <v>2400</v>
      </c>
      <c r="M1070">
        <v>2400</v>
      </c>
      <c r="N1070">
        <v>0</v>
      </c>
    </row>
    <row r="1071" spans="1:14" x14ac:dyDescent="0.25">
      <c r="A1071">
        <v>613.92336899999998</v>
      </c>
      <c r="B1071" s="1">
        <f>DATE(2012,1,4) + TIME(22,9,39)</f>
        <v>40912.923368055555</v>
      </c>
      <c r="C1071">
        <v>80</v>
      </c>
      <c r="D1071">
        <v>72.745597838999998</v>
      </c>
      <c r="E1071">
        <v>50</v>
      </c>
      <c r="F1071">
        <v>49.963939666999998</v>
      </c>
      <c r="G1071">
        <v>1297.4255370999999</v>
      </c>
      <c r="H1071">
        <v>1283.4951172000001</v>
      </c>
      <c r="I1071">
        <v>1395.9492187999999</v>
      </c>
      <c r="J1071">
        <v>1376.5229492000001</v>
      </c>
      <c r="K1071">
        <v>0</v>
      </c>
      <c r="L1071">
        <v>2400</v>
      </c>
      <c r="M1071">
        <v>2400</v>
      </c>
      <c r="N1071">
        <v>0</v>
      </c>
    </row>
    <row r="1072" spans="1:14" x14ac:dyDescent="0.25">
      <c r="A1072">
        <v>615.95235600000001</v>
      </c>
      <c r="B1072" s="1">
        <f>DATE(2012,1,6) + TIME(22,51,23)</f>
        <v>40914.952349537038</v>
      </c>
      <c r="C1072">
        <v>80</v>
      </c>
      <c r="D1072">
        <v>72.588844299000002</v>
      </c>
      <c r="E1072">
        <v>50</v>
      </c>
      <c r="F1072">
        <v>49.964008331000002</v>
      </c>
      <c r="G1072">
        <v>1297.2330322</v>
      </c>
      <c r="H1072">
        <v>1283.2265625</v>
      </c>
      <c r="I1072">
        <v>1395.8947754000001</v>
      </c>
      <c r="J1072">
        <v>1376.4759521000001</v>
      </c>
      <c r="K1072">
        <v>0</v>
      </c>
      <c r="L1072">
        <v>2400</v>
      </c>
      <c r="M1072">
        <v>2400</v>
      </c>
      <c r="N1072">
        <v>0</v>
      </c>
    </row>
    <row r="1073" spans="1:14" x14ac:dyDescent="0.25">
      <c r="A1073">
        <v>618.02114500000005</v>
      </c>
      <c r="B1073" s="1">
        <f>DATE(2012,1,9) + TIME(0,30,26)</f>
        <v>40917.021134259259</v>
      </c>
      <c r="C1073">
        <v>80</v>
      </c>
      <c r="D1073">
        <v>72.429939270000006</v>
      </c>
      <c r="E1073">
        <v>50</v>
      </c>
      <c r="F1073">
        <v>49.964076996000003</v>
      </c>
      <c r="G1073">
        <v>1297.0343018000001</v>
      </c>
      <c r="H1073">
        <v>1282.9483643000001</v>
      </c>
      <c r="I1073">
        <v>1395.8406981999999</v>
      </c>
      <c r="J1073">
        <v>1376.4291992000001</v>
      </c>
      <c r="K1073">
        <v>0</v>
      </c>
      <c r="L1073">
        <v>2400</v>
      </c>
      <c r="M1073">
        <v>2400</v>
      </c>
      <c r="N1073">
        <v>0</v>
      </c>
    </row>
    <row r="1074" spans="1:14" x14ac:dyDescent="0.25">
      <c r="A1074">
        <v>620.133196</v>
      </c>
      <c r="B1074" s="1">
        <f>DATE(2012,1,11) + TIME(3,11,48)</f>
        <v>40919.133194444446</v>
      </c>
      <c r="C1074">
        <v>80</v>
      </c>
      <c r="D1074">
        <v>72.268898010000001</v>
      </c>
      <c r="E1074">
        <v>50</v>
      </c>
      <c r="F1074">
        <v>49.964149474999999</v>
      </c>
      <c r="G1074">
        <v>1296.8291016000001</v>
      </c>
      <c r="H1074">
        <v>1282.6606445</v>
      </c>
      <c r="I1074">
        <v>1395.7872314000001</v>
      </c>
      <c r="J1074">
        <v>1376.3826904</v>
      </c>
      <c r="K1074">
        <v>0</v>
      </c>
      <c r="L1074">
        <v>2400</v>
      </c>
      <c r="M1074">
        <v>2400</v>
      </c>
      <c r="N1074">
        <v>0</v>
      </c>
    </row>
    <row r="1075" spans="1:14" x14ac:dyDescent="0.25">
      <c r="A1075">
        <v>622.29181200000005</v>
      </c>
      <c r="B1075" s="1">
        <f>DATE(2012,1,13) + TIME(7,0,12)</f>
        <v>40921.291805555556</v>
      </c>
      <c r="C1075">
        <v>80</v>
      </c>
      <c r="D1075">
        <v>72.105461121000005</v>
      </c>
      <c r="E1075">
        <v>50</v>
      </c>
      <c r="F1075">
        <v>49.964225769000002</v>
      </c>
      <c r="G1075">
        <v>1296.6171875</v>
      </c>
      <c r="H1075">
        <v>1282.362793</v>
      </c>
      <c r="I1075">
        <v>1395.7340088000001</v>
      </c>
      <c r="J1075">
        <v>1376.3364257999999</v>
      </c>
      <c r="K1075">
        <v>0</v>
      </c>
      <c r="L1075">
        <v>2400</v>
      </c>
      <c r="M1075">
        <v>2400</v>
      </c>
      <c r="N1075">
        <v>0</v>
      </c>
    </row>
    <row r="1076" spans="1:14" x14ac:dyDescent="0.25">
      <c r="A1076">
        <v>624.47817199999997</v>
      </c>
      <c r="B1076" s="1">
        <f>DATE(2012,1,15) + TIME(11,28,34)</f>
        <v>40923.478171296294</v>
      </c>
      <c r="C1076">
        <v>80</v>
      </c>
      <c r="D1076">
        <v>71.939697265999996</v>
      </c>
      <c r="E1076">
        <v>50</v>
      </c>
      <c r="F1076">
        <v>49.964298247999999</v>
      </c>
      <c r="G1076">
        <v>1296.3984375</v>
      </c>
      <c r="H1076">
        <v>1282.0546875</v>
      </c>
      <c r="I1076">
        <v>1395.6811522999999</v>
      </c>
      <c r="J1076">
        <v>1376.2902832</v>
      </c>
      <c r="K1076">
        <v>0</v>
      </c>
      <c r="L1076">
        <v>2400</v>
      </c>
      <c r="M1076">
        <v>2400</v>
      </c>
      <c r="N1076">
        <v>0</v>
      </c>
    </row>
    <row r="1077" spans="1:14" x14ac:dyDescent="0.25">
      <c r="A1077">
        <v>626.69666900000004</v>
      </c>
      <c r="B1077" s="1">
        <f>DATE(2012,1,17) + TIME(16,43,12)</f>
        <v>40925.696666666663</v>
      </c>
      <c r="C1077">
        <v>80</v>
      </c>
      <c r="D1077">
        <v>71.772102356000005</v>
      </c>
      <c r="E1077">
        <v>50</v>
      </c>
      <c r="F1077">
        <v>49.964374542000002</v>
      </c>
      <c r="G1077">
        <v>1296.1740723</v>
      </c>
      <c r="H1077">
        <v>1281.7380370999999</v>
      </c>
      <c r="I1077">
        <v>1395.6289062000001</v>
      </c>
      <c r="J1077">
        <v>1376.2445068</v>
      </c>
      <c r="K1077">
        <v>0</v>
      </c>
      <c r="L1077">
        <v>2400</v>
      </c>
      <c r="M1077">
        <v>2400</v>
      </c>
      <c r="N1077">
        <v>0</v>
      </c>
    </row>
    <row r="1078" spans="1:14" x14ac:dyDescent="0.25">
      <c r="A1078">
        <v>628.95131800000001</v>
      </c>
      <c r="B1078" s="1">
        <f>DATE(2012,1,19) + TIME(22,49,53)</f>
        <v>40927.951307870368</v>
      </c>
      <c r="C1078">
        <v>80</v>
      </c>
      <c r="D1078">
        <v>71.602447510000005</v>
      </c>
      <c r="E1078">
        <v>50</v>
      </c>
      <c r="F1078">
        <v>49.964454650999997</v>
      </c>
      <c r="G1078">
        <v>1295.9439697</v>
      </c>
      <c r="H1078">
        <v>1281.4127197</v>
      </c>
      <c r="I1078">
        <v>1395.5772704999999</v>
      </c>
      <c r="J1078">
        <v>1376.1990966999999</v>
      </c>
      <c r="K1078">
        <v>0</v>
      </c>
      <c r="L1078">
        <v>2400</v>
      </c>
      <c r="M1078">
        <v>2400</v>
      </c>
      <c r="N1078">
        <v>0</v>
      </c>
    </row>
    <row r="1079" spans="1:14" x14ac:dyDescent="0.25">
      <c r="A1079">
        <v>631.246039</v>
      </c>
      <c r="B1079" s="1">
        <f>DATE(2012,1,22) + TIME(5,54,17)</f>
        <v>40930.246030092596</v>
      </c>
      <c r="C1079">
        <v>80</v>
      </c>
      <c r="D1079">
        <v>71.430282593000001</v>
      </c>
      <c r="E1079">
        <v>50</v>
      </c>
      <c r="F1079">
        <v>49.964530945</v>
      </c>
      <c r="G1079">
        <v>1295.7076416</v>
      </c>
      <c r="H1079">
        <v>1281.0780029</v>
      </c>
      <c r="I1079">
        <v>1395.5261230000001</v>
      </c>
      <c r="J1079">
        <v>1376.1539307</v>
      </c>
      <c r="K1079">
        <v>0</v>
      </c>
      <c r="L1079">
        <v>2400</v>
      </c>
      <c r="M1079">
        <v>2400</v>
      </c>
      <c r="N1079">
        <v>0</v>
      </c>
    </row>
    <row r="1080" spans="1:14" x14ac:dyDescent="0.25">
      <c r="A1080">
        <v>633.584699</v>
      </c>
      <c r="B1080" s="1">
        <f>DATE(2012,1,24) + TIME(14,1,57)</f>
        <v>40932.584687499999</v>
      </c>
      <c r="C1080">
        <v>80</v>
      </c>
      <c r="D1080">
        <v>71.255126953000001</v>
      </c>
      <c r="E1080">
        <v>50</v>
      </c>
      <c r="F1080">
        <v>49.964614867999998</v>
      </c>
      <c r="G1080">
        <v>1295.4648437999999</v>
      </c>
      <c r="H1080">
        <v>1280.7333983999999</v>
      </c>
      <c r="I1080">
        <v>1395.4752197</v>
      </c>
      <c r="J1080">
        <v>1376.1090088000001</v>
      </c>
      <c r="K1080">
        <v>0</v>
      </c>
      <c r="L1080">
        <v>2400</v>
      </c>
      <c r="M1080">
        <v>2400</v>
      </c>
      <c r="N1080">
        <v>0</v>
      </c>
    </row>
    <row r="1081" spans="1:14" x14ac:dyDescent="0.25">
      <c r="A1081">
        <v>635.96797300000003</v>
      </c>
      <c r="B1081" s="1">
        <f>DATE(2012,1,26) + TIME(23,13,52)</f>
        <v>40934.967962962961</v>
      </c>
      <c r="C1081">
        <v>80</v>
      </c>
      <c r="D1081">
        <v>71.076507567999997</v>
      </c>
      <c r="E1081">
        <v>50</v>
      </c>
      <c r="F1081">
        <v>49.964694977000001</v>
      </c>
      <c r="G1081">
        <v>1295.2149658000001</v>
      </c>
      <c r="H1081">
        <v>1280.3781738</v>
      </c>
      <c r="I1081">
        <v>1395.4246826000001</v>
      </c>
      <c r="J1081">
        <v>1376.0642089999999</v>
      </c>
      <c r="K1081">
        <v>0</v>
      </c>
      <c r="L1081">
        <v>2400</v>
      </c>
      <c r="M1081">
        <v>2400</v>
      </c>
      <c r="N1081">
        <v>0</v>
      </c>
    </row>
    <row r="1082" spans="1:14" x14ac:dyDescent="0.25">
      <c r="A1082">
        <v>638.38901399999997</v>
      </c>
      <c r="B1082" s="1">
        <f>DATE(2012,1,29) + TIME(9,20,10)</f>
        <v>40937.389004629629</v>
      </c>
      <c r="C1082">
        <v>80</v>
      </c>
      <c r="D1082">
        <v>70.894203185999999</v>
      </c>
      <c r="E1082">
        <v>50</v>
      </c>
      <c r="F1082">
        <v>49.964778899999999</v>
      </c>
      <c r="G1082">
        <v>1294.9578856999999</v>
      </c>
      <c r="H1082">
        <v>1280.012207</v>
      </c>
      <c r="I1082">
        <v>1395.3742675999999</v>
      </c>
      <c r="J1082">
        <v>1376.0194091999999</v>
      </c>
      <c r="K1082">
        <v>0</v>
      </c>
      <c r="L1082">
        <v>2400</v>
      </c>
      <c r="M1082">
        <v>2400</v>
      </c>
      <c r="N1082">
        <v>0</v>
      </c>
    </row>
    <row r="1083" spans="1:14" x14ac:dyDescent="0.25">
      <c r="A1083">
        <v>640.85213999999996</v>
      </c>
      <c r="B1083" s="1">
        <f>DATE(2012,1,31) + TIME(20,27,4)</f>
        <v>40939.852129629631</v>
      </c>
      <c r="C1083">
        <v>80</v>
      </c>
      <c r="D1083">
        <v>70.708122252999999</v>
      </c>
      <c r="E1083">
        <v>50</v>
      </c>
      <c r="F1083">
        <v>49.964862822999997</v>
      </c>
      <c r="G1083">
        <v>1294.6942139</v>
      </c>
      <c r="H1083">
        <v>1279.6361084</v>
      </c>
      <c r="I1083">
        <v>1395.3242187999999</v>
      </c>
      <c r="J1083">
        <v>1375.9747314000001</v>
      </c>
      <c r="K1083">
        <v>0</v>
      </c>
      <c r="L1083">
        <v>2400</v>
      </c>
      <c r="M1083">
        <v>2400</v>
      </c>
      <c r="N1083">
        <v>0</v>
      </c>
    </row>
    <row r="1084" spans="1:14" x14ac:dyDescent="0.25">
      <c r="A1084">
        <v>641</v>
      </c>
      <c r="B1084" s="1">
        <f>DATE(2012,2,1) + TIME(0,0,0)</f>
        <v>40940</v>
      </c>
      <c r="C1084">
        <v>80</v>
      </c>
      <c r="D1084">
        <v>70.666618346999996</v>
      </c>
      <c r="E1084">
        <v>50</v>
      </c>
      <c r="F1084">
        <v>49.964847564999999</v>
      </c>
      <c r="G1084">
        <v>1294.5166016000001</v>
      </c>
      <c r="H1084">
        <v>1279.3963623</v>
      </c>
      <c r="I1084">
        <v>1395.3032227000001</v>
      </c>
      <c r="J1084">
        <v>1375.9571533000001</v>
      </c>
      <c r="K1084">
        <v>0</v>
      </c>
      <c r="L1084">
        <v>2400</v>
      </c>
      <c r="M1084">
        <v>2400</v>
      </c>
      <c r="N1084">
        <v>0</v>
      </c>
    </row>
    <row r="1085" spans="1:14" x14ac:dyDescent="0.25">
      <c r="A1085">
        <v>643.50939900000003</v>
      </c>
      <c r="B1085" s="1">
        <f>DATE(2012,2,3) + TIME(12,13,32)</f>
        <v>40942.509398148148</v>
      </c>
      <c r="C1085">
        <v>80</v>
      </c>
      <c r="D1085">
        <v>70.499267578000001</v>
      </c>
      <c r="E1085">
        <v>50</v>
      </c>
      <c r="F1085">
        <v>49.964954376000001</v>
      </c>
      <c r="G1085">
        <v>1294.3991699000001</v>
      </c>
      <c r="H1085">
        <v>1279.2122803</v>
      </c>
      <c r="I1085">
        <v>1395.2701416</v>
      </c>
      <c r="J1085">
        <v>1375.9262695</v>
      </c>
      <c r="K1085">
        <v>0</v>
      </c>
      <c r="L1085">
        <v>2400</v>
      </c>
      <c r="M1085">
        <v>2400</v>
      </c>
      <c r="N1085">
        <v>0</v>
      </c>
    </row>
    <row r="1086" spans="1:14" x14ac:dyDescent="0.25">
      <c r="A1086">
        <v>646.07236599999999</v>
      </c>
      <c r="B1086" s="1">
        <f>DATE(2012,2,6) + TIME(1,44,12)</f>
        <v>40945.07236111111</v>
      </c>
      <c r="C1086">
        <v>80</v>
      </c>
      <c r="D1086">
        <v>70.309455872000001</v>
      </c>
      <c r="E1086">
        <v>50</v>
      </c>
      <c r="F1086">
        <v>49.965042113999999</v>
      </c>
      <c r="G1086">
        <v>1294.1270752</v>
      </c>
      <c r="H1086">
        <v>1278.8244629000001</v>
      </c>
      <c r="I1086">
        <v>1395.2218018000001</v>
      </c>
      <c r="J1086">
        <v>1375.8830565999999</v>
      </c>
      <c r="K1086">
        <v>0</v>
      </c>
      <c r="L1086">
        <v>2400</v>
      </c>
      <c r="M1086">
        <v>2400</v>
      </c>
      <c r="N1086">
        <v>0</v>
      </c>
    </row>
    <row r="1087" spans="1:14" x14ac:dyDescent="0.25">
      <c r="A1087">
        <v>648.69044899999994</v>
      </c>
      <c r="B1087" s="1">
        <f>DATE(2012,2,8) + TIME(16,34,14)</f>
        <v>40947.690439814818</v>
      </c>
      <c r="C1087">
        <v>80</v>
      </c>
      <c r="D1087">
        <v>70.109519958000007</v>
      </c>
      <c r="E1087">
        <v>50</v>
      </c>
      <c r="F1087">
        <v>49.965129851999997</v>
      </c>
      <c r="G1087">
        <v>1293.8414307</v>
      </c>
      <c r="H1087">
        <v>1278.4155272999999</v>
      </c>
      <c r="I1087">
        <v>1395.1723632999999</v>
      </c>
      <c r="J1087">
        <v>1375.838501</v>
      </c>
      <c r="K1087">
        <v>0</v>
      </c>
      <c r="L1087">
        <v>2400</v>
      </c>
      <c r="M1087">
        <v>2400</v>
      </c>
      <c r="N1087">
        <v>0</v>
      </c>
    </row>
    <row r="1088" spans="1:14" x14ac:dyDescent="0.25">
      <c r="A1088">
        <v>651.36472800000001</v>
      </c>
      <c r="B1088" s="1">
        <f>DATE(2012,2,11) + TIME(8,45,12)</f>
        <v>40950.364722222221</v>
      </c>
      <c r="C1088">
        <v>80</v>
      </c>
      <c r="D1088">
        <v>69.902290343999994</v>
      </c>
      <c r="E1088">
        <v>50</v>
      </c>
      <c r="F1088">
        <v>49.965221405000001</v>
      </c>
      <c r="G1088">
        <v>1293.5463867000001</v>
      </c>
      <c r="H1088">
        <v>1277.9919434000001</v>
      </c>
      <c r="I1088">
        <v>1395.1228027</v>
      </c>
      <c r="J1088">
        <v>1375.7938231999999</v>
      </c>
      <c r="K1088">
        <v>0</v>
      </c>
      <c r="L1088">
        <v>2400</v>
      </c>
      <c r="M1088">
        <v>2400</v>
      </c>
      <c r="N1088">
        <v>0</v>
      </c>
    </row>
    <row r="1089" spans="1:14" x14ac:dyDescent="0.25">
      <c r="A1089">
        <v>654.07566599999996</v>
      </c>
      <c r="B1089" s="1">
        <f>DATE(2012,2,14) + TIME(1,48,57)</f>
        <v>40953.075659722221</v>
      </c>
      <c r="C1089">
        <v>80</v>
      </c>
      <c r="D1089">
        <v>69.688079834000007</v>
      </c>
      <c r="E1089">
        <v>50</v>
      </c>
      <c r="F1089">
        <v>49.965312957999998</v>
      </c>
      <c r="G1089">
        <v>1293.2423096</v>
      </c>
      <c r="H1089">
        <v>1277.5548096</v>
      </c>
      <c r="I1089">
        <v>1395.0732422000001</v>
      </c>
      <c r="J1089">
        <v>1375.7490233999999</v>
      </c>
      <c r="K1089">
        <v>0</v>
      </c>
      <c r="L1089">
        <v>2400</v>
      </c>
      <c r="M1089">
        <v>2400</v>
      </c>
      <c r="N1089">
        <v>0</v>
      </c>
    </row>
    <row r="1090" spans="1:14" x14ac:dyDescent="0.25">
      <c r="A1090">
        <v>656.82811800000002</v>
      </c>
      <c r="B1090" s="1">
        <f>DATE(2012,2,16) + TIME(19,52,29)</f>
        <v>40955.828113425923</v>
      </c>
      <c r="C1090">
        <v>80</v>
      </c>
      <c r="D1090">
        <v>69.467582703000005</v>
      </c>
      <c r="E1090">
        <v>50</v>
      </c>
      <c r="F1090">
        <v>49.965404509999999</v>
      </c>
      <c r="G1090">
        <v>1292.9311522999999</v>
      </c>
      <c r="H1090">
        <v>1277.1064452999999</v>
      </c>
      <c r="I1090">
        <v>1395.0239257999999</v>
      </c>
      <c r="J1090">
        <v>1375.7042236</v>
      </c>
      <c r="K1090">
        <v>0</v>
      </c>
      <c r="L1090">
        <v>2400</v>
      </c>
      <c r="M1090">
        <v>2400</v>
      </c>
      <c r="N1090">
        <v>0</v>
      </c>
    </row>
    <row r="1091" spans="1:14" x14ac:dyDescent="0.25">
      <c r="A1091">
        <v>659.626486</v>
      </c>
      <c r="B1091" s="1">
        <f>DATE(2012,2,19) + TIME(15,2,8)</f>
        <v>40958.626481481479</v>
      </c>
      <c r="C1091">
        <v>80</v>
      </c>
      <c r="D1091">
        <v>69.240127563000001</v>
      </c>
      <c r="E1091">
        <v>50</v>
      </c>
      <c r="F1091">
        <v>49.965496063000003</v>
      </c>
      <c r="G1091">
        <v>1292.6126709</v>
      </c>
      <c r="H1091">
        <v>1276.6467285000001</v>
      </c>
      <c r="I1091">
        <v>1394.9748535000001</v>
      </c>
      <c r="J1091">
        <v>1375.6595459</v>
      </c>
      <c r="K1091">
        <v>0</v>
      </c>
      <c r="L1091">
        <v>2400</v>
      </c>
      <c r="M1091">
        <v>2400</v>
      </c>
      <c r="N1091">
        <v>0</v>
      </c>
    </row>
    <row r="1092" spans="1:14" x14ac:dyDescent="0.25">
      <c r="A1092">
        <v>662.47530700000004</v>
      </c>
      <c r="B1092" s="1">
        <f>DATE(2012,2,22) + TIME(11,24,26)</f>
        <v>40961.475300925929</v>
      </c>
      <c r="C1092">
        <v>80</v>
      </c>
      <c r="D1092">
        <v>69.004829407000003</v>
      </c>
      <c r="E1092">
        <v>50</v>
      </c>
      <c r="F1092">
        <v>49.965591431</v>
      </c>
      <c r="G1092">
        <v>1292.2863769999999</v>
      </c>
      <c r="H1092">
        <v>1276.1748047000001</v>
      </c>
      <c r="I1092">
        <v>1394.9257812000001</v>
      </c>
      <c r="J1092">
        <v>1375.6147461</v>
      </c>
      <c r="K1092">
        <v>0</v>
      </c>
      <c r="L1092">
        <v>2400</v>
      </c>
      <c r="M1092">
        <v>2400</v>
      </c>
      <c r="N1092">
        <v>0</v>
      </c>
    </row>
    <row r="1093" spans="1:14" x14ac:dyDescent="0.25">
      <c r="A1093">
        <v>665.37903900000003</v>
      </c>
      <c r="B1093" s="1">
        <f>DATE(2012,2,25) + TIME(9,5,48)</f>
        <v>40964.379027777781</v>
      </c>
      <c r="C1093">
        <v>80</v>
      </c>
      <c r="D1093">
        <v>68.760681152000004</v>
      </c>
      <c r="E1093">
        <v>50</v>
      </c>
      <c r="F1093">
        <v>49.965690613</v>
      </c>
      <c r="G1093">
        <v>1291.9516602000001</v>
      </c>
      <c r="H1093">
        <v>1275.6899414</v>
      </c>
      <c r="I1093">
        <v>1394.8767089999999</v>
      </c>
      <c r="J1093">
        <v>1375.5699463000001</v>
      </c>
      <c r="K1093">
        <v>0</v>
      </c>
      <c r="L1093">
        <v>2400</v>
      </c>
      <c r="M1093">
        <v>2400</v>
      </c>
      <c r="N1093">
        <v>0</v>
      </c>
    </row>
    <row r="1094" spans="1:14" x14ac:dyDescent="0.25">
      <c r="A1094">
        <v>668.34246399999995</v>
      </c>
      <c r="B1094" s="1">
        <f>DATE(2012,2,28) + TIME(8,13,8)</f>
        <v>40967.342453703706</v>
      </c>
      <c r="C1094">
        <v>80</v>
      </c>
      <c r="D1094">
        <v>68.506591796999999</v>
      </c>
      <c r="E1094">
        <v>50</v>
      </c>
      <c r="F1094">
        <v>49.96578598</v>
      </c>
      <c r="G1094">
        <v>1291.6080322</v>
      </c>
      <c r="H1094">
        <v>1275.1911620999999</v>
      </c>
      <c r="I1094">
        <v>1394.8275146000001</v>
      </c>
      <c r="J1094">
        <v>1375.5247803</v>
      </c>
      <c r="K1094">
        <v>0</v>
      </c>
      <c r="L1094">
        <v>2400</v>
      </c>
      <c r="M1094">
        <v>2400</v>
      </c>
      <c r="N1094">
        <v>0</v>
      </c>
    </row>
    <row r="1095" spans="1:14" x14ac:dyDescent="0.25">
      <c r="A1095">
        <v>670</v>
      </c>
      <c r="B1095" s="1">
        <f>DATE(2012,3,1) + TIME(0,0,0)</f>
        <v>40969</v>
      </c>
      <c r="C1095">
        <v>80</v>
      </c>
      <c r="D1095">
        <v>68.276741028000004</v>
      </c>
      <c r="E1095">
        <v>50</v>
      </c>
      <c r="F1095">
        <v>49.965831756999997</v>
      </c>
      <c r="G1095">
        <v>1291.2725829999999</v>
      </c>
      <c r="H1095">
        <v>1274.7109375</v>
      </c>
      <c r="I1095">
        <v>1394.7825928</v>
      </c>
      <c r="J1095">
        <v>1375.4837646000001</v>
      </c>
      <c r="K1095">
        <v>0</v>
      </c>
      <c r="L1095">
        <v>2400</v>
      </c>
      <c r="M1095">
        <v>2400</v>
      </c>
      <c r="N1095">
        <v>0</v>
      </c>
    </row>
    <row r="1096" spans="1:14" x14ac:dyDescent="0.25">
      <c r="A1096">
        <v>673.01677400000005</v>
      </c>
      <c r="B1096" s="1">
        <f>DATE(2012,3,4) + TIME(0,24,9)</f>
        <v>40972.016770833332</v>
      </c>
      <c r="C1096">
        <v>80</v>
      </c>
      <c r="D1096">
        <v>68.073989867999998</v>
      </c>
      <c r="E1096">
        <v>50</v>
      </c>
      <c r="F1096">
        <v>49.965942382999998</v>
      </c>
      <c r="G1096">
        <v>1291.0401611</v>
      </c>
      <c r="H1096">
        <v>1274.3560791</v>
      </c>
      <c r="I1096">
        <v>1394.7490233999999</v>
      </c>
      <c r="J1096">
        <v>1375.4525146000001</v>
      </c>
      <c r="K1096">
        <v>0</v>
      </c>
      <c r="L1096">
        <v>2400</v>
      </c>
      <c r="M1096">
        <v>2400</v>
      </c>
      <c r="N1096">
        <v>0</v>
      </c>
    </row>
    <row r="1097" spans="1:14" x14ac:dyDescent="0.25">
      <c r="A1097">
        <v>676.09764500000006</v>
      </c>
      <c r="B1097" s="1">
        <f>DATE(2012,3,7) + TIME(2,20,36)</f>
        <v>40975.097638888888</v>
      </c>
      <c r="C1097">
        <v>80</v>
      </c>
      <c r="D1097">
        <v>67.806648253999995</v>
      </c>
      <c r="E1097">
        <v>50</v>
      </c>
      <c r="F1097">
        <v>49.966041564999998</v>
      </c>
      <c r="G1097">
        <v>1290.6893310999999</v>
      </c>
      <c r="H1097">
        <v>1273.8508300999999</v>
      </c>
      <c r="I1097">
        <v>1394.7012939000001</v>
      </c>
      <c r="J1097">
        <v>1375.4084473</v>
      </c>
      <c r="K1097">
        <v>0</v>
      </c>
      <c r="L1097">
        <v>2400</v>
      </c>
      <c r="M1097">
        <v>2400</v>
      </c>
      <c r="N1097">
        <v>0</v>
      </c>
    </row>
    <row r="1098" spans="1:14" x14ac:dyDescent="0.25">
      <c r="A1098">
        <v>679.23384399999998</v>
      </c>
      <c r="B1098" s="1">
        <f>DATE(2012,3,10) + TIME(5,36,44)</f>
        <v>40978.233842592592</v>
      </c>
      <c r="C1098">
        <v>80</v>
      </c>
      <c r="D1098">
        <v>67.514762877999999</v>
      </c>
      <c r="E1098">
        <v>50</v>
      </c>
      <c r="F1098">
        <v>49.966140746999997</v>
      </c>
      <c r="G1098">
        <v>1290.3187256000001</v>
      </c>
      <c r="H1098">
        <v>1273.3101807</v>
      </c>
      <c r="I1098">
        <v>1394.6520995999999</v>
      </c>
      <c r="J1098">
        <v>1375.3629149999999</v>
      </c>
      <c r="K1098">
        <v>0</v>
      </c>
      <c r="L1098">
        <v>2400</v>
      </c>
      <c r="M1098">
        <v>2400</v>
      </c>
      <c r="N1098">
        <v>0</v>
      </c>
    </row>
    <row r="1099" spans="1:14" x14ac:dyDescent="0.25">
      <c r="A1099">
        <v>682.42602699999998</v>
      </c>
      <c r="B1099" s="1">
        <f>DATE(2012,3,13) + TIME(10,13,28)</f>
        <v>40981.426018518519</v>
      </c>
      <c r="C1099">
        <v>80</v>
      </c>
      <c r="D1099">
        <v>67.207458496000001</v>
      </c>
      <c r="E1099">
        <v>50</v>
      </c>
      <c r="F1099">
        <v>49.966243744000003</v>
      </c>
      <c r="G1099">
        <v>1289.9372559000001</v>
      </c>
      <c r="H1099">
        <v>1272.7510986</v>
      </c>
      <c r="I1099">
        <v>1394.6025391000001</v>
      </c>
      <c r="J1099">
        <v>1375.3170166</v>
      </c>
      <c r="K1099">
        <v>0</v>
      </c>
      <c r="L1099">
        <v>2400</v>
      </c>
      <c r="M1099">
        <v>2400</v>
      </c>
      <c r="N1099">
        <v>0</v>
      </c>
    </row>
    <row r="1100" spans="1:14" x14ac:dyDescent="0.25">
      <c r="A1100">
        <v>685.68035099999997</v>
      </c>
      <c r="B1100" s="1">
        <f>DATE(2012,3,16) + TIME(16,19,42)</f>
        <v>40984.680347222224</v>
      </c>
      <c r="C1100">
        <v>80</v>
      </c>
      <c r="D1100">
        <v>66.884986877000003</v>
      </c>
      <c r="E1100">
        <v>50</v>
      </c>
      <c r="F1100">
        <v>49.966346741000002</v>
      </c>
      <c r="G1100">
        <v>1289.5462646000001</v>
      </c>
      <c r="H1100">
        <v>1272.1765137</v>
      </c>
      <c r="I1100">
        <v>1394.5527344</v>
      </c>
      <c r="J1100">
        <v>1375.2706298999999</v>
      </c>
      <c r="K1100">
        <v>0</v>
      </c>
      <c r="L1100">
        <v>2400</v>
      </c>
      <c r="M1100">
        <v>2400</v>
      </c>
      <c r="N1100">
        <v>0</v>
      </c>
    </row>
    <row r="1101" spans="1:14" x14ac:dyDescent="0.25">
      <c r="A1101">
        <v>688.98979199999997</v>
      </c>
      <c r="B1101" s="1">
        <f>DATE(2012,3,19) + TIME(23,45,17)</f>
        <v>40987.98978009259</v>
      </c>
      <c r="C1101">
        <v>80</v>
      </c>
      <c r="D1101">
        <v>66.546585082999997</v>
      </c>
      <c r="E1101">
        <v>50</v>
      </c>
      <c r="F1101">
        <v>49.966453551999997</v>
      </c>
      <c r="G1101">
        <v>1289.145874</v>
      </c>
      <c r="H1101">
        <v>1271.5865478999999</v>
      </c>
      <c r="I1101">
        <v>1394.5025635</v>
      </c>
      <c r="J1101">
        <v>1375.2238769999999</v>
      </c>
      <c r="K1101">
        <v>0</v>
      </c>
      <c r="L1101">
        <v>2400</v>
      </c>
      <c r="M1101">
        <v>2400</v>
      </c>
      <c r="N1101">
        <v>0</v>
      </c>
    </row>
    <row r="1102" spans="1:14" x14ac:dyDescent="0.25">
      <c r="A1102">
        <v>692.34483799999998</v>
      </c>
      <c r="B1102" s="1">
        <f>DATE(2012,3,23) + TIME(8,16,33)</f>
        <v>40991.344826388886</v>
      </c>
      <c r="C1102">
        <v>80</v>
      </c>
      <c r="D1102">
        <v>66.191871642999999</v>
      </c>
      <c r="E1102">
        <v>50</v>
      </c>
      <c r="F1102">
        <v>49.966556549000003</v>
      </c>
      <c r="G1102">
        <v>1288.7369385</v>
      </c>
      <c r="H1102">
        <v>1270.9822998</v>
      </c>
      <c r="I1102">
        <v>1394.4521483999999</v>
      </c>
      <c r="J1102">
        <v>1375.1767577999999</v>
      </c>
      <c r="K1102">
        <v>0</v>
      </c>
      <c r="L1102">
        <v>2400</v>
      </c>
      <c r="M1102">
        <v>2400</v>
      </c>
      <c r="N1102">
        <v>0</v>
      </c>
    </row>
    <row r="1103" spans="1:14" x14ac:dyDescent="0.25">
      <c r="A1103">
        <v>695.75265100000001</v>
      </c>
      <c r="B1103" s="1">
        <f>DATE(2012,3,26) + TIME(18,3,49)</f>
        <v>40994.752650462964</v>
      </c>
      <c r="C1103">
        <v>80</v>
      </c>
      <c r="D1103">
        <v>65.820785521999994</v>
      </c>
      <c r="E1103">
        <v>50</v>
      </c>
      <c r="F1103">
        <v>49.966663361000002</v>
      </c>
      <c r="G1103">
        <v>1288.3206786999999</v>
      </c>
      <c r="H1103">
        <v>1270.3654785000001</v>
      </c>
      <c r="I1103">
        <v>1394.4014893000001</v>
      </c>
      <c r="J1103">
        <v>1375.1292725000001</v>
      </c>
      <c r="K1103">
        <v>0</v>
      </c>
      <c r="L1103">
        <v>2400</v>
      </c>
      <c r="M1103">
        <v>2400</v>
      </c>
      <c r="N1103">
        <v>0</v>
      </c>
    </row>
    <row r="1104" spans="1:14" x14ac:dyDescent="0.25">
      <c r="A1104">
        <v>699.22131999999999</v>
      </c>
      <c r="B1104" s="1">
        <f>DATE(2012,3,30) + TIME(5,18,42)</f>
        <v>40998.221319444441</v>
      </c>
      <c r="C1104">
        <v>80</v>
      </c>
      <c r="D1104">
        <v>65.431961060000006</v>
      </c>
      <c r="E1104">
        <v>50</v>
      </c>
      <c r="F1104">
        <v>49.966770171999997</v>
      </c>
      <c r="G1104">
        <v>1287.8967285000001</v>
      </c>
      <c r="H1104">
        <v>1269.7354736</v>
      </c>
      <c r="I1104">
        <v>1394.3504639</v>
      </c>
      <c r="J1104">
        <v>1375.0812988</v>
      </c>
      <c r="K1104">
        <v>0</v>
      </c>
      <c r="L1104">
        <v>2400</v>
      </c>
      <c r="M1104">
        <v>2400</v>
      </c>
      <c r="N1104">
        <v>0</v>
      </c>
    </row>
    <row r="1105" spans="1:14" x14ac:dyDescent="0.25">
      <c r="A1105">
        <v>701</v>
      </c>
      <c r="B1105" s="1">
        <f>DATE(2012,4,1) + TIME(0,0,0)</f>
        <v>41000</v>
      </c>
      <c r="C1105">
        <v>80</v>
      </c>
      <c r="D1105">
        <v>65.078697204999997</v>
      </c>
      <c r="E1105">
        <v>50</v>
      </c>
      <c r="F1105">
        <v>49.966815947999997</v>
      </c>
      <c r="G1105">
        <v>1287.4847411999999</v>
      </c>
      <c r="H1105">
        <v>1269.1352539</v>
      </c>
      <c r="I1105">
        <v>1394.3056641000001</v>
      </c>
      <c r="J1105">
        <v>1375.0394286999999</v>
      </c>
      <c r="K1105">
        <v>0</v>
      </c>
      <c r="L1105">
        <v>2400</v>
      </c>
      <c r="M1105">
        <v>2400</v>
      </c>
      <c r="N1105">
        <v>0</v>
      </c>
    </row>
    <row r="1106" spans="1:14" x14ac:dyDescent="0.25">
      <c r="A1106">
        <v>704.53795500000001</v>
      </c>
      <c r="B1106" s="1">
        <f>DATE(2012,4,4) + TIME(12,54,39)</f>
        <v>41003.537951388891</v>
      </c>
      <c r="C1106">
        <v>80</v>
      </c>
      <c r="D1106">
        <v>64.785598754999995</v>
      </c>
      <c r="E1106">
        <v>50</v>
      </c>
      <c r="F1106">
        <v>49.966938018999997</v>
      </c>
      <c r="G1106">
        <v>1287.2235106999999</v>
      </c>
      <c r="H1106">
        <v>1268.7182617000001</v>
      </c>
      <c r="I1106">
        <v>1394.2705077999999</v>
      </c>
      <c r="J1106">
        <v>1375.0058594</v>
      </c>
      <c r="K1106">
        <v>0</v>
      </c>
      <c r="L1106">
        <v>2400</v>
      </c>
      <c r="M1106">
        <v>2400</v>
      </c>
      <c r="N1106">
        <v>0</v>
      </c>
    </row>
    <row r="1107" spans="1:14" x14ac:dyDescent="0.25">
      <c r="A1107">
        <v>708.14808700000003</v>
      </c>
      <c r="B1107" s="1">
        <f>DATE(2012,4,8) + TIME(3,33,14)</f>
        <v>41007.148078703707</v>
      </c>
      <c r="C1107">
        <v>80</v>
      </c>
      <c r="D1107">
        <v>64.370941161999994</v>
      </c>
      <c r="E1107">
        <v>50</v>
      </c>
      <c r="F1107">
        <v>49.967044829999999</v>
      </c>
      <c r="G1107">
        <v>1286.7982178</v>
      </c>
      <c r="H1107">
        <v>1268.0916748</v>
      </c>
      <c r="I1107">
        <v>1394.2203368999999</v>
      </c>
      <c r="J1107">
        <v>1374.9584961</v>
      </c>
      <c r="K1107">
        <v>0</v>
      </c>
      <c r="L1107">
        <v>2400</v>
      </c>
      <c r="M1107">
        <v>2400</v>
      </c>
      <c r="N1107">
        <v>0</v>
      </c>
    </row>
    <row r="1108" spans="1:14" x14ac:dyDescent="0.25">
      <c r="A1108">
        <v>711.830962</v>
      </c>
      <c r="B1108" s="1">
        <f>DATE(2012,4,11) + TIME(19,56,35)</f>
        <v>41010.830960648149</v>
      </c>
      <c r="C1108">
        <v>80</v>
      </c>
      <c r="D1108">
        <v>63.917415619000003</v>
      </c>
      <c r="E1108">
        <v>50</v>
      </c>
      <c r="F1108">
        <v>49.967155456999997</v>
      </c>
      <c r="G1108">
        <v>1286.3516846</v>
      </c>
      <c r="H1108">
        <v>1267.4223632999999</v>
      </c>
      <c r="I1108">
        <v>1394.1680908000001</v>
      </c>
      <c r="J1108">
        <v>1374.9090576000001</v>
      </c>
      <c r="K1108">
        <v>0</v>
      </c>
      <c r="L1108">
        <v>2400</v>
      </c>
      <c r="M1108">
        <v>2400</v>
      </c>
      <c r="N1108">
        <v>0</v>
      </c>
    </row>
    <row r="1109" spans="1:14" x14ac:dyDescent="0.25">
      <c r="A1109">
        <v>715.58656199999996</v>
      </c>
      <c r="B1109" s="1">
        <f>DATE(2012,4,15) + TIME(14,4,38)</f>
        <v>41014.586550925924</v>
      </c>
      <c r="C1109">
        <v>80</v>
      </c>
      <c r="D1109">
        <v>63.439327239999997</v>
      </c>
      <c r="E1109">
        <v>50</v>
      </c>
      <c r="F1109">
        <v>49.967269897000001</v>
      </c>
      <c r="G1109">
        <v>1285.8948975000001</v>
      </c>
      <c r="H1109">
        <v>1266.7338867000001</v>
      </c>
      <c r="I1109">
        <v>1394.1148682</v>
      </c>
      <c r="J1109">
        <v>1374.8585204999999</v>
      </c>
      <c r="K1109">
        <v>0</v>
      </c>
      <c r="L1109">
        <v>2400</v>
      </c>
      <c r="M1109">
        <v>2400</v>
      </c>
      <c r="N1109">
        <v>0</v>
      </c>
    </row>
    <row r="1110" spans="1:14" x14ac:dyDescent="0.25">
      <c r="A1110">
        <v>719.41739800000005</v>
      </c>
      <c r="B1110" s="1">
        <f>DATE(2012,4,19) + TIME(10,1,3)</f>
        <v>41018.417395833334</v>
      </c>
      <c r="C1110">
        <v>80</v>
      </c>
      <c r="D1110">
        <v>62.938800811999997</v>
      </c>
      <c r="E1110">
        <v>50</v>
      </c>
      <c r="F1110">
        <v>49.967380523999999</v>
      </c>
      <c r="G1110">
        <v>1285.4302978999999</v>
      </c>
      <c r="H1110">
        <v>1266.0308838000001</v>
      </c>
      <c r="I1110">
        <v>1394.0607910000001</v>
      </c>
      <c r="J1110">
        <v>1374.8071289</v>
      </c>
      <c r="K1110">
        <v>0</v>
      </c>
      <c r="L1110">
        <v>2400</v>
      </c>
      <c r="M1110">
        <v>2400</v>
      </c>
      <c r="N1110">
        <v>0</v>
      </c>
    </row>
    <row r="1111" spans="1:14" x14ac:dyDescent="0.25">
      <c r="A1111">
        <v>723.29327699999999</v>
      </c>
      <c r="B1111" s="1">
        <f>DATE(2012,4,23) + TIME(7,2,19)</f>
        <v>41022.293275462966</v>
      </c>
      <c r="C1111">
        <v>80</v>
      </c>
      <c r="D1111">
        <v>62.416561127000001</v>
      </c>
      <c r="E1111">
        <v>50</v>
      </c>
      <c r="F1111">
        <v>49.967494965</v>
      </c>
      <c r="G1111">
        <v>1284.9589844</v>
      </c>
      <c r="H1111">
        <v>1265.3151855000001</v>
      </c>
      <c r="I1111">
        <v>1394.0058594</v>
      </c>
      <c r="J1111">
        <v>1374.7547606999999</v>
      </c>
      <c r="K1111">
        <v>0</v>
      </c>
      <c r="L1111">
        <v>2400</v>
      </c>
      <c r="M1111">
        <v>2400</v>
      </c>
      <c r="N1111">
        <v>0</v>
      </c>
    </row>
    <row r="1112" spans="1:14" x14ac:dyDescent="0.25">
      <c r="A1112">
        <v>727.24760200000003</v>
      </c>
      <c r="B1112" s="1">
        <f>DATE(2012,4,27) + TIME(5,56,32)</f>
        <v>41026.24759259259</v>
      </c>
      <c r="C1112">
        <v>80</v>
      </c>
      <c r="D1112">
        <v>61.875335692999997</v>
      </c>
      <c r="E1112">
        <v>50</v>
      </c>
      <c r="F1112">
        <v>49.967613219999997</v>
      </c>
      <c r="G1112">
        <v>1284.4847411999999</v>
      </c>
      <c r="H1112">
        <v>1264.5919189000001</v>
      </c>
      <c r="I1112">
        <v>1393.9503173999999</v>
      </c>
      <c r="J1112">
        <v>1374.7017822</v>
      </c>
      <c r="K1112">
        <v>0</v>
      </c>
      <c r="L1112">
        <v>2400</v>
      </c>
      <c r="M1112">
        <v>2400</v>
      </c>
      <c r="N1112">
        <v>0</v>
      </c>
    </row>
    <row r="1113" spans="1:14" x14ac:dyDescent="0.25">
      <c r="A1113">
        <v>731</v>
      </c>
      <c r="B1113" s="1">
        <f>DATE(2012,5,1) + TIME(0,0,0)</f>
        <v>41030</v>
      </c>
      <c r="C1113">
        <v>80</v>
      </c>
      <c r="D1113">
        <v>61.319244384999998</v>
      </c>
      <c r="E1113">
        <v>50</v>
      </c>
      <c r="F1113">
        <v>49.967720032000003</v>
      </c>
      <c r="G1113">
        <v>1284.0072021000001</v>
      </c>
      <c r="H1113">
        <v>1263.8626709</v>
      </c>
      <c r="I1113">
        <v>1393.8946533000001</v>
      </c>
      <c r="J1113">
        <v>1374.6485596</v>
      </c>
      <c r="K1113">
        <v>0</v>
      </c>
      <c r="L1113">
        <v>2400</v>
      </c>
      <c r="M1113">
        <v>2400</v>
      </c>
      <c r="N1113">
        <v>0</v>
      </c>
    </row>
    <row r="1114" spans="1:14" x14ac:dyDescent="0.25">
      <c r="A1114">
        <v>731.000001</v>
      </c>
      <c r="B1114" s="1">
        <f>DATE(2012,5,1) + TIME(0,0,0)</f>
        <v>41030</v>
      </c>
      <c r="C1114">
        <v>80</v>
      </c>
      <c r="D1114">
        <v>61.319301605</v>
      </c>
      <c r="E1114">
        <v>50</v>
      </c>
      <c r="F1114">
        <v>49.967704773000001</v>
      </c>
      <c r="G1114">
        <v>1304.3032227000001</v>
      </c>
      <c r="H1114">
        <v>1284.0195312000001</v>
      </c>
      <c r="I1114">
        <v>1374.6386719</v>
      </c>
      <c r="J1114">
        <v>1355.5433350000001</v>
      </c>
      <c r="K1114">
        <v>2400</v>
      </c>
      <c r="L1114">
        <v>0</v>
      </c>
      <c r="M1114">
        <v>0</v>
      </c>
      <c r="N1114">
        <v>2400</v>
      </c>
    </row>
    <row r="1115" spans="1:14" x14ac:dyDescent="0.25">
      <c r="A1115">
        <v>731.00000399999999</v>
      </c>
      <c r="B1115" s="1">
        <f>DATE(2012,5,1) + TIME(0,0,0)</f>
        <v>41030</v>
      </c>
      <c r="C1115">
        <v>80</v>
      </c>
      <c r="D1115">
        <v>61.319469452</v>
      </c>
      <c r="E1115">
        <v>50</v>
      </c>
      <c r="F1115">
        <v>49.967655182000001</v>
      </c>
      <c r="G1115">
        <v>1304.3341064000001</v>
      </c>
      <c r="H1115">
        <v>1284.0565185999999</v>
      </c>
      <c r="I1115">
        <v>1374.6092529</v>
      </c>
      <c r="J1115">
        <v>1355.5139160000001</v>
      </c>
      <c r="K1115">
        <v>2400</v>
      </c>
      <c r="L1115">
        <v>0</v>
      </c>
      <c r="M1115">
        <v>0</v>
      </c>
      <c r="N1115">
        <v>2400</v>
      </c>
    </row>
    <row r="1116" spans="1:14" x14ac:dyDescent="0.25">
      <c r="A1116">
        <v>731.00001299999997</v>
      </c>
      <c r="B1116" s="1">
        <f>DATE(2012,5,1) + TIME(0,0,1)</f>
        <v>41030.000011574077</v>
      </c>
      <c r="C1116">
        <v>80</v>
      </c>
      <c r="D1116">
        <v>61.319969176999997</v>
      </c>
      <c r="E1116">
        <v>50</v>
      </c>
      <c r="F1116">
        <v>49.967517852999997</v>
      </c>
      <c r="G1116">
        <v>1304.4265137</v>
      </c>
      <c r="H1116">
        <v>1284.1671143000001</v>
      </c>
      <c r="I1116">
        <v>1374.5213623</v>
      </c>
      <c r="J1116">
        <v>1355.4259033000001</v>
      </c>
      <c r="K1116">
        <v>2400</v>
      </c>
      <c r="L1116">
        <v>0</v>
      </c>
      <c r="M1116">
        <v>0</v>
      </c>
      <c r="N1116">
        <v>2400</v>
      </c>
    </row>
    <row r="1117" spans="1:14" x14ac:dyDescent="0.25">
      <c r="A1117">
        <v>731.00004000000001</v>
      </c>
      <c r="B1117" s="1">
        <f>DATE(2012,5,1) + TIME(0,0,3)</f>
        <v>41030.000034722223</v>
      </c>
      <c r="C1117">
        <v>80</v>
      </c>
      <c r="D1117">
        <v>61.321464538999997</v>
      </c>
      <c r="E1117">
        <v>50</v>
      </c>
      <c r="F1117">
        <v>49.967102050999998</v>
      </c>
      <c r="G1117">
        <v>1304.6998291</v>
      </c>
      <c r="H1117">
        <v>1284.4934082</v>
      </c>
      <c r="I1117">
        <v>1374.2608643000001</v>
      </c>
      <c r="J1117">
        <v>1355.1651611</v>
      </c>
      <c r="K1117">
        <v>2400</v>
      </c>
      <c r="L1117">
        <v>0</v>
      </c>
      <c r="M1117">
        <v>0</v>
      </c>
      <c r="N1117">
        <v>2400</v>
      </c>
    </row>
    <row r="1118" spans="1:14" x14ac:dyDescent="0.25">
      <c r="A1118">
        <v>731.00012100000004</v>
      </c>
      <c r="B1118" s="1">
        <f>DATE(2012,5,1) + TIME(0,0,10)</f>
        <v>41030.000115740739</v>
      </c>
      <c r="C1118">
        <v>80</v>
      </c>
      <c r="D1118">
        <v>61.325836182000003</v>
      </c>
      <c r="E1118">
        <v>50</v>
      </c>
      <c r="F1118">
        <v>49.965908051</v>
      </c>
      <c r="G1118">
        <v>1305.4886475000001</v>
      </c>
      <c r="H1118">
        <v>1285.4282227000001</v>
      </c>
      <c r="I1118">
        <v>1373.5079346</v>
      </c>
      <c r="J1118">
        <v>1354.411499</v>
      </c>
      <c r="K1118">
        <v>2400</v>
      </c>
      <c r="L1118">
        <v>0</v>
      </c>
      <c r="M1118">
        <v>0</v>
      </c>
      <c r="N1118">
        <v>2400</v>
      </c>
    </row>
    <row r="1119" spans="1:14" x14ac:dyDescent="0.25">
      <c r="A1119">
        <v>731.00036399999999</v>
      </c>
      <c r="B1119" s="1">
        <f>DATE(2012,5,1) + TIME(0,0,31)</f>
        <v>41030.000358796293</v>
      </c>
      <c r="C1119">
        <v>80</v>
      </c>
      <c r="D1119">
        <v>61.338146209999998</v>
      </c>
      <c r="E1119">
        <v>50</v>
      </c>
      <c r="F1119">
        <v>49.962677002</v>
      </c>
      <c r="G1119">
        <v>1307.6136475000001</v>
      </c>
      <c r="H1119">
        <v>1287.8963623</v>
      </c>
      <c r="I1119">
        <v>1371.4704589999999</v>
      </c>
      <c r="J1119">
        <v>1352.3724365</v>
      </c>
      <c r="K1119">
        <v>2400</v>
      </c>
      <c r="L1119">
        <v>0</v>
      </c>
      <c r="M1119">
        <v>0</v>
      </c>
      <c r="N1119">
        <v>2400</v>
      </c>
    </row>
    <row r="1120" spans="1:14" x14ac:dyDescent="0.25">
      <c r="A1120">
        <v>731.00109299999997</v>
      </c>
      <c r="B1120" s="1">
        <f>DATE(2012,5,1) + TIME(0,1,34)</f>
        <v>41030.001087962963</v>
      </c>
      <c r="C1120">
        <v>80</v>
      </c>
      <c r="D1120">
        <v>61.370433806999998</v>
      </c>
      <c r="E1120">
        <v>50</v>
      </c>
      <c r="F1120">
        <v>49.955196381</v>
      </c>
      <c r="G1120">
        <v>1312.5015868999999</v>
      </c>
      <c r="H1120">
        <v>1293.3255615</v>
      </c>
      <c r="I1120">
        <v>1366.7595214999999</v>
      </c>
      <c r="J1120">
        <v>1347.6582031</v>
      </c>
      <c r="K1120">
        <v>2400</v>
      </c>
      <c r="L1120">
        <v>0</v>
      </c>
      <c r="M1120">
        <v>0</v>
      </c>
      <c r="N1120">
        <v>2400</v>
      </c>
    </row>
    <row r="1121" spans="1:14" x14ac:dyDescent="0.25">
      <c r="A1121">
        <v>731.00328000000002</v>
      </c>
      <c r="B1121" s="1">
        <f>DATE(2012,5,1) + TIME(0,4,43)</f>
        <v>41030.003275462965</v>
      </c>
      <c r="C1121">
        <v>80</v>
      </c>
      <c r="D1121">
        <v>61.450389862000002</v>
      </c>
      <c r="E1121">
        <v>50</v>
      </c>
      <c r="F1121">
        <v>49.942039489999999</v>
      </c>
      <c r="G1121">
        <v>1321.0433350000001</v>
      </c>
      <c r="H1121">
        <v>1302.2143555</v>
      </c>
      <c r="I1121">
        <v>1358.5258789</v>
      </c>
      <c r="J1121">
        <v>1339.4212646000001</v>
      </c>
      <c r="K1121">
        <v>2400</v>
      </c>
      <c r="L1121">
        <v>0</v>
      </c>
      <c r="M1121">
        <v>0</v>
      </c>
      <c r="N1121">
        <v>2400</v>
      </c>
    </row>
    <row r="1122" spans="1:14" x14ac:dyDescent="0.25">
      <c r="A1122">
        <v>731.00984100000005</v>
      </c>
      <c r="B1122" s="1">
        <f>DATE(2012,5,1) + TIME(0,14,10)</f>
        <v>41030.009837962964</v>
      </c>
      <c r="C1122">
        <v>80</v>
      </c>
      <c r="D1122">
        <v>61.654418945000003</v>
      </c>
      <c r="E1122">
        <v>50</v>
      </c>
      <c r="F1122">
        <v>49.924911498999997</v>
      </c>
      <c r="G1122">
        <v>1331.942749</v>
      </c>
      <c r="H1122">
        <v>1313.0449219</v>
      </c>
      <c r="I1122">
        <v>1348.0737305</v>
      </c>
      <c r="J1122">
        <v>1328.9680175999999</v>
      </c>
      <c r="K1122">
        <v>2400</v>
      </c>
      <c r="L1122">
        <v>0</v>
      </c>
      <c r="M1122">
        <v>0</v>
      </c>
      <c r="N1122">
        <v>2400</v>
      </c>
    </row>
    <row r="1123" spans="1:14" x14ac:dyDescent="0.25">
      <c r="A1123">
        <v>731.02952400000004</v>
      </c>
      <c r="B1123" s="1">
        <f>DATE(2012,5,1) + TIME(0,42,30)</f>
        <v>41030.029513888891</v>
      </c>
      <c r="C1123">
        <v>80</v>
      </c>
      <c r="D1123">
        <v>62.210140228</v>
      </c>
      <c r="E1123">
        <v>50</v>
      </c>
      <c r="F1123">
        <v>49.905727386000002</v>
      </c>
      <c r="G1123">
        <v>1343.3067627</v>
      </c>
      <c r="H1123">
        <v>1324.2817382999999</v>
      </c>
      <c r="I1123">
        <v>1337.1340332</v>
      </c>
      <c r="J1123">
        <v>1318.0285644999999</v>
      </c>
      <c r="K1123">
        <v>2400</v>
      </c>
      <c r="L1123">
        <v>0</v>
      </c>
      <c r="M1123">
        <v>0</v>
      </c>
      <c r="N1123">
        <v>2400</v>
      </c>
    </row>
    <row r="1124" spans="1:14" x14ac:dyDescent="0.25">
      <c r="A1124">
        <v>731.05224799999996</v>
      </c>
      <c r="B1124" s="1">
        <f>DATE(2012,5,1) + TIME(1,15,14)</f>
        <v>41030.052245370367</v>
      </c>
      <c r="C1124">
        <v>80</v>
      </c>
      <c r="D1124">
        <v>62.820838928000001</v>
      </c>
      <c r="E1124">
        <v>50</v>
      </c>
      <c r="F1124">
        <v>49.893432617000002</v>
      </c>
      <c r="G1124">
        <v>1349.7843018000001</v>
      </c>
      <c r="H1124">
        <v>1330.7442627</v>
      </c>
      <c r="I1124">
        <v>1330.8342285000001</v>
      </c>
      <c r="J1124">
        <v>1311.7281493999999</v>
      </c>
      <c r="K1124">
        <v>2400</v>
      </c>
      <c r="L1124">
        <v>0</v>
      </c>
      <c r="M1124">
        <v>0</v>
      </c>
      <c r="N1124">
        <v>2400</v>
      </c>
    </row>
    <row r="1125" spans="1:14" x14ac:dyDescent="0.25">
      <c r="A1125">
        <v>731.07586200000003</v>
      </c>
      <c r="B1125" s="1">
        <f>DATE(2012,5,1) + TIME(1,49,14)</f>
        <v>41030.075856481482</v>
      </c>
      <c r="C1125">
        <v>80</v>
      </c>
      <c r="D1125">
        <v>63.431209564</v>
      </c>
      <c r="E1125">
        <v>50</v>
      </c>
      <c r="F1125">
        <v>49.884399414000001</v>
      </c>
      <c r="G1125">
        <v>1353.9737548999999</v>
      </c>
      <c r="H1125">
        <v>1334.9766846</v>
      </c>
      <c r="I1125">
        <v>1326.7073975000001</v>
      </c>
      <c r="J1125">
        <v>1307.6000977000001</v>
      </c>
      <c r="K1125">
        <v>2400</v>
      </c>
      <c r="L1125">
        <v>0</v>
      </c>
      <c r="M1125">
        <v>0</v>
      </c>
      <c r="N1125">
        <v>2400</v>
      </c>
    </row>
    <row r="1126" spans="1:14" x14ac:dyDescent="0.25">
      <c r="A1126">
        <v>731.100188</v>
      </c>
      <c r="B1126" s="1">
        <f>DATE(2012,5,1) + TIME(2,24,16)</f>
        <v>41030.100185185183</v>
      </c>
      <c r="C1126">
        <v>80</v>
      </c>
      <c r="D1126">
        <v>64.037124633999994</v>
      </c>
      <c r="E1126">
        <v>50</v>
      </c>
      <c r="F1126">
        <v>49.876960754000002</v>
      </c>
      <c r="G1126">
        <v>1357.0258789</v>
      </c>
      <c r="H1126">
        <v>1338.1031493999999</v>
      </c>
      <c r="I1126">
        <v>1323.6628418</v>
      </c>
      <c r="J1126">
        <v>1304.5534668</v>
      </c>
      <c r="K1126">
        <v>2400</v>
      </c>
      <c r="L1126">
        <v>0</v>
      </c>
      <c r="M1126">
        <v>0</v>
      </c>
      <c r="N1126">
        <v>2400</v>
      </c>
    </row>
    <row r="1127" spans="1:14" x14ac:dyDescent="0.25">
      <c r="A1127">
        <v>731.12516000000005</v>
      </c>
      <c r="B1127" s="1">
        <f>DATE(2012,5,1) + TIME(3,0,13)</f>
        <v>41030.125150462962</v>
      </c>
      <c r="C1127">
        <v>80</v>
      </c>
      <c r="D1127">
        <v>64.636306762999993</v>
      </c>
      <c r="E1127">
        <v>50</v>
      </c>
      <c r="F1127">
        <v>49.870426178000002</v>
      </c>
      <c r="G1127">
        <v>1359.4169922000001</v>
      </c>
      <c r="H1127">
        <v>1340.5874022999999</v>
      </c>
      <c r="I1127">
        <v>1321.2489014</v>
      </c>
      <c r="J1127">
        <v>1302.1369629000001</v>
      </c>
      <c r="K1127">
        <v>2400</v>
      </c>
      <c r="L1127">
        <v>0</v>
      </c>
      <c r="M1127">
        <v>0</v>
      </c>
      <c r="N1127">
        <v>2400</v>
      </c>
    </row>
    <row r="1128" spans="1:14" x14ac:dyDescent="0.25">
      <c r="A1128">
        <v>731.15074500000003</v>
      </c>
      <c r="B1128" s="1">
        <f>DATE(2012,5,1) + TIME(3,37,4)</f>
        <v>41030.150740740741</v>
      </c>
      <c r="C1128">
        <v>80</v>
      </c>
      <c r="D1128">
        <v>65.227279663000004</v>
      </c>
      <c r="E1128">
        <v>50</v>
      </c>
      <c r="F1128">
        <v>49.864463806000003</v>
      </c>
      <c r="G1128">
        <v>1361.3815918</v>
      </c>
      <c r="H1128">
        <v>1342.6567382999999</v>
      </c>
      <c r="I1128">
        <v>1319.2425536999999</v>
      </c>
      <c r="J1128">
        <v>1300.1275635</v>
      </c>
      <c r="K1128">
        <v>2400</v>
      </c>
      <c r="L1128">
        <v>0</v>
      </c>
      <c r="M1128">
        <v>0</v>
      </c>
      <c r="N1128">
        <v>2400</v>
      </c>
    </row>
    <row r="1129" spans="1:14" x14ac:dyDescent="0.25">
      <c r="A1129">
        <v>731.17692999999997</v>
      </c>
      <c r="B1129" s="1">
        <f>DATE(2012,5,1) + TIME(4,14,46)</f>
        <v>41030.176921296297</v>
      </c>
      <c r="C1129">
        <v>80</v>
      </c>
      <c r="D1129">
        <v>65.808959960999999</v>
      </c>
      <c r="E1129">
        <v>50</v>
      </c>
      <c r="F1129">
        <v>49.858879088999998</v>
      </c>
      <c r="G1129">
        <v>1363.0500488</v>
      </c>
      <c r="H1129">
        <v>1344.4371338000001</v>
      </c>
      <c r="I1129">
        <v>1317.5189209</v>
      </c>
      <c r="J1129">
        <v>1298.4006348</v>
      </c>
      <c r="K1129">
        <v>2400</v>
      </c>
      <c r="L1129">
        <v>0</v>
      </c>
      <c r="M1129">
        <v>0</v>
      </c>
      <c r="N1129">
        <v>2400</v>
      </c>
    </row>
    <row r="1130" spans="1:14" x14ac:dyDescent="0.25">
      <c r="A1130">
        <v>731.20371499999999</v>
      </c>
      <c r="B1130" s="1">
        <f>DATE(2012,5,1) + TIME(4,53,21)</f>
        <v>41030.203715277778</v>
      </c>
      <c r="C1130">
        <v>80</v>
      </c>
      <c r="D1130">
        <v>66.380470275999997</v>
      </c>
      <c r="E1130">
        <v>50</v>
      </c>
      <c r="F1130">
        <v>49.853557586999997</v>
      </c>
      <c r="G1130">
        <v>1364.5014647999999</v>
      </c>
      <c r="H1130">
        <v>1346.0048827999999</v>
      </c>
      <c r="I1130">
        <v>1316.0020752</v>
      </c>
      <c r="J1130">
        <v>1296.880249</v>
      </c>
      <c r="K1130">
        <v>2400</v>
      </c>
      <c r="L1130">
        <v>0</v>
      </c>
      <c r="M1130">
        <v>0</v>
      </c>
      <c r="N1130">
        <v>2400</v>
      </c>
    </row>
    <row r="1131" spans="1:14" x14ac:dyDescent="0.25">
      <c r="A1131">
        <v>731.23110399999996</v>
      </c>
      <c r="B1131" s="1">
        <f>DATE(2012,5,1) + TIME(5,32,47)</f>
        <v>41030.231099537035</v>
      </c>
      <c r="C1131">
        <v>80</v>
      </c>
      <c r="D1131">
        <v>66.941192627000007</v>
      </c>
      <c r="E1131">
        <v>50</v>
      </c>
      <c r="F1131">
        <v>49.848423003999997</v>
      </c>
      <c r="G1131">
        <v>1365.7874756000001</v>
      </c>
      <c r="H1131">
        <v>1347.4091797000001</v>
      </c>
      <c r="I1131">
        <v>1314.6423339999999</v>
      </c>
      <c r="J1131">
        <v>1295.5170897999999</v>
      </c>
      <c r="K1131">
        <v>2400</v>
      </c>
      <c r="L1131">
        <v>0</v>
      </c>
      <c r="M1131">
        <v>0</v>
      </c>
      <c r="N1131">
        <v>2400</v>
      </c>
    </row>
    <row r="1132" spans="1:14" x14ac:dyDescent="0.25">
      <c r="A1132">
        <v>731.25910799999997</v>
      </c>
      <c r="B1132" s="1">
        <f>DATE(2012,5,1) + TIME(6,13,6)</f>
        <v>41030.259097222224</v>
      </c>
      <c r="C1132">
        <v>80</v>
      </c>
      <c r="D1132">
        <v>67.490684509000005</v>
      </c>
      <c r="E1132">
        <v>50</v>
      </c>
      <c r="F1132">
        <v>49.843421935999999</v>
      </c>
      <c r="G1132">
        <v>1366.9432373</v>
      </c>
      <c r="H1132">
        <v>1348.6837158000001</v>
      </c>
      <c r="I1132">
        <v>1313.4060059000001</v>
      </c>
      <c r="J1132">
        <v>1294.2774658000001</v>
      </c>
      <c r="K1132">
        <v>2400</v>
      </c>
      <c r="L1132">
        <v>0</v>
      </c>
      <c r="M1132">
        <v>0</v>
      </c>
      <c r="N1132">
        <v>2400</v>
      </c>
    </row>
    <row r="1133" spans="1:14" x14ac:dyDescent="0.25">
      <c r="A1133">
        <v>731.28774299999998</v>
      </c>
      <c r="B1133" s="1">
        <f>DATE(2012,5,1) + TIME(6,54,20)</f>
        <v>41030.287731481483</v>
      </c>
      <c r="C1133">
        <v>80</v>
      </c>
      <c r="D1133">
        <v>68.028640746999997</v>
      </c>
      <c r="E1133">
        <v>50</v>
      </c>
      <c r="F1133">
        <v>49.83852005</v>
      </c>
      <c r="G1133">
        <v>1367.9937743999999</v>
      </c>
      <c r="H1133">
        <v>1349.8525391000001</v>
      </c>
      <c r="I1133">
        <v>1312.2694091999999</v>
      </c>
      <c r="J1133">
        <v>1293.1376952999999</v>
      </c>
      <c r="K1133">
        <v>2400</v>
      </c>
      <c r="L1133">
        <v>0</v>
      </c>
      <c r="M1133">
        <v>0</v>
      </c>
      <c r="N1133">
        <v>2400</v>
      </c>
    </row>
    <row r="1134" spans="1:14" x14ac:dyDescent="0.25">
      <c r="A1134">
        <v>731.31703100000004</v>
      </c>
      <c r="B1134" s="1">
        <f>DATE(2012,5,1) + TIME(7,36,31)</f>
        <v>41030.317025462966</v>
      </c>
      <c r="C1134">
        <v>80</v>
      </c>
      <c r="D1134">
        <v>68.554847717000001</v>
      </c>
      <c r="E1134">
        <v>50</v>
      </c>
      <c r="F1134">
        <v>49.833683014000002</v>
      </c>
      <c r="G1134">
        <v>1368.9572754000001</v>
      </c>
      <c r="H1134">
        <v>1350.9332274999999</v>
      </c>
      <c r="I1134">
        <v>1311.2148437999999</v>
      </c>
      <c r="J1134">
        <v>1292.0802002</v>
      </c>
      <c r="K1134">
        <v>2400</v>
      </c>
      <c r="L1134">
        <v>0</v>
      </c>
      <c r="M1134">
        <v>0</v>
      </c>
      <c r="N1134">
        <v>2400</v>
      </c>
    </row>
    <row r="1135" spans="1:14" x14ac:dyDescent="0.25">
      <c r="A1135">
        <v>731.346994</v>
      </c>
      <c r="B1135" s="1">
        <f>DATE(2012,5,1) + TIME(8,19,40)</f>
        <v>41030.346990740742</v>
      </c>
      <c r="C1135">
        <v>80</v>
      </c>
      <c r="D1135">
        <v>69.069114685000002</v>
      </c>
      <c r="E1135">
        <v>50</v>
      </c>
      <c r="F1135">
        <v>49.828891753999997</v>
      </c>
      <c r="G1135">
        <v>1369.8479004000001</v>
      </c>
      <c r="H1135">
        <v>1351.9390868999999</v>
      </c>
      <c r="I1135">
        <v>1310.2293701000001</v>
      </c>
      <c r="J1135">
        <v>1291.0920410000001</v>
      </c>
      <c r="K1135">
        <v>2400</v>
      </c>
      <c r="L1135">
        <v>0</v>
      </c>
      <c r="M1135">
        <v>0</v>
      </c>
      <c r="N1135">
        <v>2400</v>
      </c>
    </row>
    <row r="1136" spans="1:14" x14ac:dyDescent="0.25">
      <c r="A1136">
        <v>731.377658</v>
      </c>
      <c r="B1136" s="1">
        <f>DATE(2012,5,1) + TIME(9,3,49)</f>
        <v>41030.377650462964</v>
      </c>
      <c r="C1136">
        <v>80</v>
      </c>
      <c r="D1136">
        <v>69.571296692000004</v>
      </c>
      <c r="E1136">
        <v>50</v>
      </c>
      <c r="F1136">
        <v>49.824127197000003</v>
      </c>
      <c r="G1136">
        <v>1370.6761475000001</v>
      </c>
      <c r="H1136">
        <v>1352.8804932</v>
      </c>
      <c r="I1136">
        <v>1309.3029785000001</v>
      </c>
      <c r="J1136">
        <v>1290.1632079999999</v>
      </c>
      <c r="K1136">
        <v>2400</v>
      </c>
      <c r="L1136">
        <v>0</v>
      </c>
      <c r="M1136">
        <v>0</v>
      </c>
      <c r="N1136">
        <v>2400</v>
      </c>
    </row>
    <row r="1137" spans="1:14" x14ac:dyDescent="0.25">
      <c r="A1137">
        <v>731.40903000000003</v>
      </c>
      <c r="B1137" s="1">
        <f>DATE(2012,5,1) + TIME(9,49,0)</f>
        <v>41030.40902777778</v>
      </c>
      <c r="C1137">
        <v>80</v>
      </c>
      <c r="D1137">
        <v>70.060928344999994</v>
      </c>
      <c r="E1137">
        <v>50</v>
      </c>
      <c r="F1137">
        <v>49.819381714000002</v>
      </c>
      <c r="G1137">
        <v>1371.4500731999999</v>
      </c>
      <c r="H1137">
        <v>1353.7650146000001</v>
      </c>
      <c r="I1137">
        <v>1308.4284668</v>
      </c>
      <c r="J1137">
        <v>1289.2862548999999</v>
      </c>
      <c r="K1137">
        <v>2400</v>
      </c>
      <c r="L1137">
        <v>0</v>
      </c>
      <c r="M1137">
        <v>0</v>
      </c>
      <c r="N1137">
        <v>2400</v>
      </c>
    </row>
    <row r="1138" spans="1:14" x14ac:dyDescent="0.25">
      <c r="A1138">
        <v>731.44111999999996</v>
      </c>
      <c r="B1138" s="1">
        <f>DATE(2012,5,1) + TIME(10,35,12)</f>
        <v>41030.441111111111</v>
      </c>
      <c r="C1138">
        <v>80</v>
      </c>
      <c r="D1138">
        <v>70.537437439000001</v>
      </c>
      <c r="E1138">
        <v>50</v>
      </c>
      <c r="F1138">
        <v>49.814643859999997</v>
      </c>
      <c r="G1138">
        <v>1372.1762695</v>
      </c>
      <c r="H1138">
        <v>1354.5988769999999</v>
      </c>
      <c r="I1138">
        <v>1307.5997314000001</v>
      </c>
      <c r="J1138">
        <v>1288.4554443</v>
      </c>
      <c r="K1138">
        <v>2400</v>
      </c>
      <c r="L1138">
        <v>0</v>
      </c>
      <c r="M1138">
        <v>0</v>
      </c>
      <c r="N1138">
        <v>2400</v>
      </c>
    </row>
    <row r="1139" spans="1:14" x14ac:dyDescent="0.25">
      <c r="A1139">
        <v>731.47395800000004</v>
      </c>
      <c r="B1139" s="1">
        <f>DATE(2012,5,1) + TIME(11,22,29)</f>
        <v>41030.473946759259</v>
      </c>
      <c r="C1139">
        <v>80</v>
      </c>
      <c r="D1139">
        <v>71.001098632999998</v>
      </c>
      <c r="E1139">
        <v>50</v>
      </c>
      <c r="F1139">
        <v>49.809906005999999</v>
      </c>
      <c r="G1139">
        <v>1372.8603516000001</v>
      </c>
      <c r="H1139">
        <v>1355.3879394999999</v>
      </c>
      <c r="I1139">
        <v>1306.8116454999999</v>
      </c>
      <c r="J1139">
        <v>1287.6655272999999</v>
      </c>
      <c r="K1139">
        <v>2400</v>
      </c>
      <c r="L1139">
        <v>0</v>
      </c>
      <c r="M1139">
        <v>0</v>
      </c>
      <c r="N1139">
        <v>2400</v>
      </c>
    </row>
    <row r="1140" spans="1:14" x14ac:dyDescent="0.25">
      <c r="A1140">
        <v>731.50758699999994</v>
      </c>
      <c r="B1140" s="1">
        <f>DATE(2012,5,1) + TIME(12,10,55)</f>
        <v>41030.507581018515</v>
      </c>
      <c r="C1140">
        <v>80</v>
      </c>
      <c r="D1140">
        <v>71.452011107999994</v>
      </c>
      <c r="E1140">
        <v>50</v>
      </c>
      <c r="F1140">
        <v>49.805149077999999</v>
      </c>
      <c r="G1140">
        <v>1373.5073242000001</v>
      </c>
      <c r="H1140">
        <v>1356.1368408000001</v>
      </c>
      <c r="I1140">
        <v>1306.0598144999999</v>
      </c>
      <c r="J1140">
        <v>1286.9117432</v>
      </c>
      <c r="K1140">
        <v>2400</v>
      </c>
      <c r="L1140">
        <v>0</v>
      </c>
      <c r="M1140">
        <v>0</v>
      </c>
      <c r="N1140">
        <v>2400</v>
      </c>
    </row>
    <row r="1141" spans="1:14" x14ac:dyDescent="0.25">
      <c r="A1141">
        <v>731.54204700000003</v>
      </c>
      <c r="B1141" s="1">
        <f>DATE(2012,5,1) + TIME(13,0,32)</f>
        <v>41030.542037037034</v>
      </c>
      <c r="C1141">
        <v>80</v>
      </c>
      <c r="D1141">
        <v>71.890235900999997</v>
      </c>
      <c r="E1141">
        <v>50</v>
      </c>
      <c r="F1141">
        <v>49.800373077000003</v>
      </c>
      <c r="G1141">
        <v>1374.1210937999999</v>
      </c>
      <c r="H1141">
        <v>1356.8497314000001</v>
      </c>
      <c r="I1141">
        <v>1305.340332</v>
      </c>
      <c r="J1141">
        <v>1286.1906738</v>
      </c>
      <c r="K1141">
        <v>2400</v>
      </c>
      <c r="L1141">
        <v>0</v>
      </c>
      <c r="M1141">
        <v>0</v>
      </c>
      <c r="N1141">
        <v>2400</v>
      </c>
    </row>
    <row r="1142" spans="1:14" x14ac:dyDescent="0.25">
      <c r="A1142">
        <v>731.57738099999995</v>
      </c>
      <c r="B1142" s="1">
        <f>DATE(2012,5,1) + TIME(13,51,25)</f>
        <v>41030.577372685184</v>
      </c>
      <c r="C1142">
        <v>80</v>
      </c>
      <c r="D1142">
        <v>72.315834045000003</v>
      </c>
      <c r="E1142">
        <v>50</v>
      </c>
      <c r="F1142">
        <v>49.795562744000001</v>
      </c>
      <c r="G1142">
        <v>1374.7050781</v>
      </c>
      <c r="H1142">
        <v>1357.5300293</v>
      </c>
      <c r="I1142">
        <v>1304.6502685999999</v>
      </c>
      <c r="J1142">
        <v>1285.4990233999999</v>
      </c>
      <c r="K1142">
        <v>2400</v>
      </c>
      <c r="L1142">
        <v>0</v>
      </c>
      <c r="M1142">
        <v>0</v>
      </c>
      <c r="N1142">
        <v>2400</v>
      </c>
    </row>
    <row r="1143" spans="1:14" x14ac:dyDescent="0.25">
      <c r="A1143">
        <v>731.61363600000004</v>
      </c>
      <c r="B1143" s="1">
        <f>DATE(2012,5,1) + TIME(14,43,38)</f>
        <v>41030.613634259258</v>
      </c>
      <c r="C1143">
        <v>80</v>
      </c>
      <c r="D1143">
        <v>72.728866577000005</v>
      </c>
      <c r="E1143">
        <v>50</v>
      </c>
      <c r="F1143">
        <v>49.790714264000002</v>
      </c>
      <c r="G1143">
        <v>1375.262207</v>
      </c>
      <c r="H1143">
        <v>1358.1806641000001</v>
      </c>
      <c r="I1143">
        <v>1303.9866943</v>
      </c>
      <c r="J1143">
        <v>1284.8339844</v>
      </c>
      <c r="K1143">
        <v>2400</v>
      </c>
      <c r="L1143">
        <v>0</v>
      </c>
      <c r="M1143">
        <v>0</v>
      </c>
      <c r="N1143">
        <v>2400</v>
      </c>
    </row>
    <row r="1144" spans="1:14" x14ac:dyDescent="0.25">
      <c r="A1144">
        <v>731.65086599999995</v>
      </c>
      <c r="B1144" s="1">
        <f>DATE(2012,5,1) + TIME(15,37,14)</f>
        <v>41030.650856481479</v>
      </c>
      <c r="C1144">
        <v>80</v>
      </c>
      <c r="D1144">
        <v>73.129417419000006</v>
      </c>
      <c r="E1144">
        <v>50</v>
      </c>
      <c r="F1144">
        <v>49.785820006999998</v>
      </c>
      <c r="G1144">
        <v>1375.7952881000001</v>
      </c>
      <c r="H1144">
        <v>1358.8041992000001</v>
      </c>
      <c r="I1144">
        <v>1303.3474120999999</v>
      </c>
      <c r="J1144">
        <v>1284.1933594</v>
      </c>
      <c r="K1144">
        <v>2400</v>
      </c>
      <c r="L1144">
        <v>0</v>
      </c>
      <c r="M1144">
        <v>0</v>
      </c>
      <c r="N1144">
        <v>2400</v>
      </c>
    </row>
    <row r="1145" spans="1:14" x14ac:dyDescent="0.25">
      <c r="A1145">
        <v>731.68912699999998</v>
      </c>
      <c r="B1145" s="1">
        <f>DATE(2012,5,1) + TIME(16,32,20)</f>
        <v>41030.689120370371</v>
      </c>
      <c r="C1145">
        <v>80</v>
      </c>
      <c r="D1145">
        <v>73.517570496000005</v>
      </c>
      <c r="E1145">
        <v>50</v>
      </c>
      <c r="F1145">
        <v>49.780868529999999</v>
      </c>
      <c r="G1145">
        <v>1376.3062743999999</v>
      </c>
      <c r="H1145">
        <v>1359.4030762</v>
      </c>
      <c r="I1145">
        <v>1302.7303466999999</v>
      </c>
      <c r="J1145">
        <v>1283.5749512</v>
      </c>
      <c r="K1145">
        <v>2400</v>
      </c>
      <c r="L1145">
        <v>0</v>
      </c>
      <c r="M1145">
        <v>0</v>
      </c>
      <c r="N1145">
        <v>2400</v>
      </c>
    </row>
    <row r="1146" spans="1:14" x14ac:dyDescent="0.25">
      <c r="A1146">
        <v>731.72848099999999</v>
      </c>
      <c r="B1146" s="1">
        <f>DATE(2012,5,1) + TIME(17,29,0)</f>
        <v>41030.728472222225</v>
      </c>
      <c r="C1146">
        <v>80</v>
      </c>
      <c r="D1146">
        <v>73.893394470000004</v>
      </c>
      <c r="E1146">
        <v>50</v>
      </c>
      <c r="F1146">
        <v>49.775852202999999</v>
      </c>
      <c r="G1146">
        <v>1376.7972411999999</v>
      </c>
      <c r="H1146">
        <v>1359.9792480000001</v>
      </c>
      <c r="I1146">
        <v>1302.1336670000001</v>
      </c>
      <c r="J1146">
        <v>1282.9769286999999</v>
      </c>
      <c r="K1146">
        <v>2400</v>
      </c>
      <c r="L1146">
        <v>0</v>
      </c>
      <c r="M1146">
        <v>0</v>
      </c>
      <c r="N1146">
        <v>2400</v>
      </c>
    </row>
    <row r="1147" spans="1:14" x14ac:dyDescent="0.25">
      <c r="A1147">
        <v>731.76899500000002</v>
      </c>
      <c r="B1147" s="1">
        <f>DATE(2012,5,1) + TIME(18,27,21)</f>
        <v>41030.768993055557</v>
      </c>
      <c r="C1147">
        <v>80</v>
      </c>
      <c r="D1147">
        <v>74.256980896000002</v>
      </c>
      <c r="E1147">
        <v>50</v>
      </c>
      <c r="F1147">
        <v>49.770763397000003</v>
      </c>
      <c r="G1147">
        <v>1377.2698975000001</v>
      </c>
      <c r="H1147">
        <v>1360.5345459</v>
      </c>
      <c r="I1147">
        <v>1301.5557861</v>
      </c>
      <c r="J1147">
        <v>1282.3978271000001</v>
      </c>
      <c r="K1147">
        <v>2400</v>
      </c>
      <c r="L1147">
        <v>0</v>
      </c>
      <c r="M1147">
        <v>0</v>
      </c>
      <c r="N1147">
        <v>2400</v>
      </c>
    </row>
    <row r="1148" spans="1:14" x14ac:dyDescent="0.25">
      <c r="A1148">
        <v>731.81074699999999</v>
      </c>
      <c r="B1148" s="1">
        <f>DATE(2012,5,1) + TIME(19,27,28)</f>
        <v>41030.810740740744</v>
      </c>
      <c r="C1148">
        <v>80</v>
      </c>
      <c r="D1148">
        <v>74.608428954999994</v>
      </c>
      <c r="E1148">
        <v>50</v>
      </c>
      <c r="F1148">
        <v>49.765594481999997</v>
      </c>
      <c r="G1148">
        <v>1377.7257079999999</v>
      </c>
      <c r="H1148">
        <v>1361.0705565999999</v>
      </c>
      <c r="I1148">
        <v>1300.9951172000001</v>
      </c>
      <c r="J1148">
        <v>1281.8361815999999</v>
      </c>
      <c r="K1148">
        <v>2400</v>
      </c>
      <c r="L1148">
        <v>0</v>
      </c>
      <c r="M1148">
        <v>0</v>
      </c>
      <c r="N1148">
        <v>2400</v>
      </c>
    </row>
    <row r="1149" spans="1:14" x14ac:dyDescent="0.25">
      <c r="A1149">
        <v>731.853835</v>
      </c>
      <c r="B1149" s="1">
        <f>DATE(2012,5,1) + TIME(20,29,31)</f>
        <v>41030.853831018518</v>
      </c>
      <c r="C1149">
        <v>80</v>
      </c>
      <c r="D1149">
        <v>74.947952271000005</v>
      </c>
      <c r="E1149">
        <v>50</v>
      </c>
      <c r="F1149">
        <v>49.760334014999998</v>
      </c>
      <c r="G1149">
        <v>1378.1663818</v>
      </c>
      <c r="H1149">
        <v>1361.5889893000001</v>
      </c>
      <c r="I1149">
        <v>1300.4503173999999</v>
      </c>
      <c r="J1149">
        <v>1281.2902832</v>
      </c>
      <c r="K1149">
        <v>2400</v>
      </c>
      <c r="L1149">
        <v>0</v>
      </c>
      <c r="M1149">
        <v>0</v>
      </c>
      <c r="N1149">
        <v>2400</v>
      </c>
    </row>
    <row r="1150" spans="1:14" x14ac:dyDescent="0.25">
      <c r="A1150">
        <v>731.89833199999998</v>
      </c>
      <c r="B1150" s="1">
        <f>DATE(2012,5,1) + TIME(21,33,35)</f>
        <v>41030.898321759261</v>
      </c>
      <c r="C1150">
        <v>80</v>
      </c>
      <c r="D1150">
        <v>75.275291443</v>
      </c>
      <c r="E1150">
        <v>50</v>
      </c>
      <c r="F1150">
        <v>49.754970551</v>
      </c>
      <c r="G1150">
        <v>1378.5928954999999</v>
      </c>
      <c r="H1150">
        <v>1362.0908202999999</v>
      </c>
      <c r="I1150">
        <v>1299.9204102000001</v>
      </c>
      <c r="J1150">
        <v>1280.7592772999999</v>
      </c>
      <c r="K1150">
        <v>2400</v>
      </c>
      <c r="L1150">
        <v>0</v>
      </c>
      <c r="M1150">
        <v>0</v>
      </c>
      <c r="N1150">
        <v>2400</v>
      </c>
    </row>
    <row r="1151" spans="1:14" x14ac:dyDescent="0.25">
      <c r="A1151">
        <v>731.94433700000002</v>
      </c>
      <c r="B1151" s="1">
        <f>DATE(2012,5,1) + TIME(22,39,50)</f>
        <v>41030.944328703707</v>
      </c>
      <c r="C1151">
        <v>80</v>
      </c>
      <c r="D1151">
        <v>75.590682982999994</v>
      </c>
      <c r="E1151">
        <v>50</v>
      </c>
      <c r="F1151">
        <v>49.749500275000003</v>
      </c>
      <c r="G1151">
        <v>1379.0063477000001</v>
      </c>
      <c r="H1151">
        <v>1362.5773925999999</v>
      </c>
      <c r="I1151">
        <v>1299.4042969</v>
      </c>
      <c r="J1151">
        <v>1280.2420654</v>
      </c>
      <c r="K1151">
        <v>2400</v>
      </c>
      <c r="L1151">
        <v>0</v>
      </c>
      <c r="M1151">
        <v>0</v>
      </c>
      <c r="N1151">
        <v>2400</v>
      </c>
    </row>
    <row r="1152" spans="1:14" x14ac:dyDescent="0.25">
      <c r="A1152">
        <v>731.99195999999995</v>
      </c>
      <c r="B1152" s="1">
        <f>DATE(2012,5,1) + TIME(23,48,25)</f>
        <v>41030.991956018515</v>
      </c>
      <c r="C1152">
        <v>80</v>
      </c>
      <c r="D1152">
        <v>75.894248962000006</v>
      </c>
      <c r="E1152">
        <v>50</v>
      </c>
      <c r="F1152">
        <v>49.743907927999999</v>
      </c>
      <c r="G1152">
        <v>1379.4078368999999</v>
      </c>
      <c r="H1152">
        <v>1363.0496826000001</v>
      </c>
      <c r="I1152">
        <v>1298.901001</v>
      </c>
      <c r="J1152">
        <v>1279.737793</v>
      </c>
      <c r="K1152">
        <v>2400</v>
      </c>
      <c r="L1152">
        <v>0</v>
      </c>
      <c r="M1152">
        <v>0</v>
      </c>
      <c r="N1152">
        <v>2400</v>
      </c>
    </row>
    <row r="1153" spans="1:14" x14ac:dyDescent="0.25">
      <c r="A1153">
        <v>732.04132400000003</v>
      </c>
      <c r="B1153" s="1">
        <f>DATE(2012,5,2) + TIME(0,59,30)</f>
        <v>41031.041319444441</v>
      </c>
      <c r="C1153">
        <v>80</v>
      </c>
      <c r="D1153">
        <v>76.186065674000005</v>
      </c>
      <c r="E1153">
        <v>50</v>
      </c>
      <c r="F1153">
        <v>49.738185883</v>
      </c>
      <c r="G1153">
        <v>1379.7980957</v>
      </c>
      <c r="H1153">
        <v>1363.5086670000001</v>
      </c>
      <c r="I1153">
        <v>1298.4095459</v>
      </c>
      <c r="J1153">
        <v>1279.2454834</v>
      </c>
      <c r="K1153">
        <v>2400</v>
      </c>
      <c r="L1153">
        <v>0</v>
      </c>
      <c r="M1153">
        <v>0</v>
      </c>
      <c r="N1153">
        <v>2400</v>
      </c>
    </row>
    <row r="1154" spans="1:14" x14ac:dyDescent="0.25">
      <c r="A1154">
        <v>732.09256600000003</v>
      </c>
      <c r="B1154" s="1">
        <f>DATE(2012,5,2) + TIME(2,13,17)</f>
        <v>41031.092557870368</v>
      </c>
      <c r="C1154">
        <v>80</v>
      </c>
      <c r="D1154">
        <v>76.466232300000001</v>
      </c>
      <c r="E1154">
        <v>50</v>
      </c>
      <c r="F1154">
        <v>49.732315063000001</v>
      </c>
      <c r="G1154">
        <v>1380.1781006000001</v>
      </c>
      <c r="H1154">
        <v>1363.9553223</v>
      </c>
      <c r="I1154">
        <v>1297.9293213000001</v>
      </c>
      <c r="J1154">
        <v>1278.7642822</v>
      </c>
      <c r="K1154">
        <v>2400</v>
      </c>
      <c r="L1154">
        <v>0</v>
      </c>
      <c r="M1154">
        <v>0</v>
      </c>
      <c r="N1154">
        <v>2400</v>
      </c>
    </row>
    <row r="1155" spans="1:14" x14ac:dyDescent="0.25">
      <c r="A1155">
        <v>732.14583800000003</v>
      </c>
      <c r="B1155" s="1">
        <f>DATE(2012,5,2) + TIME(3,30,0)</f>
        <v>41031.145833333336</v>
      </c>
      <c r="C1155">
        <v>80</v>
      </c>
      <c r="D1155">
        <v>76.734825134000005</v>
      </c>
      <c r="E1155">
        <v>50</v>
      </c>
      <c r="F1155">
        <v>49.726287841999998</v>
      </c>
      <c r="G1155">
        <v>1380.5485839999999</v>
      </c>
      <c r="H1155">
        <v>1364.390625</v>
      </c>
      <c r="I1155">
        <v>1297.4593506000001</v>
      </c>
      <c r="J1155">
        <v>1278.293457</v>
      </c>
      <c r="K1155">
        <v>2400</v>
      </c>
      <c r="L1155">
        <v>0</v>
      </c>
      <c r="M1155">
        <v>0</v>
      </c>
      <c r="N1155">
        <v>2400</v>
      </c>
    </row>
    <row r="1156" spans="1:14" x14ac:dyDescent="0.25">
      <c r="A1156">
        <v>732.20131300000003</v>
      </c>
      <c r="B1156" s="1">
        <f>DATE(2012,5,2) + TIME(4,49,53)</f>
        <v>41031.201307870368</v>
      </c>
      <c r="C1156">
        <v>80</v>
      </c>
      <c r="D1156">
        <v>76.991928100999999</v>
      </c>
      <c r="E1156">
        <v>50</v>
      </c>
      <c r="F1156">
        <v>49.720081329000003</v>
      </c>
      <c r="G1156">
        <v>1380.9104004000001</v>
      </c>
      <c r="H1156">
        <v>1364.8153076000001</v>
      </c>
      <c r="I1156">
        <v>1296.9990233999999</v>
      </c>
      <c r="J1156">
        <v>1277.8321533000001</v>
      </c>
      <c r="K1156">
        <v>2400</v>
      </c>
      <c r="L1156">
        <v>0</v>
      </c>
      <c r="M1156">
        <v>0</v>
      </c>
      <c r="N1156">
        <v>2400</v>
      </c>
    </row>
    <row r="1157" spans="1:14" x14ac:dyDescent="0.25">
      <c r="A1157">
        <v>732.259185</v>
      </c>
      <c r="B1157" s="1">
        <f>DATE(2012,5,2) + TIME(6,13,13)</f>
        <v>41031.25917824074</v>
      </c>
      <c r="C1157">
        <v>80</v>
      </c>
      <c r="D1157">
        <v>77.237625121999997</v>
      </c>
      <c r="E1157">
        <v>50</v>
      </c>
      <c r="F1157">
        <v>49.713684082</v>
      </c>
      <c r="G1157">
        <v>1381.2640381000001</v>
      </c>
      <c r="H1157">
        <v>1365.2299805</v>
      </c>
      <c r="I1157">
        <v>1296.5476074000001</v>
      </c>
      <c r="J1157">
        <v>1277.3798827999999</v>
      </c>
      <c r="K1157">
        <v>2400</v>
      </c>
      <c r="L1157">
        <v>0</v>
      </c>
      <c r="M1157">
        <v>0</v>
      </c>
      <c r="N1157">
        <v>2400</v>
      </c>
    </row>
    <row r="1158" spans="1:14" x14ac:dyDescent="0.25">
      <c r="A1158">
        <v>732.31967499999996</v>
      </c>
      <c r="B1158" s="1">
        <f>DATE(2012,5,2) + TIME(7,40,19)</f>
        <v>41031.319664351853</v>
      </c>
      <c r="C1158">
        <v>80</v>
      </c>
      <c r="D1158">
        <v>77.472007751000007</v>
      </c>
      <c r="E1158">
        <v>50</v>
      </c>
      <c r="F1158">
        <v>49.707077026</v>
      </c>
      <c r="G1158">
        <v>1381.6101074000001</v>
      </c>
      <c r="H1158">
        <v>1365.6354980000001</v>
      </c>
      <c r="I1158">
        <v>1296.1044922000001</v>
      </c>
      <c r="J1158">
        <v>1276.9359131000001</v>
      </c>
      <c r="K1158">
        <v>2400</v>
      </c>
      <c r="L1158">
        <v>0</v>
      </c>
      <c r="M1158">
        <v>0</v>
      </c>
      <c r="N1158">
        <v>2400</v>
      </c>
    </row>
    <row r="1159" spans="1:14" x14ac:dyDescent="0.25">
      <c r="A1159">
        <v>732.38307299999997</v>
      </c>
      <c r="B1159" s="1">
        <f>DATE(2012,5,2) + TIME(9,11,37)</f>
        <v>41031.383067129631</v>
      </c>
      <c r="C1159">
        <v>80</v>
      </c>
      <c r="D1159">
        <v>77.695266724000007</v>
      </c>
      <c r="E1159">
        <v>50</v>
      </c>
      <c r="F1159">
        <v>49.700233459000003</v>
      </c>
      <c r="G1159">
        <v>1381.9495850000001</v>
      </c>
      <c r="H1159">
        <v>1366.0328368999999</v>
      </c>
      <c r="I1159">
        <v>1295.6689452999999</v>
      </c>
      <c r="J1159">
        <v>1276.4993896000001</v>
      </c>
      <c r="K1159">
        <v>2400</v>
      </c>
      <c r="L1159">
        <v>0</v>
      </c>
      <c r="M1159">
        <v>0</v>
      </c>
      <c r="N1159">
        <v>2400</v>
      </c>
    </row>
    <row r="1160" spans="1:14" x14ac:dyDescent="0.25">
      <c r="A1160">
        <v>732.44965000000002</v>
      </c>
      <c r="B1160" s="1">
        <f>DATE(2012,5,2) + TIME(10,47,29)</f>
        <v>41031.449641203704</v>
      </c>
      <c r="C1160">
        <v>80</v>
      </c>
      <c r="D1160">
        <v>77.907409668</v>
      </c>
      <c r="E1160">
        <v>50</v>
      </c>
      <c r="F1160">
        <v>49.693126677999999</v>
      </c>
      <c r="G1160">
        <v>1382.2827147999999</v>
      </c>
      <c r="H1160">
        <v>1366.4222411999999</v>
      </c>
      <c r="I1160">
        <v>1295.2403564000001</v>
      </c>
      <c r="J1160">
        <v>1276.0699463000001</v>
      </c>
      <c r="K1160">
        <v>2400</v>
      </c>
      <c r="L1160">
        <v>0</v>
      </c>
      <c r="M1160">
        <v>0</v>
      </c>
      <c r="N1160">
        <v>2400</v>
      </c>
    </row>
    <row r="1161" spans="1:14" x14ac:dyDescent="0.25">
      <c r="A1161">
        <v>732.51973099999998</v>
      </c>
      <c r="B1161" s="1">
        <f>DATE(2012,5,2) + TIME(12,28,24)</f>
        <v>41031.51972222222</v>
      </c>
      <c r="C1161">
        <v>80</v>
      </c>
      <c r="D1161">
        <v>78.108474731000001</v>
      </c>
      <c r="E1161">
        <v>50</v>
      </c>
      <c r="F1161">
        <v>49.685733794999997</v>
      </c>
      <c r="G1161">
        <v>1382.6101074000001</v>
      </c>
      <c r="H1161">
        <v>1366.8044434000001</v>
      </c>
      <c r="I1161">
        <v>1294.8184814000001</v>
      </c>
      <c r="J1161">
        <v>1275.6472168</v>
      </c>
      <c r="K1161">
        <v>2400</v>
      </c>
      <c r="L1161">
        <v>0</v>
      </c>
      <c r="M1161">
        <v>0</v>
      </c>
      <c r="N1161">
        <v>2400</v>
      </c>
    </row>
    <row r="1162" spans="1:14" x14ac:dyDescent="0.25">
      <c r="A1162">
        <v>732.59370999999999</v>
      </c>
      <c r="B1162" s="1">
        <f>DATE(2012,5,2) + TIME(14,14,56)</f>
        <v>41031.5937037037</v>
      </c>
      <c r="C1162">
        <v>80</v>
      </c>
      <c r="D1162">
        <v>78.298538207999997</v>
      </c>
      <c r="E1162">
        <v>50</v>
      </c>
      <c r="F1162">
        <v>49.678020476999997</v>
      </c>
      <c r="G1162">
        <v>1382.932251</v>
      </c>
      <c r="H1162">
        <v>1367.1800536999999</v>
      </c>
      <c r="I1162">
        <v>1294.4025879000001</v>
      </c>
      <c r="J1162">
        <v>1275.2305908000001</v>
      </c>
      <c r="K1162">
        <v>2400</v>
      </c>
      <c r="L1162">
        <v>0</v>
      </c>
      <c r="M1162">
        <v>0</v>
      </c>
      <c r="N1162">
        <v>2400</v>
      </c>
    </row>
    <row r="1163" spans="1:14" x14ac:dyDescent="0.25">
      <c r="A1163">
        <v>732.67204600000002</v>
      </c>
      <c r="B1163" s="1">
        <f>DATE(2012,5,2) + TIME(16,7,44)</f>
        <v>41031.672037037039</v>
      </c>
      <c r="C1163">
        <v>80</v>
      </c>
      <c r="D1163">
        <v>78.477691649999997</v>
      </c>
      <c r="E1163">
        <v>50</v>
      </c>
      <c r="F1163">
        <v>49.669948578000003</v>
      </c>
      <c r="G1163">
        <v>1383.2493896000001</v>
      </c>
      <c r="H1163">
        <v>1367.5495605000001</v>
      </c>
      <c r="I1163">
        <v>1293.9925536999999</v>
      </c>
      <c r="J1163">
        <v>1274.8195800999999</v>
      </c>
      <c r="K1163">
        <v>2400</v>
      </c>
      <c r="L1163">
        <v>0</v>
      </c>
      <c r="M1163">
        <v>0</v>
      </c>
      <c r="N1163">
        <v>2400</v>
      </c>
    </row>
    <row r="1164" spans="1:14" x14ac:dyDescent="0.25">
      <c r="A1164">
        <v>732.75527399999999</v>
      </c>
      <c r="B1164" s="1">
        <f>DATE(2012,5,2) + TIME(18,7,35)</f>
        <v>41031.755266203705</v>
      </c>
      <c r="C1164">
        <v>80</v>
      </c>
      <c r="D1164">
        <v>78.645996093999997</v>
      </c>
      <c r="E1164">
        <v>50</v>
      </c>
      <c r="F1164">
        <v>49.661476135000001</v>
      </c>
      <c r="G1164">
        <v>1383.5622559000001</v>
      </c>
      <c r="H1164">
        <v>1367.9134521000001</v>
      </c>
      <c r="I1164">
        <v>1293.5876464999999</v>
      </c>
      <c r="J1164">
        <v>1274.4138184000001</v>
      </c>
      <c r="K1164">
        <v>2400</v>
      </c>
      <c r="L1164">
        <v>0</v>
      </c>
      <c r="M1164">
        <v>0</v>
      </c>
      <c r="N1164">
        <v>2400</v>
      </c>
    </row>
    <row r="1165" spans="1:14" x14ac:dyDescent="0.25">
      <c r="A1165">
        <v>732.84404500000005</v>
      </c>
      <c r="B1165" s="1">
        <f>DATE(2012,5,2) + TIME(20,15,25)</f>
        <v>41031.844039351854</v>
      </c>
      <c r="C1165">
        <v>80</v>
      </c>
      <c r="D1165">
        <v>78.803543090999995</v>
      </c>
      <c r="E1165">
        <v>50</v>
      </c>
      <c r="F1165">
        <v>49.652549743999998</v>
      </c>
      <c r="G1165">
        <v>1383.8710937999999</v>
      </c>
      <c r="H1165">
        <v>1368.2724608999999</v>
      </c>
      <c r="I1165">
        <v>1293.1877440999999</v>
      </c>
      <c r="J1165">
        <v>1274.0129394999999</v>
      </c>
      <c r="K1165">
        <v>2400</v>
      </c>
      <c r="L1165">
        <v>0</v>
      </c>
      <c r="M1165">
        <v>0</v>
      </c>
      <c r="N1165">
        <v>2400</v>
      </c>
    </row>
    <row r="1166" spans="1:14" x14ac:dyDescent="0.25">
      <c r="A1166">
        <v>732.93915700000002</v>
      </c>
      <c r="B1166" s="1">
        <f>DATE(2012,5,2) + TIME(22,32,23)</f>
        <v>41031.939155092594</v>
      </c>
      <c r="C1166">
        <v>80</v>
      </c>
      <c r="D1166">
        <v>78.950424193999993</v>
      </c>
      <c r="E1166">
        <v>50</v>
      </c>
      <c r="F1166">
        <v>49.643108368</v>
      </c>
      <c r="G1166">
        <v>1384.1765137</v>
      </c>
      <c r="H1166">
        <v>1368.6269531</v>
      </c>
      <c r="I1166">
        <v>1292.7922363</v>
      </c>
      <c r="J1166">
        <v>1273.6165771000001</v>
      </c>
      <c r="K1166">
        <v>2400</v>
      </c>
      <c r="L1166">
        <v>0</v>
      </c>
      <c r="M1166">
        <v>0</v>
      </c>
      <c r="N1166">
        <v>2400</v>
      </c>
    </row>
    <row r="1167" spans="1:14" x14ac:dyDescent="0.25">
      <c r="A1167">
        <v>732.99015699999995</v>
      </c>
      <c r="B1167" s="1">
        <f>DATE(2012,5,2) + TIME(23,45,49)</f>
        <v>41031.99015046296</v>
      </c>
      <c r="C1167">
        <v>80</v>
      </c>
      <c r="D1167">
        <v>79.023338318</v>
      </c>
      <c r="E1167">
        <v>50</v>
      </c>
      <c r="F1167">
        <v>49.637794495000001</v>
      </c>
      <c r="G1167">
        <v>1384.328125</v>
      </c>
      <c r="H1167">
        <v>1368.8015137</v>
      </c>
      <c r="I1167">
        <v>1292.5883789</v>
      </c>
      <c r="J1167">
        <v>1273.4124756000001</v>
      </c>
      <c r="K1167">
        <v>2400</v>
      </c>
      <c r="L1167">
        <v>0</v>
      </c>
      <c r="M1167">
        <v>0</v>
      </c>
      <c r="N1167">
        <v>2400</v>
      </c>
    </row>
    <row r="1168" spans="1:14" x14ac:dyDescent="0.25">
      <c r="A1168">
        <v>733.09215600000005</v>
      </c>
      <c r="B1168" s="1">
        <f>DATE(2012,5,3) + TIME(2,12,42)</f>
        <v>41032.092152777775</v>
      </c>
      <c r="C1168">
        <v>80</v>
      </c>
      <c r="D1168">
        <v>79.149147033999995</v>
      </c>
      <c r="E1168">
        <v>50</v>
      </c>
      <c r="F1168">
        <v>49.627849578999999</v>
      </c>
      <c r="G1168">
        <v>1384.6190185999999</v>
      </c>
      <c r="H1168">
        <v>1369.1412353999999</v>
      </c>
      <c r="I1168">
        <v>1292.2154541</v>
      </c>
      <c r="J1168">
        <v>1273.0382079999999</v>
      </c>
      <c r="K1168">
        <v>2400</v>
      </c>
      <c r="L1168">
        <v>0</v>
      </c>
      <c r="M1168">
        <v>0</v>
      </c>
      <c r="N1168">
        <v>2400</v>
      </c>
    </row>
    <row r="1169" spans="1:14" x14ac:dyDescent="0.25">
      <c r="A1169">
        <v>733.19428600000003</v>
      </c>
      <c r="B1169" s="1">
        <f>DATE(2012,5,3) + TIME(4,39,46)</f>
        <v>41032.194282407407</v>
      </c>
      <c r="C1169">
        <v>80</v>
      </c>
      <c r="D1169">
        <v>79.257774353000002</v>
      </c>
      <c r="E1169">
        <v>50</v>
      </c>
      <c r="F1169">
        <v>49.617927551000001</v>
      </c>
      <c r="G1169">
        <v>1384.8856201000001</v>
      </c>
      <c r="H1169">
        <v>1369.449707</v>
      </c>
      <c r="I1169">
        <v>1291.8707274999999</v>
      </c>
      <c r="J1169">
        <v>1272.692749</v>
      </c>
      <c r="K1169">
        <v>2400</v>
      </c>
      <c r="L1169">
        <v>0</v>
      </c>
      <c r="M1169">
        <v>0</v>
      </c>
      <c r="N1169">
        <v>2400</v>
      </c>
    </row>
    <row r="1170" spans="1:14" x14ac:dyDescent="0.25">
      <c r="A1170">
        <v>733.29702099999997</v>
      </c>
      <c r="B1170" s="1">
        <f>DATE(2012,5,3) + TIME(7,7,42)</f>
        <v>41032.297013888892</v>
      </c>
      <c r="C1170">
        <v>80</v>
      </c>
      <c r="D1170">
        <v>79.351974487000007</v>
      </c>
      <c r="E1170">
        <v>50</v>
      </c>
      <c r="F1170">
        <v>49.607990264999998</v>
      </c>
      <c r="G1170">
        <v>1385.1308594</v>
      </c>
      <c r="H1170">
        <v>1369.7346190999999</v>
      </c>
      <c r="I1170">
        <v>1291.5511475000001</v>
      </c>
      <c r="J1170">
        <v>1272.3723144999999</v>
      </c>
      <c r="K1170">
        <v>2400</v>
      </c>
      <c r="L1170">
        <v>0</v>
      </c>
      <c r="M1170">
        <v>0</v>
      </c>
      <c r="N1170">
        <v>2400</v>
      </c>
    </row>
    <row r="1171" spans="1:14" x14ac:dyDescent="0.25">
      <c r="A1171">
        <v>733.40056600000003</v>
      </c>
      <c r="B1171" s="1">
        <f>DATE(2012,5,3) + TIME(9,36,48)</f>
        <v>41032.400555555556</v>
      </c>
      <c r="C1171">
        <v>80</v>
      </c>
      <c r="D1171">
        <v>79.433738708000007</v>
      </c>
      <c r="E1171">
        <v>50</v>
      </c>
      <c r="F1171">
        <v>49.598022460999999</v>
      </c>
      <c r="G1171">
        <v>1385.3583983999999</v>
      </c>
      <c r="H1171">
        <v>1369.9991454999999</v>
      </c>
      <c r="I1171">
        <v>1291.2542725000001</v>
      </c>
      <c r="J1171">
        <v>1272.0745850000001</v>
      </c>
      <c r="K1171">
        <v>2400</v>
      </c>
      <c r="L1171">
        <v>0</v>
      </c>
      <c r="M1171">
        <v>0</v>
      </c>
      <c r="N1171">
        <v>2400</v>
      </c>
    </row>
    <row r="1172" spans="1:14" x14ac:dyDescent="0.25">
      <c r="A1172">
        <v>733.50512900000001</v>
      </c>
      <c r="B1172" s="1">
        <f>DATE(2012,5,3) + TIME(12,7,23)</f>
        <v>41032.505127314813</v>
      </c>
      <c r="C1172">
        <v>80</v>
      </c>
      <c r="D1172">
        <v>79.504776000999996</v>
      </c>
      <c r="E1172">
        <v>50</v>
      </c>
      <c r="F1172">
        <v>49.588005066000001</v>
      </c>
      <c r="G1172">
        <v>1385.5699463000001</v>
      </c>
      <c r="H1172">
        <v>1370.2458495999999</v>
      </c>
      <c r="I1172">
        <v>1290.9777832</v>
      </c>
      <c r="J1172">
        <v>1271.7973632999999</v>
      </c>
      <c r="K1172">
        <v>2400</v>
      </c>
      <c r="L1172">
        <v>0</v>
      </c>
      <c r="M1172">
        <v>0</v>
      </c>
      <c r="N1172">
        <v>2400</v>
      </c>
    </row>
    <row r="1173" spans="1:14" x14ac:dyDescent="0.25">
      <c r="A1173">
        <v>733.61091599999997</v>
      </c>
      <c r="B1173" s="1">
        <f>DATE(2012,5,3) + TIME(14,39,43)</f>
        <v>41032.610914351855</v>
      </c>
      <c r="C1173">
        <v>80</v>
      </c>
      <c r="D1173">
        <v>79.566528320000003</v>
      </c>
      <c r="E1173">
        <v>50</v>
      </c>
      <c r="F1173">
        <v>49.577919006000002</v>
      </c>
      <c r="G1173">
        <v>1385.7672118999999</v>
      </c>
      <c r="H1173">
        <v>1370.4761963000001</v>
      </c>
      <c r="I1173">
        <v>1290.7200928</v>
      </c>
      <c r="J1173">
        <v>1271.5386963000001</v>
      </c>
      <c r="K1173">
        <v>2400</v>
      </c>
      <c r="L1173">
        <v>0</v>
      </c>
      <c r="M1173">
        <v>0</v>
      </c>
      <c r="N1173">
        <v>2400</v>
      </c>
    </row>
    <row r="1174" spans="1:14" x14ac:dyDescent="0.25">
      <c r="A1174">
        <v>733.71813299999997</v>
      </c>
      <c r="B1174" s="1">
        <f>DATE(2012,5,3) + TIME(17,14,6)</f>
        <v>41032.718124999999</v>
      </c>
      <c r="C1174">
        <v>80</v>
      </c>
      <c r="D1174">
        <v>79.620223999000004</v>
      </c>
      <c r="E1174">
        <v>50</v>
      </c>
      <c r="F1174">
        <v>49.567749022999998</v>
      </c>
      <c r="G1174">
        <v>1385.9514160000001</v>
      </c>
      <c r="H1174">
        <v>1370.6917725000001</v>
      </c>
      <c r="I1174">
        <v>1290.4793701000001</v>
      </c>
      <c r="J1174">
        <v>1271.2972411999999</v>
      </c>
      <c r="K1174">
        <v>2400</v>
      </c>
      <c r="L1174">
        <v>0</v>
      </c>
      <c r="M1174">
        <v>0</v>
      </c>
      <c r="N1174">
        <v>2400</v>
      </c>
    </row>
    <row r="1175" spans="1:14" x14ac:dyDescent="0.25">
      <c r="A1175">
        <v>733.82698900000003</v>
      </c>
      <c r="B1175" s="1">
        <f>DATE(2012,5,3) + TIME(19,50,51)</f>
        <v>41032.826979166668</v>
      </c>
      <c r="C1175">
        <v>80</v>
      </c>
      <c r="D1175">
        <v>79.666900635000005</v>
      </c>
      <c r="E1175">
        <v>50</v>
      </c>
      <c r="F1175">
        <v>49.557479858000001</v>
      </c>
      <c r="G1175">
        <v>1386.1234131000001</v>
      </c>
      <c r="H1175">
        <v>1370.8936768000001</v>
      </c>
      <c r="I1175">
        <v>1290.2545166</v>
      </c>
      <c r="J1175">
        <v>1271.0715332</v>
      </c>
      <c r="K1175">
        <v>2400</v>
      </c>
      <c r="L1175">
        <v>0</v>
      </c>
      <c r="M1175">
        <v>0</v>
      </c>
      <c r="N1175">
        <v>2400</v>
      </c>
    </row>
    <row r="1176" spans="1:14" x14ac:dyDescent="0.25">
      <c r="A1176">
        <v>733.93769799999995</v>
      </c>
      <c r="B1176" s="1">
        <f>DATE(2012,5,3) + TIME(22,30,17)</f>
        <v>41032.937696759262</v>
      </c>
      <c r="C1176">
        <v>80</v>
      </c>
      <c r="D1176">
        <v>79.707466124999996</v>
      </c>
      <c r="E1176">
        <v>50</v>
      </c>
      <c r="F1176">
        <v>49.547088623</v>
      </c>
      <c r="G1176">
        <v>1386.2843018000001</v>
      </c>
      <c r="H1176">
        <v>1371.0832519999999</v>
      </c>
      <c r="I1176">
        <v>1290.0441894999999</v>
      </c>
      <c r="J1176">
        <v>1270.8604736</v>
      </c>
      <c r="K1176">
        <v>2400</v>
      </c>
      <c r="L1176">
        <v>0</v>
      </c>
      <c r="M1176">
        <v>0</v>
      </c>
      <c r="N1176">
        <v>2400</v>
      </c>
    </row>
    <row r="1177" spans="1:14" x14ac:dyDescent="0.25">
      <c r="A1177">
        <v>734.05049299999996</v>
      </c>
      <c r="B1177" s="1">
        <f>DATE(2012,5,4) + TIME(1,12,42)</f>
        <v>41033.050486111111</v>
      </c>
      <c r="C1177">
        <v>80</v>
      </c>
      <c r="D1177">
        <v>79.742698669000006</v>
      </c>
      <c r="E1177">
        <v>50</v>
      </c>
      <c r="F1177">
        <v>49.536563872999999</v>
      </c>
      <c r="G1177">
        <v>1386.4348144999999</v>
      </c>
      <c r="H1177">
        <v>1371.2613524999999</v>
      </c>
      <c r="I1177">
        <v>1289.8474120999999</v>
      </c>
      <c r="J1177">
        <v>1270.6629639</v>
      </c>
      <c r="K1177">
        <v>2400</v>
      </c>
      <c r="L1177">
        <v>0</v>
      </c>
      <c r="M1177">
        <v>0</v>
      </c>
      <c r="N1177">
        <v>2400</v>
      </c>
    </row>
    <row r="1178" spans="1:14" x14ac:dyDescent="0.25">
      <c r="A1178">
        <v>734.16564600000004</v>
      </c>
      <c r="B1178" s="1">
        <f>DATE(2012,5,4) + TIME(3,58,31)</f>
        <v>41033.165636574071</v>
      </c>
      <c r="C1178">
        <v>80</v>
      </c>
      <c r="D1178">
        <v>79.773277282999999</v>
      </c>
      <c r="E1178">
        <v>50</v>
      </c>
      <c r="F1178">
        <v>49.525878906000003</v>
      </c>
      <c r="G1178">
        <v>1386.5756836</v>
      </c>
      <c r="H1178">
        <v>1371.4287108999999</v>
      </c>
      <c r="I1178">
        <v>1289.6633300999999</v>
      </c>
      <c r="J1178">
        <v>1270.4780272999999</v>
      </c>
      <c r="K1178">
        <v>2400</v>
      </c>
      <c r="L1178">
        <v>0</v>
      </c>
      <c r="M1178">
        <v>0</v>
      </c>
      <c r="N1178">
        <v>2400</v>
      </c>
    </row>
    <row r="1179" spans="1:14" x14ac:dyDescent="0.25">
      <c r="A1179">
        <v>734.28278699999998</v>
      </c>
      <c r="B1179" s="1">
        <f>DATE(2012,5,4) + TIME(6,47,12)</f>
        <v>41033.282777777778</v>
      </c>
      <c r="C1179">
        <v>80</v>
      </c>
      <c r="D1179">
        <v>79.799667357999994</v>
      </c>
      <c r="E1179">
        <v>50</v>
      </c>
      <c r="F1179">
        <v>49.515064240000001</v>
      </c>
      <c r="G1179">
        <v>1386.7066649999999</v>
      </c>
      <c r="H1179">
        <v>1371.5852050999999</v>
      </c>
      <c r="I1179">
        <v>1289.4918213000001</v>
      </c>
      <c r="J1179">
        <v>1270.3056641000001</v>
      </c>
      <c r="K1179">
        <v>2400</v>
      </c>
      <c r="L1179">
        <v>0</v>
      </c>
      <c r="M1179">
        <v>0</v>
      </c>
      <c r="N1179">
        <v>2400</v>
      </c>
    </row>
    <row r="1180" spans="1:14" x14ac:dyDescent="0.25">
      <c r="A1180">
        <v>734.40212199999996</v>
      </c>
      <c r="B1180" s="1">
        <f>DATE(2012,5,4) + TIME(9,39,3)</f>
        <v>41033.402118055557</v>
      </c>
      <c r="C1180">
        <v>80</v>
      </c>
      <c r="D1180">
        <v>79.822418213000006</v>
      </c>
      <c r="E1180">
        <v>50</v>
      </c>
      <c r="F1180">
        <v>49.504104613999999</v>
      </c>
      <c r="G1180">
        <v>1386.8283690999999</v>
      </c>
      <c r="H1180">
        <v>1371.7316894999999</v>
      </c>
      <c r="I1180">
        <v>1289.3321533000001</v>
      </c>
      <c r="J1180">
        <v>1270.1451416</v>
      </c>
      <c r="K1180">
        <v>2400</v>
      </c>
      <c r="L1180">
        <v>0</v>
      </c>
      <c r="M1180">
        <v>0</v>
      </c>
      <c r="N1180">
        <v>2400</v>
      </c>
    </row>
    <row r="1181" spans="1:14" x14ac:dyDescent="0.25">
      <c r="A1181">
        <v>734.52390100000002</v>
      </c>
      <c r="B1181" s="1">
        <f>DATE(2012,5,4) + TIME(12,34,25)</f>
        <v>41033.523900462962</v>
      </c>
      <c r="C1181">
        <v>80</v>
      </c>
      <c r="D1181">
        <v>79.842010497999993</v>
      </c>
      <c r="E1181">
        <v>50</v>
      </c>
      <c r="F1181">
        <v>49.492977142000001</v>
      </c>
      <c r="G1181">
        <v>1386.9414062000001</v>
      </c>
      <c r="H1181">
        <v>1371.8688964999999</v>
      </c>
      <c r="I1181">
        <v>1289.1834716999999</v>
      </c>
      <c r="J1181">
        <v>1269.9957274999999</v>
      </c>
      <c r="K1181">
        <v>2400</v>
      </c>
      <c r="L1181">
        <v>0</v>
      </c>
      <c r="M1181">
        <v>0</v>
      </c>
      <c r="N1181">
        <v>2400</v>
      </c>
    </row>
    <row r="1182" spans="1:14" x14ac:dyDescent="0.25">
      <c r="A1182">
        <v>734.64837299999999</v>
      </c>
      <c r="B1182" s="1">
        <f>DATE(2012,5,4) + TIME(15,33,39)</f>
        <v>41033.648368055554</v>
      </c>
      <c r="C1182">
        <v>80</v>
      </c>
      <c r="D1182">
        <v>79.858863830999994</v>
      </c>
      <c r="E1182">
        <v>50</v>
      </c>
      <c r="F1182">
        <v>49.481666564999998</v>
      </c>
      <c r="G1182">
        <v>1387.0463867000001</v>
      </c>
      <c r="H1182">
        <v>1371.9971923999999</v>
      </c>
      <c r="I1182">
        <v>1289.0451660000001</v>
      </c>
      <c r="J1182">
        <v>1269.8565673999999</v>
      </c>
      <c r="K1182">
        <v>2400</v>
      </c>
      <c r="L1182">
        <v>0</v>
      </c>
      <c r="M1182">
        <v>0</v>
      </c>
      <c r="N1182">
        <v>2400</v>
      </c>
    </row>
    <row r="1183" spans="1:14" x14ac:dyDescent="0.25">
      <c r="A1183">
        <v>734.77576399999998</v>
      </c>
      <c r="B1183" s="1">
        <f>DATE(2012,5,4) + TIME(18,37,6)</f>
        <v>41033.775763888887</v>
      </c>
      <c r="C1183">
        <v>80</v>
      </c>
      <c r="D1183">
        <v>79.873329162999994</v>
      </c>
      <c r="E1183">
        <v>50</v>
      </c>
      <c r="F1183">
        <v>49.470153809000003</v>
      </c>
      <c r="G1183">
        <v>1387.1436768000001</v>
      </c>
      <c r="H1183">
        <v>1372.1173096</v>
      </c>
      <c r="I1183">
        <v>1288.916626</v>
      </c>
      <c r="J1183">
        <v>1269.7271728999999</v>
      </c>
      <c r="K1183">
        <v>2400</v>
      </c>
      <c r="L1183">
        <v>0</v>
      </c>
      <c r="M1183">
        <v>0</v>
      </c>
      <c r="N1183">
        <v>2400</v>
      </c>
    </row>
    <row r="1184" spans="1:14" x14ac:dyDescent="0.25">
      <c r="A1184">
        <v>734.90635199999997</v>
      </c>
      <c r="B1184" s="1">
        <f>DATE(2012,5,4) + TIME(21,45,8)</f>
        <v>41033.906342592592</v>
      </c>
      <c r="C1184">
        <v>80</v>
      </c>
      <c r="D1184">
        <v>79.885726929</v>
      </c>
      <c r="E1184">
        <v>50</v>
      </c>
      <c r="F1184">
        <v>49.458415985000002</v>
      </c>
      <c r="G1184">
        <v>1387.2335204999999</v>
      </c>
      <c r="H1184">
        <v>1372.2294922000001</v>
      </c>
      <c r="I1184">
        <v>1288.7973632999999</v>
      </c>
      <c r="J1184">
        <v>1269.6070557</v>
      </c>
      <c r="K1184">
        <v>2400</v>
      </c>
      <c r="L1184">
        <v>0</v>
      </c>
      <c r="M1184">
        <v>0</v>
      </c>
      <c r="N1184">
        <v>2400</v>
      </c>
    </row>
    <row r="1185" spans="1:14" x14ac:dyDescent="0.25">
      <c r="A1185">
        <v>735.04043999999999</v>
      </c>
      <c r="B1185" s="1">
        <f>DATE(2012,5,5) + TIME(0,58,14)</f>
        <v>41034.040439814817</v>
      </c>
      <c r="C1185">
        <v>80</v>
      </c>
      <c r="D1185">
        <v>79.896331786999994</v>
      </c>
      <c r="E1185">
        <v>50</v>
      </c>
      <c r="F1185">
        <v>49.446434021000002</v>
      </c>
      <c r="G1185">
        <v>1387.3162841999999</v>
      </c>
      <c r="H1185">
        <v>1372.3343506000001</v>
      </c>
      <c r="I1185">
        <v>1288.6867675999999</v>
      </c>
      <c r="J1185">
        <v>1269.4956055</v>
      </c>
      <c r="K1185">
        <v>2400</v>
      </c>
      <c r="L1185">
        <v>0</v>
      </c>
      <c r="M1185">
        <v>0</v>
      </c>
      <c r="N1185">
        <v>2400</v>
      </c>
    </row>
    <row r="1186" spans="1:14" x14ac:dyDescent="0.25">
      <c r="A1186">
        <v>735.17835700000001</v>
      </c>
      <c r="B1186" s="1">
        <f>DATE(2012,5,5) + TIME(4,16,50)</f>
        <v>41034.178356481483</v>
      </c>
      <c r="C1186">
        <v>80</v>
      </c>
      <c r="D1186">
        <v>79.905372619999994</v>
      </c>
      <c r="E1186">
        <v>50</v>
      </c>
      <c r="F1186">
        <v>49.434177398999999</v>
      </c>
      <c r="G1186">
        <v>1387.3923339999999</v>
      </c>
      <c r="H1186">
        <v>1372.4320068</v>
      </c>
      <c r="I1186">
        <v>1288.5844727000001</v>
      </c>
      <c r="J1186">
        <v>1269.3924560999999</v>
      </c>
      <c r="K1186">
        <v>2400</v>
      </c>
      <c r="L1186">
        <v>0</v>
      </c>
      <c r="M1186">
        <v>0</v>
      </c>
      <c r="N1186">
        <v>2400</v>
      </c>
    </row>
    <row r="1187" spans="1:14" x14ac:dyDescent="0.25">
      <c r="A1187">
        <v>735.320469</v>
      </c>
      <c r="B1187" s="1">
        <f>DATE(2012,5,5) + TIME(7,41,28)</f>
        <v>41034.320462962962</v>
      </c>
      <c r="C1187">
        <v>80</v>
      </c>
      <c r="D1187">
        <v>79.913063049000002</v>
      </c>
      <c r="E1187">
        <v>50</v>
      </c>
      <c r="F1187">
        <v>49.421623230000002</v>
      </c>
      <c r="G1187">
        <v>1387.4617920000001</v>
      </c>
      <c r="H1187">
        <v>1372.5228271000001</v>
      </c>
      <c r="I1187">
        <v>1288.4899902</v>
      </c>
      <c r="J1187">
        <v>1269.2971190999999</v>
      </c>
      <c r="K1187">
        <v>2400</v>
      </c>
      <c r="L1187">
        <v>0</v>
      </c>
      <c r="M1187">
        <v>0</v>
      </c>
      <c r="N1187">
        <v>2400</v>
      </c>
    </row>
    <row r="1188" spans="1:14" x14ac:dyDescent="0.25">
      <c r="A1188">
        <v>735.46717799999999</v>
      </c>
      <c r="B1188" s="1">
        <f>DATE(2012,5,5) + TIME(11,12,44)</f>
        <v>41034.467175925929</v>
      </c>
      <c r="C1188">
        <v>80</v>
      </c>
      <c r="D1188">
        <v>79.919593810999999</v>
      </c>
      <c r="E1188">
        <v>50</v>
      </c>
      <c r="F1188">
        <v>49.408737183</v>
      </c>
      <c r="G1188">
        <v>1387.5249022999999</v>
      </c>
      <c r="H1188">
        <v>1372.6071777</v>
      </c>
      <c r="I1188">
        <v>1288.4029541</v>
      </c>
      <c r="J1188">
        <v>1269.2092285000001</v>
      </c>
      <c r="K1188">
        <v>2400</v>
      </c>
      <c r="L1188">
        <v>0</v>
      </c>
      <c r="M1188">
        <v>0</v>
      </c>
      <c r="N1188">
        <v>2400</v>
      </c>
    </row>
    <row r="1189" spans="1:14" x14ac:dyDescent="0.25">
      <c r="A1189">
        <v>735.61893499999996</v>
      </c>
      <c r="B1189" s="1">
        <f>DATE(2012,5,5) + TIME(14,51,15)</f>
        <v>41034.618923611109</v>
      </c>
      <c r="C1189">
        <v>80</v>
      </c>
      <c r="D1189">
        <v>79.925117493000002</v>
      </c>
      <c r="E1189">
        <v>50</v>
      </c>
      <c r="F1189">
        <v>49.395488739000001</v>
      </c>
      <c r="G1189">
        <v>1387.5819091999999</v>
      </c>
      <c r="H1189">
        <v>1372.6853027</v>
      </c>
      <c r="I1189">
        <v>1288.3231201000001</v>
      </c>
      <c r="J1189">
        <v>1269.1285399999999</v>
      </c>
      <c r="K1189">
        <v>2400</v>
      </c>
      <c r="L1189">
        <v>0</v>
      </c>
      <c r="M1189">
        <v>0</v>
      </c>
      <c r="N1189">
        <v>2400</v>
      </c>
    </row>
    <row r="1190" spans="1:14" x14ac:dyDescent="0.25">
      <c r="A1190">
        <v>735.77624400000002</v>
      </c>
      <c r="B1190" s="1">
        <f>DATE(2012,5,5) + TIME(18,37,47)</f>
        <v>41034.776238425926</v>
      </c>
      <c r="C1190">
        <v>80</v>
      </c>
      <c r="D1190">
        <v>79.929763793999996</v>
      </c>
      <c r="E1190">
        <v>50</v>
      </c>
      <c r="F1190">
        <v>49.381839751999998</v>
      </c>
      <c r="G1190">
        <v>1387.6329346</v>
      </c>
      <c r="H1190">
        <v>1372.7573242000001</v>
      </c>
      <c r="I1190">
        <v>1288.25</v>
      </c>
      <c r="J1190">
        <v>1269.0544434000001</v>
      </c>
      <c r="K1190">
        <v>2400</v>
      </c>
      <c r="L1190">
        <v>0</v>
      </c>
      <c r="M1190">
        <v>0</v>
      </c>
      <c r="N1190">
        <v>2400</v>
      </c>
    </row>
    <row r="1191" spans="1:14" x14ac:dyDescent="0.25">
      <c r="A1191">
        <v>735.93969200000004</v>
      </c>
      <c r="B1191" s="1">
        <f>DATE(2012,5,5) + TIME(22,33,9)</f>
        <v>41034.939687500002</v>
      </c>
      <c r="C1191">
        <v>80</v>
      </c>
      <c r="D1191">
        <v>79.933670043999996</v>
      </c>
      <c r="E1191">
        <v>50</v>
      </c>
      <c r="F1191">
        <v>49.367748259999999</v>
      </c>
      <c r="G1191">
        <v>1387.6779785000001</v>
      </c>
      <c r="H1191">
        <v>1372.8233643000001</v>
      </c>
      <c r="I1191">
        <v>1288.1834716999999</v>
      </c>
      <c r="J1191">
        <v>1268.9869385</v>
      </c>
      <c r="K1191">
        <v>2400</v>
      </c>
      <c r="L1191">
        <v>0</v>
      </c>
      <c r="M1191">
        <v>0</v>
      </c>
      <c r="N1191">
        <v>2400</v>
      </c>
    </row>
    <row r="1192" spans="1:14" x14ac:dyDescent="0.25">
      <c r="A1192">
        <v>736.11002099999996</v>
      </c>
      <c r="B1192" s="1">
        <f>DATE(2012,5,6) + TIME(2,38,25)</f>
        <v>41035.110011574077</v>
      </c>
      <c r="C1192">
        <v>80</v>
      </c>
      <c r="D1192">
        <v>79.936935425000001</v>
      </c>
      <c r="E1192">
        <v>50</v>
      </c>
      <c r="F1192">
        <v>49.353157043000003</v>
      </c>
      <c r="G1192">
        <v>1387.7174072</v>
      </c>
      <c r="H1192">
        <v>1372.8837891000001</v>
      </c>
      <c r="I1192">
        <v>1288.1230469</v>
      </c>
      <c r="J1192">
        <v>1268.9255370999999</v>
      </c>
      <c r="K1192">
        <v>2400</v>
      </c>
      <c r="L1192">
        <v>0</v>
      </c>
      <c r="M1192">
        <v>0</v>
      </c>
      <c r="N1192">
        <v>2400</v>
      </c>
    </row>
    <row r="1193" spans="1:14" x14ac:dyDescent="0.25">
      <c r="A1193">
        <v>736.28787399999999</v>
      </c>
      <c r="B1193" s="1">
        <f>DATE(2012,5,6) + TIME(6,54,32)</f>
        <v>41035.287870370368</v>
      </c>
      <c r="C1193">
        <v>80</v>
      </c>
      <c r="D1193">
        <v>79.939659118999998</v>
      </c>
      <c r="E1193">
        <v>50</v>
      </c>
      <c r="F1193">
        <v>49.338024138999998</v>
      </c>
      <c r="G1193">
        <v>1387.7509766000001</v>
      </c>
      <c r="H1193">
        <v>1372.9385986</v>
      </c>
      <c r="I1193">
        <v>1288.0686035000001</v>
      </c>
      <c r="J1193">
        <v>1268.8699951000001</v>
      </c>
      <c r="K1193">
        <v>2400</v>
      </c>
      <c r="L1193">
        <v>0</v>
      </c>
      <c r="M1193">
        <v>0</v>
      </c>
      <c r="N1193">
        <v>2400</v>
      </c>
    </row>
    <row r="1194" spans="1:14" x14ac:dyDescent="0.25">
      <c r="A1194">
        <v>736.47213699999998</v>
      </c>
      <c r="B1194" s="1">
        <f>DATE(2012,5,6) + TIME(11,19,52)</f>
        <v>41035.472129629627</v>
      </c>
      <c r="C1194">
        <v>80</v>
      </c>
      <c r="D1194">
        <v>79.941886901999993</v>
      </c>
      <c r="E1194">
        <v>50</v>
      </c>
      <c r="F1194">
        <v>49.322422027999998</v>
      </c>
      <c r="G1194">
        <v>1387.7779541</v>
      </c>
      <c r="H1194">
        <v>1372.9870605000001</v>
      </c>
      <c r="I1194">
        <v>1288.0202637</v>
      </c>
      <c r="J1194">
        <v>1268.8206786999999</v>
      </c>
      <c r="K1194">
        <v>2400</v>
      </c>
      <c r="L1194">
        <v>0</v>
      </c>
      <c r="M1194">
        <v>0</v>
      </c>
      <c r="N1194">
        <v>2400</v>
      </c>
    </row>
    <row r="1195" spans="1:14" x14ac:dyDescent="0.25">
      <c r="A1195">
        <v>736.66301899999996</v>
      </c>
      <c r="B1195" s="1">
        <f>DATE(2012,5,6) + TIME(15,54,44)</f>
        <v>41035.66300925926</v>
      </c>
      <c r="C1195">
        <v>80</v>
      </c>
      <c r="D1195">
        <v>79.943710327000005</v>
      </c>
      <c r="E1195">
        <v>50</v>
      </c>
      <c r="F1195">
        <v>49.306335449000002</v>
      </c>
      <c r="G1195">
        <v>1387.7989502</v>
      </c>
      <c r="H1195">
        <v>1373.0295410000001</v>
      </c>
      <c r="I1195">
        <v>1287.9776611</v>
      </c>
      <c r="J1195">
        <v>1268.7769774999999</v>
      </c>
      <c r="K1195">
        <v>2400</v>
      </c>
      <c r="L1195">
        <v>0</v>
      </c>
      <c r="M1195">
        <v>0</v>
      </c>
      <c r="N1195">
        <v>2400</v>
      </c>
    </row>
    <row r="1196" spans="1:14" x14ac:dyDescent="0.25">
      <c r="A1196">
        <v>736.86117300000001</v>
      </c>
      <c r="B1196" s="1">
        <f>DATE(2012,5,6) + TIME(20,40,5)</f>
        <v>41035.861168981479</v>
      </c>
      <c r="C1196">
        <v>80</v>
      </c>
      <c r="D1196">
        <v>79.945190429999997</v>
      </c>
      <c r="E1196">
        <v>50</v>
      </c>
      <c r="F1196">
        <v>49.289726256999998</v>
      </c>
      <c r="G1196">
        <v>1387.8143310999999</v>
      </c>
      <c r="H1196">
        <v>1373.0662841999999</v>
      </c>
      <c r="I1196">
        <v>1287.9405518000001</v>
      </c>
      <c r="J1196">
        <v>1268.7387695</v>
      </c>
      <c r="K1196">
        <v>2400</v>
      </c>
      <c r="L1196">
        <v>0</v>
      </c>
      <c r="M1196">
        <v>0</v>
      </c>
      <c r="N1196">
        <v>2400</v>
      </c>
    </row>
    <row r="1197" spans="1:14" x14ac:dyDescent="0.25">
      <c r="A1197">
        <v>737.06740100000002</v>
      </c>
      <c r="B1197" s="1">
        <f>DATE(2012,5,7) + TIME(1,37,3)</f>
        <v>41036.067395833335</v>
      </c>
      <c r="C1197">
        <v>80</v>
      </c>
      <c r="D1197">
        <v>79.946388244999994</v>
      </c>
      <c r="E1197">
        <v>50</v>
      </c>
      <c r="F1197">
        <v>49.272529601999999</v>
      </c>
      <c r="G1197">
        <v>1387.8239745999999</v>
      </c>
      <c r="H1197">
        <v>1373.0975341999999</v>
      </c>
      <c r="I1197">
        <v>1287.9085693</v>
      </c>
      <c r="J1197">
        <v>1268.7055664</v>
      </c>
      <c r="K1197">
        <v>2400</v>
      </c>
      <c r="L1197">
        <v>0</v>
      </c>
      <c r="M1197">
        <v>0</v>
      </c>
      <c r="N1197">
        <v>2400</v>
      </c>
    </row>
    <row r="1198" spans="1:14" x14ac:dyDescent="0.25">
      <c r="A1198">
        <v>737.275485</v>
      </c>
      <c r="B1198" s="1">
        <f>DATE(2012,5,7) + TIME(6,36,41)</f>
        <v>41036.27547453704</v>
      </c>
      <c r="C1198">
        <v>80</v>
      </c>
      <c r="D1198">
        <v>79.947326660000002</v>
      </c>
      <c r="E1198">
        <v>50</v>
      </c>
      <c r="F1198">
        <v>49.255165099999999</v>
      </c>
      <c r="G1198">
        <v>1387.8262939000001</v>
      </c>
      <c r="H1198">
        <v>1373.1217041</v>
      </c>
      <c r="I1198">
        <v>1287.8818358999999</v>
      </c>
      <c r="J1198">
        <v>1268.6777344</v>
      </c>
      <c r="K1198">
        <v>2400</v>
      </c>
      <c r="L1198">
        <v>0</v>
      </c>
      <c r="M1198">
        <v>0</v>
      </c>
      <c r="N1198">
        <v>2400</v>
      </c>
    </row>
    <row r="1199" spans="1:14" x14ac:dyDescent="0.25">
      <c r="A1199">
        <v>737.48450200000002</v>
      </c>
      <c r="B1199" s="1">
        <f>DATE(2012,5,7) + TIME(11,37,40)</f>
        <v>41036.484490740739</v>
      </c>
      <c r="C1199">
        <v>80</v>
      </c>
      <c r="D1199">
        <v>79.948066710999996</v>
      </c>
      <c r="E1199">
        <v>50</v>
      </c>
      <c r="F1199">
        <v>49.237701416</v>
      </c>
      <c r="G1199">
        <v>1387.8233643000001</v>
      </c>
      <c r="H1199">
        <v>1373.1398925999999</v>
      </c>
      <c r="I1199">
        <v>1287.8598632999999</v>
      </c>
      <c r="J1199">
        <v>1268.6546631000001</v>
      </c>
      <c r="K1199">
        <v>2400</v>
      </c>
      <c r="L1199">
        <v>0</v>
      </c>
      <c r="M1199">
        <v>0</v>
      </c>
      <c r="N1199">
        <v>2400</v>
      </c>
    </row>
    <row r="1200" spans="1:14" x14ac:dyDescent="0.25">
      <c r="A1200">
        <v>737.69493899999998</v>
      </c>
      <c r="B1200" s="1">
        <f>DATE(2012,5,7) + TIME(16,40,42)</f>
        <v>41036.694930555554</v>
      </c>
      <c r="C1200">
        <v>80</v>
      </c>
      <c r="D1200">
        <v>79.948638915999993</v>
      </c>
      <c r="E1200">
        <v>50</v>
      </c>
      <c r="F1200">
        <v>49.220130920000003</v>
      </c>
      <c r="G1200">
        <v>1387.8160399999999</v>
      </c>
      <c r="H1200">
        <v>1373.1533202999999</v>
      </c>
      <c r="I1200">
        <v>1287.8420410000001</v>
      </c>
      <c r="J1200">
        <v>1268.6357422000001</v>
      </c>
      <c r="K1200">
        <v>2400</v>
      </c>
      <c r="L1200">
        <v>0</v>
      </c>
      <c r="M1200">
        <v>0</v>
      </c>
      <c r="N1200">
        <v>2400</v>
      </c>
    </row>
    <row r="1201" spans="1:14" x14ac:dyDescent="0.25">
      <c r="A1201">
        <v>737.90726299999994</v>
      </c>
      <c r="B1201" s="1">
        <f>DATE(2012,5,7) + TIME(21,46,27)</f>
        <v>41036.907256944447</v>
      </c>
      <c r="C1201">
        <v>80</v>
      </c>
      <c r="D1201">
        <v>79.949096679999997</v>
      </c>
      <c r="E1201">
        <v>50</v>
      </c>
      <c r="F1201">
        <v>49.202430724999999</v>
      </c>
      <c r="G1201">
        <v>1387.8048096</v>
      </c>
      <c r="H1201">
        <v>1373.1624756000001</v>
      </c>
      <c r="I1201">
        <v>1287.8276367000001</v>
      </c>
      <c r="J1201">
        <v>1268.6202393000001</v>
      </c>
      <c r="K1201">
        <v>2400</v>
      </c>
      <c r="L1201">
        <v>0</v>
      </c>
      <c r="M1201">
        <v>0</v>
      </c>
      <c r="N1201">
        <v>2400</v>
      </c>
    </row>
    <row r="1202" spans="1:14" x14ac:dyDescent="0.25">
      <c r="A1202">
        <v>738.12196300000005</v>
      </c>
      <c r="B1202" s="1">
        <f>DATE(2012,5,8) + TIME(2,55,37)</f>
        <v>41037.12195601852</v>
      </c>
      <c r="C1202">
        <v>80</v>
      </c>
      <c r="D1202">
        <v>79.949455260999997</v>
      </c>
      <c r="E1202">
        <v>50</v>
      </c>
      <c r="F1202">
        <v>49.184581756999997</v>
      </c>
      <c r="G1202">
        <v>1387.7901611</v>
      </c>
      <c r="H1202">
        <v>1373.1676024999999</v>
      </c>
      <c r="I1202">
        <v>1287.8164062000001</v>
      </c>
      <c r="J1202">
        <v>1268.6076660000001</v>
      </c>
      <c r="K1202">
        <v>2400</v>
      </c>
      <c r="L1202">
        <v>0</v>
      </c>
      <c r="M1202">
        <v>0</v>
      </c>
      <c r="N1202">
        <v>2400</v>
      </c>
    </row>
    <row r="1203" spans="1:14" x14ac:dyDescent="0.25">
      <c r="A1203">
        <v>738.33954900000003</v>
      </c>
      <c r="B1203" s="1">
        <f>DATE(2012,5,8) + TIME(8,8,57)</f>
        <v>41037.339548611111</v>
      </c>
      <c r="C1203">
        <v>80</v>
      </c>
      <c r="D1203">
        <v>79.949737549000005</v>
      </c>
      <c r="E1203">
        <v>50</v>
      </c>
      <c r="F1203">
        <v>49.166549683</v>
      </c>
      <c r="G1203">
        <v>1387.7723389</v>
      </c>
      <c r="H1203">
        <v>1373.1694336</v>
      </c>
      <c r="I1203">
        <v>1287.8076172000001</v>
      </c>
      <c r="J1203">
        <v>1268.5977783000001</v>
      </c>
      <c r="K1203">
        <v>2400</v>
      </c>
      <c r="L1203">
        <v>0</v>
      </c>
      <c r="M1203">
        <v>0</v>
      </c>
      <c r="N1203">
        <v>2400</v>
      </c>
    </row>
    <row r="1204" spans="1:14" x14ac:dyDescent="0.25">
      <c r="A1204">
        <v>738.560428</v>
      </c>
      <c r="B1204" s="1">
        <f>DATE(2012,5,8) + TIME(13,27,0)</f>
        <v>41037.560416666667</v>
      </c>
      <c r="C1204">
        <v>80</v>
      </c>
      <c r="D1204">
        <v>79.949958800999994</v>
      </c>
      <c r="E1204">
        <v>50</v>
      </c>
      <c r="F1204">
        <v>49.148315429999997</v>
      </c>
      <c r="G1204">
        <v>1387.7515868999999</v>
      </c>
      <c r="H1204">
        <v>1373.1678466999999</v>
      </c>
      <c r="I1204">
        <v>1287.8010254000001</v>
      </c>
      <c r="J1204">
        <v>1268.5899658000001</v>
      </c>
      <c r="K1204">
        <v>2400</v>
      </c>
      <c r="L1204">
        <v>0</v>
      </c>
      <c r="M1204">
        <v>0</v>
      </c>
      <c r="N1204">
        <v>2400</v>
      </c>
    </row>
    <row r="1205" spans="1:14" x14ac:dyDescent="0.25">
      <c r="A1205">
        <v>738.78509099999997</v>
      </c>
      <c r="B1205" s="1">
        <f>DATE(2012,5,8) + TIME(18,50,31)</f>
        <v>41037.785081018519</v>
      </c>
      <c r="C1205">
        <v>80</v>
      </c>
      <c r="D1205">
        <v>79.950134277000004</v>
      </c>
      <c r="E1205">
        <v>50</v>
      </c>
      <c r="F1205">
        <v>49.129844665999997</v>
      </c>
      <c r="G1205">
        <v>1387.7280272999999</v>
      </c>
      <c r="H1205">
        <v>1373.1634521000001</v>
      </c>
      <c r="I1205">
        <v>1287.7963867000001</v>
      </c>
      <c r="J1205">
        <v>1268.5839844</v>
      </c>
      <c r="K1205">
        <v>2400</v>
      </c>
      <c r="L1205">
        <v>0</v>
      </c>
      <c r="M1205">
        <v>0</v>
      </c>
      <c r="N1205">
        <v>2400</v>
      </c>
    </row>
    <row r="1206" spans="1:14" x14ac:dyDescent="0.25">
      <c r="A1206">
        <v>739.01405599999998</v>
      </c>
      <c r="B1206" s="1">
        <f>DATE(2012,5,9) + TIME(0,20,14)</f>
        <v>41038.014050925929</v>
      </c>
      <c r="C1206">
        <v>80</v>
      </c>
      <c r="D1206">
        <v>79.950271606000001</v>
      </c>
      <c r="E1206">
        <v>50</v>
      </c>
      <c r="F1206">
        <v>49.111110687</v>
      </c>
      <c r="G1206">
        <v>1387.7017822</v>
      </c>
      <c r="H1206">
        <v>1373.15625</v>
      </c>
      <c r="I1206">
        <v>1287.7933350000001</v>
      </c>
      <c r="J1206">
        <v>1268.5795897999999</v>
      </c>
      <c r="K1206">
        <v>2400</v>
      </c>
      <c r="L1206">
        <v>0</v>
      </c>
      <c r="M1206">
        <v>0</v>
      </c>
      <c r="N1206">
        <v>2400</v>
      </c>
    </row>
    <row r="1207" spans="1:14" x14ac:dyDescent="0.25">
      <c r="A1207">
        <v>739.24665400000004</v>
      </c>
      <c r="B1207" s="1">
        <f>DATE(2012,5,9) + TIME(5,55,10)</f>
        <v>41038.24664351852</v>
      </c>
      <c r="C1207">
        <v>80</v>
      </c>
      <c r="D1207">
        <v>79.950370789000004</v>
      </c>
      <c r="E1207">
        <v>50</v>
      </c>
      <c r="F1207">
        <v>49.092147826999998</v>
      </c>
      <c r="G1207">
        <v>1387.6730957</v>
      </c>
      <c r="H1207">
        <v>1373.1463623</v>
      </c>
      <c r="I1207">
        <v>1287.7915039</v>
      </c>
      <c r="J1207">
        <v>1268.5765381000001</v>
      </c>
      <c r="K1207">
        <v>2400</v>
      </c>
      <c r="L1207">
        <v>0</v>
      </c>
      <c r="M1207">
        <v>0</v>
      </c>
      <c r="N1207">
        <v>2400</v>
      </c>
    </row>
    <row r="1208" spans="1:14" x14ac:dyDescent="0.25">
      <c r="A1208">
        <v>739.48267899999996</v>
      </c>
      <c r="B1208" s="1">
        <f>DATE(2012,5,9) + TIME(11,35,3)</f>
        <v>41038.482673611114</v>
      </c>
      <c r="C1208">
        <v>80</v>
      </c>
      <c r="D1208">
        <v>79.950454711999996</v>
      </c>
      <c r="E1208">
        <v>50</v>
      </c>
      <c r="F1208">
        <v>49.072971344000003</v>
      </c>
      <c r="G1208">
        <v>1387.6422118999999</v>
      </c>
      <c r="H1208">
        <v>1373.1340332</v>
      </c>
      <c r="I1208">
        <v>1287.7907714999999</v>
      </c>
      <c r="J1208">
        <v>1268.5745850000001</v>
      </c>
      <c r="K1208">
        <v>2400</v>
      </c>
      <c r="L1208">
        <v>0</v>
      </c>
      <c r="M1208">
        <v>0</v>
      </c>
      <c r="N1208">
        <v>2400</v>
      </c>
    </row>
    <row r="1209" spans="1:14" x14ac:dyDescent="0.25">
      <c r="A1209">
        <v>739.72253699999999</v>
      </c>
      <c r="B1209" s="1">
        <f>DATE(2012,5,9) + TIME(17,20,27)</f>
        <v>41038.722534722219</v>
      </c>
      <c r="C1209">
        <v>80</v>
      </c>
      <c r="D1209">
        <v>79.950508118000002</v>
      </c>
      <c r="E1209">
        <v>50</v>
      </c>
      <c r="F1209">
        <v>49.053565978999998</v>
      </c>
      <c r="G1209">
        <v>1387.609375</v>
      </c>
      <c r="H1209">
        <v>1373.1195068</v>
      </c>
      <c r="I1209">
        <v>1287.7910156</v>
      </c>
      <c r="J1209">
        <v>1268.5733643000001</v>
      </c>
      <c r="K1209">
        <v>2400</v>
      </c>
      <c r="L1209">
        <v>0</v>
      </c>
      <c r="M1209">
        <v>0</v>
      </c>
      <c r="N1209">
        <v>2400</v>
      </c>
    </row>
    <row r="1210" spans="1:14" x14ac:dyDescent="0.25">
      <c r="A1210">
        <v>739.96670800000004</v>
      </c>
      <c r="B1210" s="1">
        <f>DATE(2012,5,9) + TIME(23,12,3)</f>
        <v>41038.96670138889</v>
      </c>
      <c r="C1210">
        <v>80</v>
      </c>
      <c r="D1210">
        <v>79.950553893999995</v>
      </c>
      <c r="E1210">
        <v>50</v>
      </c>
      <c r="F1210">
        <v>49.033893585000001</v>
      </c>
      <c r="G1210">
        <v>1387.5745850000001</v>
      </c>
      <c r="H1210">
        <v>1373.1030272999999</v>
      </c>
      <c r="I1210">
        <v>1287.7918701000001</v>
      </c>
      <c r="J1210">
        <v>1268.572876</v>
      </c>
      <c r="K1210">
        <v>2400</v>
      </c>
      <c r="L1210">
        <v>0</v>
      </c>
      <c r="M1210">
        <v>0</v>
      </c>
      <c r="N1210">
        <v>2400</v>
      </c>
    </row>
    <row r="1211" spans="1:14" x14ac:dyDescent="0.25">
      <c r="A1211">
        <v>740.21570799999995</v>
      </c>
      <c r="B1211" s="1">
        <f>DATE(2012,5,10) + TIME(5,10,37)</f>
        <v>41039.21570601852</v>
      </c>
      <c r="C1211">
        <v>80</v>
      </c>
      <c r="D1211">
        <v>79.950584411999998</v>
      </c>
      <c r="E1211">
        <v>50</v>
      </c>
      <c r="F1211">
        <v>49.013927459999998</v>
      </c>
      <c r="G1211">
        <v>1387.5382079999999</v>
      </c>
      <c r="H1211">
        <v>1373.0847168</v>
      </c>
      <c r="I1211">
        <v>1287.7932129000001</v>
      </c>
      <c r="J1211">
        <v>1268.572876</v>
      </c>
      <c r="K1211">
        <v>2400</v>
      </c>
      <c r="L1211">
        <v>0</v>
      </c>
      <c r="M1211">
        <v>0</v>
      </c>
      <c r="N1211">
        <v>2400</v>
      </c>
    </row>
    <row r="1212" spans="1:14" x14ac:dyDescent="0.25">
      <c r="A1212">
        <v>740.47009200000002</v>
      </c>
      <c r="B1212" s="1">
        <f>DATE(2012,5,10) + TIME(11,16,55)</f>
        <v>41039.470081018517</v>
      </c>
      <c r="C1212">
        <v>80</v>
      </c>
      <c r="D1212">
        <v>79.950599670000003</v>
      </c>
      <c r="E1212">
        <v>50</v>
      </c>
      <c r="F1212">
        <v>48.993629456000001</v>
      </c>
      <c r="G1212">
        <v>1387.5</v>
      </c>
      <c r="H1212">
        <v>1373.0646973</v>
      </c>
      <c r="I1212">
        <v>1287.7950439000001</v>
      </c>
      <c r="J1212">
        <v>1268.5732422000001</v>
      </c>
      <c r="K1212">
        <v>2400</v>
      </c>
      <c r="L1212">
        <v>0</v>
      </c>
      <c r="M1212">
        <v>0</v>
      </c>
      <c r="N1212">
        <v>2400</v>
      </c>
    </row>
    <row r="1213" spans="1:14" x14ac:dyDescent="0.25">
      <c r="A1213">
        <v>740.73045999999999</v>
      </c>
      <c r="B1213" s="1">
        <f>DATE(2012,5,10) + TIME(17,31,51)</f>
        <v>41039.730451388888</v>
      </c>
      <c r="C1213">
        <v>80</v>
      </c>
      <c r="D1213">
        <v>79.950607300000001</v>
      </c>
      <c r="E1213">
        <v>50</v>
      </c>
      <c r="F1213">
        <v>48.972961425999998</v>
      </c>
      <c r="G1213">
        <v>1387.4603271000001</v>
      </c>
      <c r="H1213">
        <v>1373.0428466999999</v>
      </c>
      <c r="I1213">
        <v>1287.7971190999999</v>
      </c>
      <c r="J1213">
        <v>1268.5738524999999</v>
      </c>
      <c r="K1213">
        <v>2400</v>
      </c>
      <c r="L1213">
        <v>0</v>
      </c>
      <c r="M1213">
        <v>0</v>
      </c>
      <c r="N1213">
        <v>2400</v>
      </c>
    </row>
    <row r="1214" spans="1:14" x14ac:dyDescent="0.25">
      <c r="A1214">
        <v>740.99747400000001</v>
      </c>
      <c r="B1214" s="1">
        <f>DATE(2012,5,10) + TIME(23,56,21)</f>
        <v>41039.997465277775</v>
      </c>
      <c r="C1214">
        <v>80</v>
      </c>
      <c r="D1214">
        <v>79.950607300000001</v>
      </c>
      <c r="E1214">
        <v>50</v>
      </c>
      <c r="F1214">
        <v>48.951877594000003</v>
      </c>
      <c r="G1214">
        <v>1387.4188231999999</v>
      </c>
      <c r="H1214">
        <v>1373.0194091999999</v>
      </c>
      <c r="I1214">
        <v>1287.7991943</v>
      </c>
      <c r="J1214">
        <v>1268.5745850000001</v>
      </c>
      <c r="K1214">
        <v>2400</v>
      </c>
      <c r="L1214">
        <v>0</v>
      </c>
      <c r="M1214">
        <v>0</v>
      </c>
      <c r="N1214">
        <v>2400</v>
      </c>
    </row>
    <row r="1215" spans="1:14" x14ac:dyDescent="0.25">
      <c r="A1215">
        <v>741.27186300000005</v>
      </c>
      <c r="B1215" s="1">
        <f>DATE(2012,5,11) + TIME(6,31,28)</f>
        <v>41040.271851851852</v>
      </c>
      <c r="C1215">
        <v>80</v>
      </c>
      <c r="D1215">
        <v>79.950607300000001</v>
      </c>
      <c r="E1215">
        <v>50</v>
      </c>
      <c r="F1215">
        <v>48.930339813000003</v>
      </c>
      <c r="G1215">
        <v>1387.3758545000001</v>
      </c>
      <c r="H1215">
        <v>1372.9943848</v>
      </c>
      <c r="I1215">
        <v>1287.8015137</v>
      </c>
      <c r="J1215">
        <v>1268.5753173999999</v>
      </c>
      <c r="K1215">
        <v>2400</v>
      </c>
      <c r="L1215">
        <v>0</v>
      </c>
      <c r="M1215">
        <v>0</v>
      </c>
      <c r="N1215">
        <v>2400</v>
      </c>
    </row>
    <row r="1216" spans="1:14" x14ac:dyDescent="0.25">
      <c r="A1216">
        <v>741.55444199999999</v>
      </c>
      <c r="B1216" s="1">
        <f>DATE(2012,5,11) + TIME(13,18,23)</f>
        <v>41040.554432870369</v>
      </c>
      <c r="C1216">
        <v>80</v>
      </c>
      <c r="D1216">
        <v>79.950592040999993</v>
      </c>
      <c r="E1216">
        <v>50</v>
      </c>
      <c r="F1216">
        <v>48.908287047999998</v>
      </c>
      <c r="G1216">
        <v>1387.3311768000001</v>
      </c>
      <c r="H1216">
        <v>1372.9676514</v>
      </c>
      <c r="I1216">
        <v>1287.8037108999999</v>
      </c>
      <c r="J1216">
        <v>1268.5759277</v>
      </c>
      <c r="K1216">
        <v>2400</v>
      </c>
      <c r="L1216">
        <v>0</v>
      </c>
      <c r="M1216">
        <v>0</v>
      </c>
      <c r="N1216">
        <v>2400</v>
      </c>
    </row>
    <row r="1217" spans="1:14" x14ac:dyDescent="0.25">
      <c r="A1217">
        <v>741.84617300000002</v>
      </c>
      <c r="B1217" s="1">
        <f>DATE(2012,5,11) + TIME(20,18,29)</f>
        <v>41040.846168981479</v>
      </c>
      <c r="C1217">
        <v>80</v>
      </c>
      <c r="D1217">
        <v>79.950576781999999</v>
      </c>
      <c r="E1217">
        <v>50</v>
      </c>
      <c r="F1217">
        <v>48.885658264</v>
      </c>
      <c r="G1217">
        <v>1387.2849120999999</v>
      </c>
      <c r="H1217">
        <v>1372.9394531</v>
      </c>
      <c r="I1217">
        <v>1287.8057861</v>
      </c>
      <c r="J1217">
        <v>1268.5762939000001</v>
      </c>
      <c r="K1217">
        <v>2400</v>
      </c>
      <c r="L1217">
        <v>0</v>
      </c>
      <c r="M1217">
        <v>0</v>
      </c>
      <c r="N1217">
        <v>2400</v>
      </c>
    </row>
    <row r="1218" spans="1:14" x14ac:dyDescent="0.25">
      <c r="A1218">
        <v>742.14823200000001</v>
      </c>
      <c r="B1218" s="1">
        <f>DATE(2012,5,12) + TIME(3,33,27)</f>
        <v>41041.148229166669</v>
      </c>
      <c r="C1218">
        <v>80</v>
      </c>
      <c r="D1218">
        <v>79.950553893999995</v>
      </c>
      <c r="E1218">
        <v>50</v>
      </c>
      <c r="F1218">
        <v>48.862384796000001</v>
      </c>
      <c r="G1218">
        <v>1387.2368164</v>
      </c>
      <c r="H1218">
        <v>1372.909668</v>
      </c>
      <c r="I1218">
        <v>1287.8076172000001</v>
      </c>
      <c r="J1218">
        <v>1268.5765381000001</v>
      </c>
      <c r="K1218">
        <v>2400</v>
      </c>
      <c r="L1218">
        <v>0</v>
      </c>
      <c r="M1218">
        <v>0</v>
      </c>
      <c r="N1218">
        <v>2400</v>
      </c>
    </row>
    <row r="1219" spans="1:14" x14ac:dyDescent="0.25">
      <c r="A1219">
        <v>742.46158400000002</v>
      </c>
      <c r="B1219" s="1">
        <f>DATE(2012,5,12) + TIME(11,4,40)</f>
        <v>41041.461574074077</v>
      </c>
      <c r="C1219">
        <v>80</v>
      </c>
      <c r="D1219">
        <v>79.950531006000006</v>
      </c>
      <c r="E1219">
        <v>50</v>
      </c>
      <c r="F1219">
        <v>48.838401793999999</v>
      </c>
      <c r="G1219">
        <v>1387.1868896000001</v>
      </c>
      <c r="H1219">
        <v>1372.8780518000001</v>
      </c>
      <c r="I1219">
        <v>1287.809082</v>
      </c>
      <c r="J1219">
        <v>1268.5762939000001</v>
      </c>
      <c r="K1219">
        <v>2400</v>
      </c>
      <c r="L1219">
        <v>0</v>
      </c>
      <c r="M1219">
        <v>0</v>
      </c>
      <c r="N1219">
        <v>2400</v>
      </c>
    </row>
    <row r="1220" spans="1:14" x14ac:dyDescent="0.25">
      <c r="A1220">
        <v>742.78244299999994</v>
      </c>
      <c r="B1220" s="1">
        <f>DATE(2012,5,12) + TIME(18,46,43)</f>
        <v>41041.782442129632</v>
      </c>
      <c r="C1220">
        <v>80</v>
      </c>
      <c r="D1220">
        <v>79.950500488000003</v>
      </c>
      <c r="E1220">
        <v>50</v>
      </c>
      <c r="F1220">
        <v>48.813899994000003</v>
      </c>
      <c r="G1220">
        <v>1387.1351318</v>
      </c>
      <c r="H1220">
        <v>1372.8448486</v>
      </c>
      <c r="I1220">
        <v>1287.8101807</v>
      </c>
      <c r="J1220">
        <v>1268.5755615</v>
      </c>
      <c r="K1220">
        <v>2400</v>
      </c>
      <c r="L1220">
        <v>0</v>
      </c>
      <c r="M1220">
        <v>0</v>
      </c>
      <c r="N1220">
        <v>2400</v>
      </c>
    </row>
    <row r="1221" spans="1:14" x14ac:dyDescent="0.25">
      <c r="A1221">
        <v>743.11170000000004</v>
      </c>
      <c r="B1221" s="1">
        <f>DATE(2012,5,13) + TIME(2,40,50)</f>
        <v>41042.111689814818</v>
      </c>
      <c r="C1221">
        <v>80</v>
      </c>
      <c r="D1221">
        <v>79.950469971000004</v>
      </c>
      <c r="E1221">
        <v>50</v>
      </c>
      <c r="F1221">
        <v>48.788848877</v>
      </c>
      <c r="G1221">
        <v>1387.0821533000001</v>
      </c>
      <c r="H1221">
        <v>1372.8104248</v>
      </c>
      <c r="I1221">
        <v>1287.8107910000001</v>
      </c>
      <c r="J1221">
        <v>1268.5744629000001</v>
      </c>
      <c r="K1221">
        <v>2400</v>
      </c>
      <c r="L1221">
        <v>0</v>
      </c>
      <c r="M1221">
        <v>0</v>
      </c>
      <c r="N1221">
        <v>2400</v>
      </c>
    </row>
    <row r="1222" spans="1:14" x14ac:dyDescent="0.25">
      <c r="A1222">
        <v>743.44361900000001</v>
      </c>
      <c r="B1222" s="1">
        <f>DATE(2012,5,13) + TIME(10,38,48)</f>
        <v>41042.443611111114</v>
      </c>
      <c r="C1222">
        <v>80</v>
      </c>
      <c r="D1222">
        <v>79.950431824000006</v>
      </c>
      <c r="E1222">
        <v>50</v>
      </c>
      <c r="F1222">
        <v>48.763561248999999</v>
      </c>
      <c r="G1222">
        <v>1387.0279541</v>
      </c>
      <c r="H1222">
        <v>1372.7746582</v>
      </c>
      <c r="I1222">
        <v>1287.8109131000001</v>
      </c>
      <c r="J1222">
        <v>1268.5726318</v>
      </c>
      <c r="K1222">
        <v>2400</v>
      </c>
      <c r="L1222">
        <v>0</v>
      </c>
      <c r="M1222">
        <v>0</v>
      </c>
      <c r="N1222">
        <v>2400</v>
      </c>
    </row>
    <row r="1223" spans="1:14" x14ac:dyDescent="0.25">
      <c r="A1223">
        <v>743.77828699999998</v>
      </c>
      <c r="B1223" s="1">
        <f>DATE(2012,5,13) + TIME(18,40,43)</f>
        <v>41042.778275462966</v>
      </c>
      <c r="C1223">
        <v>80</v>
      </c>
      <c r="D1223">
        <v>79.950393676999994</v>
      </c>
      <c r="E1223">
        <v>50</v>
      </c>
      <c r="F1223">
        <v>48.738079071000001</v>
      </c>
      <c r="G1223">
        <v>1386.9735106999999</v>
      </c>
      <c r="H1223">
        <v>1372.7384033000001</v>
      </c>
      <c r="I1223">
        <v>1287.8104248</v>
      </c>
      <c r="J1223">
        <v>1268.5701904</v>
      </c>
      <c r="K1223">
        <v>2400</v>
      </c>
      <c r="L1223">
        <v>0</v>
      </c>
      <c r="M1223">
        <v>0</v>
      </c>
      <c r="N1223">
        <v>2400</v>
      </c>
    </row>
    <row r="1224" spans="1:14" x14ac:dyDescent="0.25">
      <c r="A1224">
        <v>744.11645699999997</v>
      </c>
      <c r="B1224" s="1">
        <f>DATE(2012,5,14) + TIME(2,47,41)</f>
        <v>41043.116446759261</v>
      </c>
      <c r="C1224">
        <v>80</v>
      </c>
      <c r="D1224">
        <v>79.950355529999996</v>
      </c>
      <c r="E1224">
        <v>50</v>
      </c>
      <c r="F1224">
        <v>48.712387085000003</v>
      </c>
      <c r="G1224">
        <v>1386.9189452999999</v>
      </c>
      <c r="H1224">
        <v>1372.7016602000001</v>
      </c>
      <c r="I1224">
        <v>1287.8093262</v>
      </c>
      <c r="J1224">
        <v>1268.5672606999999</v>
      </c>
      <c r="K1224">
        <v>2400</v>
      </c>
      <c r="L1224">
        <v>0</v>
      </c>
      <c r="M1224">
        <v>0</v>
      </c>
      <c r="N1224">
        <v>2400</v>
      </c>
    </row>
    <row r="1225" spans="1:14" x14ac:dyDescent="0.25">
      <c r="A1225">
        <v>744.45884599999999</v>
      </c>
      <c r="B1225" s="1">
        <f>DATE(2012,5,14) + TIME(11,0,44)</f>
        <v>41043.45884259259</v>
      </c>
      <c r="C1225">
        <v>80</v>
      </c>
      <c r="D1225">
        <v>79.950317382999998</v>
      </c>
      <c r="E1225">
        <v>50</v>
      </c>
      <c r="F1225">
        <v>48.686470032000003</v>
      </c>
      <c r="G1225">
        <v>1386.8642577999999</v>
      </c>
      <c r="H1225">
        <v>1372.6645507999999</v>
      </c>
      <c r="I1225">
        <v>1287.8078613</v>
      </c>
      <c r="J1225">
        <v>1268.5638428</v>
      </c>
      <c r="K1225">
        <v>2400</v>
      </c>
      <c r="L1225">
        <v>0</v>
      </c>
      <c r="M1225">
        <v>0</v>
      </c>
      <c r="N1225">
        <v>2400</v>
      </c>
    </row>
    <row r="1226" spans="1:14" x14ac:dyDescent="0.25">
      <c r="A1226">
        <v>744.80624799999998</v>
      </c>
      <c r="B1226" s="1">
        <f>DATE(2012,5,14) + TIME(19,20,59)</f>
        <v>41043.806238425925</v>
      </c>
      <c r="C1226">
        <v>80</v>
      </c>
      <c r="D1226">
        <v>79.950279236</v>
      </c>
      <c r="E1226">
        <v>50</v>
      </c>
      <c r="F1226">
        <v>48.660293578999998</v>
      </c>
      <c r="G1226">
        <v>1386.8092041</v>
      </c>
      <c r="H1226">
        <v>1372.6269531</v>
      </c>
      <c r="I1226">
        <v>1287.8059082</v>
      </c>
      <c r="J1226">
        <v>1268.5599365</v>
      </c>
      <c r="K1226">
        <v>2400</v>
      </c>
      <c r="L1226">
        <v>0</v>
      </c>
      <c r="M1226">
        <v>0</v>
      </c>
      <c r="N1226">
        <v>2400</v>
      </c>
    </row>
    <row r="1227" spans="1:14" x14ac:dyDescent="0.25">
      <c r="A1227">
        <v>745.15949599999999</v>
      </c>
      <c r="B1227" s="1">
        <f>DATE(2012,5,15) + TIME(3,49,40)</f>
        <v>41044.159490740742</v>
      </c>
      <c r="C1227">
        <v>80</v>
      </c>
      <c r="D1227">
        <v>79.950241089000002</v>
      </c>
      <c r="E1227">
        <v>50</v>
      </c>
      <c r="F1227">
        <v>48.633811950999998</v>
      </c>
      <c r="G1227">
        <v>1386.7540283000001</v>
      </c>
      <c r="H1227">
        <v>1372.5888672000001</v>
      </c>
      <c r="I1227">
        <v>1287.8033447</v>
      </c>
      <c r="J1227">
        <v>1268.5552978999999</v>
      </c>
      <c r="K1227">
        <v>2400</v>
      </c>
      <c r="L1227">
        <v>0</v>
      </c>
      <c r="M1227">
        <v>0</v>
      </c>
      <c r="N1227">
        <v>2400</v>
      </c>
    </row>
    <row r="1228" spans="1:14" x14ac:dyDescent="0.25">
      <c r="A1228">
        <v>745.51946499999997</v>
      </c>
      <c r="B1228" s="1">
        <f>DATE(2012,5,15) + TIME(12,28,1)</f>
        <v>41044.519456018519</v>
      </c>
      <c r="C1228">
        <v>80</v>
      </c>
      <c r="D1228">
        <v>79.950202942000004</v>
      </c>
      <c r="E1228">
        <v>50</v>
      </c>
      <c r="F1228">
        <v>48.606983184999997</v>
      </c>
      <c r="G1228">
        <v>1386.6983643000001</v>
      </c>
      <c r="H1228">
        <v>1372.550293</v>
      </c>
      <c r="I1228">
        <v>1287.8004149999999</v>
      </c>
      <c r="J1228">
        <v>1268.550293</v>
      </c>
      <c r="K1228">
        <v>2400</v>
      </c>
      <c r="L1228">
        <v>0</v>
      </c>
      <c r="M1228">
        <v>0</v>
      </c>
      <c r="N1228">
        <v>2400</v>
      </c>
    </row>
    <row r="1229" spans="1:14" x14ac:dyDescent="0.25">
      <c r="A1229">
        <v>745.88656400000002</v>
      </c>
      <c r="B1229" s="1">
        <f>DATE(2012,5,15) + TIME(21,16,39)</f>
        <v>41044.886562500003</v>
      </c>
      <c r="C1229">
        <v>80</v>
      </c>
      <c r="D1229">
        <v>79.950157165999997</v>
      </c>
      <c r="E1229">
        <v>50</v>
      </c>
      <c r="F1229">
        <v>48.579776764000002</v>
      </c>
      <c r="G1229">
        <v>1386.6423339999999</v>
      </c>
      <c r="H1229">
        <v>1372.5112305</v>
      </c>
      <c r="I1229">
        <v>1287.7967529</v>
      </c>
      <c r="J1229">
        <v>1268.5445557</v>
      </c>
      <c r="K1229">
        <v>2400</v>
      </c>
      <c r="L1229">
        <v>0</v>
      </c>
      <c r="M1229">
        <v>0</v>
      </c>
      <c r="N1229">
        <v>2400</v>
      </c>
    </row>
    <row r="1230" spans="1:14" x14ac:dyDescent="0.25">
      <c r="A1230">
        <v>746.25861599999996</v>
      </c>
      <c r="B1230" s="1">
        <f>DATE(2012,5,16) + TIME(6,12,24)</f>
        <v>41045.258611111109</v>
      </c>
      <c r="C1230">
        <v>80</v>
      </c>
      <c r="D1230">
        <v>79.950119018999999</v>
      </c>
      <c r="E1230">
        <v>50</v>
      </c>
      <c r="F1230">
        <v>48.552303314</v>
      </c>
      <c r="G1230">
        <v>1386.5859375</v>
      </c>
      <c r="H1230">
        <v>1372.4715576000001</v>
      </c>
      <c r="I1230">
        <v>1287.7927245999999</v>
      </c>
      <c r="J1230">
        <v>1268.5383300999999</v>
      </c>
      <c r="K1230">
        <v>2400</v>
      </c>
      <c r="L1230">
        <v>0</v>
      </c>
      <c r="M1230">
        <v>0</v>
      </c>
      <c r="N1230">
        <v>2400</v>
      </c>
    </row>
    <row r="1231" spans="1:14" x14ac:dyDescent="0.25">
      <c r="A1231">
        <v>746.63554199999999</v>
      </c>
      <c r="B1231" s="1">
        <f>DATE(2012,5,16) + TIME(15,15,10)</f>
        <v>41045.63553240741</v>
      </c>
      <c r="C1231">
        <v>80</v>
      </c>
      <c r="D1231">
        <v>79.950080872000001</v>
      </c>
      <c r="E1231">
        <v>50</v>
      </c>
      <c r="F1231">
        <v>48.524574280000003</v>
      </c>
      <c r="G1231">
        <v>1386.5292969</v>
      </c>
      <c r="H1231">
        <v>1372.4315185999999</v>
      </c>
      <c r="I1231">
        <v>1287.7880858999999</v>
      </c>
      <c r="J1231">
        <v>1268.5314940999999</v>
      </c>
      <c r="K1231">
        <v>2400</v>
      </c>
      <c r="L1231">
        <v>0</v>
      </c>
      <c r="M1231">
        <v>0</v>
      </c>
      <c r="N1231">
        <v>2400</v>
      </c>
    </row>
    <row r="1232" spans="1:14" x14ac:dyDescent="0.25">
      <c r="A1232">
        <v>747.01812600000005</v>
      </c>
      <c r="B1232" s="1">
        <f>DATE(2012,5,17) + TIME(0,26,6)</f>
        <v>41046.018125000002</v>
      </c>
      <c r="C1232">
        <v>80</v>
      </c>
      <c r="D1232">
        <v>79.950035095000004</v>
      </c>
      <c r="E1232">
        <v>50</v>
      </c>
      <c r="F1232">
        <v>48.496562957999998</v>
      </c>
      <c r="G1232">
        <v>1386.4726562000001</v>
      </c>
      <c r="H1232">
        <v>1372.3913574000001</v>
      </c>
      <c r="I1232">
        <v>1287.7829589999999</v>
      </c>
      <c r="J1232">
        <v>1268.5241699000001</v>
      </c>
      <c r="K1232">
        <v>2400</v>
      </c>
      <c r="L1232">
        <v>0</v>
      </c>
      <c r="M1232">
        <v>0</v>
      </c>
      <c r="N1232">
        <v>2400</v>
      </c>
    </row>
    <row r="1233" spans="1:14" x14ac:dyDescent="0.25">
      <c r="A1233">
        <v>747.40718800000002</v>
      </c>
      <c r="B1233" s="1">
        <f>DATE(2012,5,17) + TIME(9,46,21)</f>
        <v>41046.407187500001</v>
      </c>
      <c r="C1233">
        <v>80</v>
      </c>
      <c r="D1233">
        <v>79.949996948000006</v>
      </c>
      <c r="E1233">
        <v>50</v>
      </c>
      <c r="F1233">
        <v>48.468227386000002</v>
      </c>
      <c r="G1233">
        <v>1386.4158935999999</v>
      </c>
      <c r="H1233">
        <v>1372.3507079999999</v>
      </c>
      <c r="I1233">
        <v>1287.7774658000001</v>
      </c>
      <c r="J1233">
        <v>1268.5163574000001</v>
      </c>
      <c r="K1233">
        <v>2400</v>
      </c>
      <c r="L1233">
        <v>0</v>
      </c>
      <c r="M1233">
        <v>0</v>
      </c>
      <c r="N1233">
        <v>2400</v>
      </c>
    </row>
    <row r="1234" spans="1:14" x14ac:dyDescent="0.25">
      <c r="A1234">
        <v>747.80360900000005</v>
      </c>
      <c r="B1234" s="1">
        <f>DATE(2012,5,17) + TIME(19,17,11)</f>
        <v>41046.803599537037</v>
      </c>
      <c r="C1234">
        <v>80</v>
      </c>
      <c r="D1234">
        <v>79.949958800999994</v>
      </c>
      <c r="E1234">
        <v>50</v>
      </c>
      <c r="F1234">
        <v>48.439533234000002</v>
      </c>
      <c r="G1234">
        <v>1386.3587646000001</v>
      </c>
      <c r="H1234">
        <v>1372.3099365</v>
      </c>
      <c r="I1234">
        <v>1287.7713623</v>
      </c>
      <c r="J1234">
        <v>1268.5079346</v>
      </c>
      <c r="K1234">
        <v>2400</v>
      </c>
      <c r="L1234">
        <v>0</v>
      </c>
      <c r="M1234">
        <v>0</v>
      </c>
      <c r="N1234">
        <v>2400</v>
      </c>
    </row>
    <row r="1235" spans="1:14" x14ac:dyDescent="0.25">
      <c r="A1235">
        <v>748.20834100000002</v>
      </c>
      <c r="B1235" s="1">
        <f>DATE(2012,5,18) + TIME(5,0,0)</f>
        <v>41047.208333333336</v>
      </c>
      <c r="C1235">
        <v>80</v>
      </c>
      <c r="D1235">
        <v>79.949920653999996</v>
      </c>
      <c r="E1235">
        <v>50</v>
      </c>
      <c r="F1235">
        <v>48.410415649000001</v>
      </c>
      <c r="G1235">
        <v>1386.3015137</v>
      </c>
      <c r="H1235">
        <v>1372.2685547000001</v>
      </c>
      <c r="I1235">
        <v>1287.7648925999999</v>
      </c>
      <c r="J1235">
        <v>1268.4990233999999</v>
      </c>
      <c r="K1235">
        <v>2400</v>
      </c>
      <c r="L1235">
        <v>0</v>
      </c>
      <c r="M1235">
        <v>0</v>
      </c>
      <c r="N1235">
        <v>2400</v>
      </c>
    </row>
    <row r="1236" spans="1:14" x14ac:dyDescent="0.25">
      <c r="A1236">
        <v>748.62242600000002</v>
      </c>
      <c r="B1236" s="1">
        <f>DATE(2012,5,18) + TIME(14,56,17)</f>
        <v>41047.622418981482</v>
      </c>
      <c r="C1236">
        <v>80</v>
      </c>
      <c r="D1236">
        <v>79.949882506999998</v>
      </c>
      <c r="E1236">
        <v>50</v>
      </c>
      <c r="F1236">
        <v>48.380828856999997</v>
      </c>
      <c r="G1236">
        <v>1386.2437743999999</v>
      </c>
      <c r="H1236">
        <v>1372.2268065999999</v>
      </c>
      <c r="I1236">
        <v>1287.7578125</v>
      </c>
      <c r="J1236">
        <v>1268.4895019999999</v>
      </c>
      <c r="K1236">
        <v>2400</v>
      </c>
      <c r="L1236">
        <v>0</v>
      </c>
      <c r="M1236">
        <v>0</v>
      </c>
      <c r="N1236">
        <v>2400</v>
      </c>
    </row>
    <row r="1237" spans="1:14" x14ac:dyDescent="0.25">
      <c r="A1237">
        <v>749.047011</v>
      </c>
      <c r="B1237" s="1">
        <f>DATE(2012,5,19) + TIME(1,7,41)</f>
        <v>41048.047002314815</v>
      </c>
      <c r="C1237">
        <v>80</v>
      </c>
      <c r="D1237">
        <v>79.94984436</v>
      </c>
      <c r="E1237">
        <v>50</v>
      </c>
      <c r="F1237">
        <v>48.350700377999999</v>
      </c>
      <c r="G1237">
        <v>1386.1855469</v>
      </c>
      <c r="H1237">
        <v>1372.1845702999999</v>
      </c>
      <c r="I1237">
        <v>1287.7503661999999</v>
      </c>
      <c r="J1237">
        <v>1268.4794922000001</v>
      </c>
      <c r="K1237">
        <v>2400</v>
      </c>
      <c r="L1237">
        <v>0</v>
      </c>
      <c r="M1237">
        <v>0</v>
      </c>
      <c r="N1237">
        <v>2400</v>
      </c>
    </row>
    <row r="1238" spans="1:14" x14ac:dyDescent="0.25">
      <c r="A1238">
        <v>749.48294799999996</v>
      </c>
      <c r="B1238" s="1">
        <f>DATE(2012,5,19) + TIME(11,35,26)</f>
        <v>41048.482939814814</v>
      </c>
      <c r="C1238">
        <v>80</v>
      </c>
      <c r="D1238">
        <v>79.949806213000002</v>
      </c>
      <c r="E1238">
        <v>50</v>
      </c>
      <c r="F1238">
        <v>48.319976807000003</v>
      </c>
      <c r="G1238">
        <v>1386.1267089999999</v>
      </c>
      <c r="H1238">
        <v>1372.1416016000001</v>
      </c>
      <c r="I1238">
        <v>1287.7423096</v>
      </c>
      <c r="J1238">
        <v>1268.4688721</v>
      </c>
      <c r="K1238">
        <v>2400</v>
      </c>
      <c r="L1238">
        <v>0</v>
      </c>
      <c r="M1238">
        <v>0</v>
      </c>
      <c r="N1238">
        <v>2400</v>
      </c>
    </row>
    <row r="1239" spans="1:14" x14ac:dyDescent="0.25">
      <c r="A1239">
        <v>749.93036900000004</v>
      </c>
      <c r="B1239" s="1">
        <f>DATE(2012,5,19) + TIME(22,19,43)</f>
        <v>41048.930358796293</v>
      </c>
      <c r="C1239">
        <v>80</v>
      </c>
      <c r="D1239">
        <v>79.949768066000004</v>
      </c>
      <c r="E1239">
        <v>50</v>
      </c>
      <c r="F1239">
        <v>48.288642883000001</v>
      </c>
      <c r="G1239">
        <v>1386.0672606999999</v>
      </c>
      <c r="H1239">
        <v>1372.0980225000001</v>
      </c>
      <c r="I1239">
        <v>1287.7337646000001</v>
      </c>
      <c r="J1239">
        <v>1268.4576416</v>
      </c>
      <c r="K1239">
        <v>2400</v>
      </c>
      <c r="L1239">
        <v>0</v>
      </c>
      <c r="M1239">
        <v>0</v>
      </c>
      <c r="N1239">
        <v>2400</v>
      </c>
    </row>
    <row r="1240" spans="1:14" x14ac:dyDescent="0.25">
      <c r="A1240">
        <v>750.39023199999997</v>
      </c>
      <c r="B1240" s="1">
        <f>DATE(2012,5,20) + TIME(9,21,56)</f>
        <v>41049.390231481484</v>
      </c>
      <c r="C1240">
        <v>80</v>
      </c>
      <c r="D1240">
        <v>79.949729919000006</v>
      </c>
      <c r="E1240">
        <v>50</v>
      </c>
      <c r="F1240">
        <v>48.256649017000001</v>
      </c>
      <c r="G1240">
        <v>1386.0070800999999</v>
      </c>
      <c r="H1240">
        <v>1372.0538329999999</v>
      </c>
      <c r="I1240">
        <v>1287.7247314000001</v>
      </c>
      <c r="J1240">
        <v>1268.4458007999999</v>
      </c>
      <c r="K1240">
        <v>2400</v>
      </c>
      <c r="L1240">
        <v>0</v>
      </c>
      <c r="M1240">
        <v>0</v>
      </c>
      <c r="N1240">
        <v>2400</v>
      </c>
    </row>
    <row r="1241" spans="1:14" x14ac:dyDescent="0.25">
      <c r="A1241">
        <v>750.85200099999997</v>
      </c>
      <c r="B1241" s="1">
        <f>DATE(2012,5,20) + TIME(20,26,52)</f>
        <v>41049.851990740739</v>
      </c>
      <c r="C1241">
        <v>80</v>
      </c>
      <c r="D1241">
        <v>79.949691771999994</v>
      </c>
      <c r="E1241">
        <v>50</v>
      </c>
      <c r="F1241">
        <v>48.224449157999999</v>
      </c>
      <c r="G1241">
        <v>1385.9465332</v>
      </c>
      <c r="H1241">
        <v>1372.0091553</v>
      </c>
      <c r="I1241">
        <v>1287.7150879000001</v>
      </c>
      <c r="J1241">
        <v>1268.4333495999999</v>
      </c>
      <c r="K1241">
        <v>2400</v>
      </c>
      <c r="L1241">
        <v>0</v>
      </c>
      <c r="M1241">
        <v>0</v>
      </c>
      <c r="N1241">
        <v>2400</v>
      </c>
    </row>
    <row r="1242" spans="1:14" x14ac:dyDescent="0.25">
      <c r="A1242">
        <v>751.31674799999996</v>
      </c>
      <c r="B1242" s="1">
        <f>DATE(2012,5,21) + TIME(7,36,7)</f>
        <v>41050.316747685189</v>
      </c>
      <c r="C1242">
        <v>80</v>
      </c>
      <c r="D1242">
        <v>79.949661254999995</v>
      </c>
      <c r="E1242">
        <v>50</v>
      </c>
      <c r="F1242">
        <v>48.192089080999999</v>
      </c>
      <c r="G1242">
        <v>1385.8864745999999</v>
      </c>
      <c r="H1242">
        <v>1371.9648437999999</v>
      </c>
      <c r="I1242">
        <v>1287.7050781</v>
      </c>
      <c r="J1242">
        <v>1268.4205322</v>
      </c>
      <c r="K1242">
        <v>2400</v>
      </c>
      <c r="L1242">
        <v>0</v>
      </c>
      <c r="M1242">
        <v>0</v>
      </c>
      <c r="N1242">
        <v>2400</v>
      </c>
    </row>
    <row r="1243" spans="1:14" x14ac:dyDescent="0.25">
      <c r="A1243">
        <v>751.78571899999997</v>
      </c>
      <c r="B1243" s="1">
        <f>DATE(2012,5,21) + TIME(18,51,26)</f>
        <v>41050.785717592589</v>
      </c>
      <c r="C1243">
        <v>80</v>
      </c>
      <c r="D1243">
        <v>79.949623107999997</v>
      </c>
      <c r="E1243">
        <v>50</v>
      </c>
      <c r="F1243">
        <v>48.159557343000003</v>
      </c>
      <c r="G1243">
        <v>1385.8269043</v>
      </c>
      <c r="H1243">
        <v>1371.9205322</v>
      </c>
      <c r="I1243">
        <v>1287.6948242000001</v>
      </c>
      <c r="J1243">
        <v>1268.4073486</v>
      </c>
      <c r="K1243">
        <v>2400</v>
      </c>
      <c r="L1243">
        <v>0</v>
      </c>
      <c r="M1243">
        <v>0</v>
      </c>
      <c r="N1243">
        <v>2400</v>
      </c>
    </row>
    <row r="1244" spans="1:14" x14ac:dyDescent="0.25">
      <c r="A1244">
        <v>752.25980600000003</v>
      </c>
      <c r="B1244" s="1">
        <f>DATE(2012,5,22) + TIME(6,14,7)</f>
        <v>41051.25980324074</v>
      </c>
      <c r="C1244">
        <v>80</v>
      </c>
      <c r="D1244">
        <v>79.949584960999999</v>
      </c>
      <c r="E1244">
        <v>50</v>
      </c>
      <c r="F1244">
        <v>48.126838683999999</v>
      </c>
      <c r="G1244">
        <v>1385.7678223</v>
      </c>
      <c r="H1244">
        <v>1371.8764647999999</v>
      </c>
      <c r="I1244">
        <v>1287.6842041</v>
      </c>
      <c r="J1244">
        <v>1268.3937988</v>
      </c>
      <c r="K1244">
        <v>2400</v>
      </c>
      <c r="L1244">
        <v>0</v>
      </c>
      <c r="M1244">
        <v>0</v>
      </c>
      <c r="N1244">
        <v>2400</v>
      </c>
    </row>
    <row r="1245" spans="1:14" x14ac:dyDescent="0.25">
      <c r="A1245">
        <v>752.74006299999996</v>
      </c>
      <c r="B1245" s="1">
        <f>DATE(2012,5,22) + TIME(17,45,41)</f>
        <v>41051.740057870367</v>
      </c>
      <c r="C1245">
        <v>80</v>
      </c>
      <c r="D1245">
        <v>79.949554442999997</v>
      </c>
      <c r="E1245">
        <v>50</v>
      </c>
      <c r="F1245">
        <v>48.093894958</v>
      </c>
      <c r="G1245">
        <v>1385.7088623</v>
      </c>
      <c r="H1245">
        <v>1371.8325195</v>
      </c>
      <c r="I1245">
        <v>1287.6733397999999</v>
      </c>
      <c r="J1245">
        <v>1268.3797606999999</v>
      </c>
      <c r="K1245">
        <v>2400</v>
      </c>
      <c r="L1245">
        <v>0</v>
      </c>
      <c r="M1245">
        <v>0</v>
      </c>
      <c r="N1245">
        <v>2400</v>
      </c>
    </row>
    <row r="1246" spans="1:14" x14ac:dyDescent="0.25">
      <c r="A1246">
        <v>753.22761200000002</v>
      </c>
      <c r="B1246" s="1">
        <f>DATE(2012,5,23) + TIME(5,27,45)</f>
        <v>41052.22760416667</v>
      </c>
      <c r="C1246">
        <v>80</v>
      </c>
      <c r="D1246">
        <v>79.949523925999998</v>
      </c>
      <c r="E1246">
        <v>50</v>
      </c>
      <c r="F1246">
        <v>48.060672760000003</v>
      </c>
      <c r="G1246">
        <v>1385.6501464999999</v>
      </c>
      <c r="H1246">
        <v>1371.7884521000001</v>
      </c>
      <c r="I1246">
        <v>1287.6621094</v>
      </c>
      <c r="J1246">
        <v>1268.3654785000001</v>
      </c>
      <c r="K1246">
        <v>2400</v>
      </c>
      <c r="L1246">
        <v>0</v>
      </c>
      <c r="M1246">
        <v>0</v>
      </c>
      <c r="N1246">
        <v>2400</v>
      </c>
    </row>
    <row r="1247" spans="1:14" x14ac:dyDescent="0.25">
      <c r="A1247">
        <v>753.72362799999996</v>
      </c>
      <c r="B1247" s="1">
        <f>DATE(2012,5,23) + TIME(17,22,1)</f>
        <v>41052.723622685182</v>
      </c>
      <c r="C1247">
        <v>80</v>
      </c>
      <c r="D1247">
        <v>79.949493407999995</v>
      </c>
      <c r="E1247">
        <v>50</v>
      </c>
      <c r="F1247">
        <v>48.027114867999998</v>
      </c>
      <c r="G1247">
        <v>1385.5915527</v>
      </c>
      <c r="H1247">
        <v>1371.7443848</v>
      </c>
      <c r="I1247">
        <v>1287.6505127</v>
      </c>
      <c r="J1247">
        <v>1268.3505858999999</v>
      </c>
      <c r="K1247">
        <v>2400</v>
      </c>
      <c r="L1247">
        <v>0</v>
      </c>
      <c r="M1247">
        <v>0</v>
      </c>
      <c r="N1247">
        <v>2400</v>
      </c>
    </row>
    <row r="1248" spans="1:14" x14ac:dyDescent="0.25">
      <c r="A1248">
        <v>754.22936900000002</v>
      </c>
      <c r="B1248" s="1">
        <f>DATE(2012,5,24) + TIME(5,30,17)</f>
        <v>41053.229363425926</v>
      </c>
      <c r="C1248">
        <v>80</v>
      </c>
      <c r="D1248">
        <v>79.949462890999996</v>
      </c>
      <c r="E1248">
        <v>50</v>
      </c>
      <c r="F1248">
        <v>47.993152618000003</v>
      </c>
      <c r="G1248">
        <v>1385.5327147999999</v>
      </c>
      <c r="H1248">
        <v>1371.7000731999999</v>
      </c>
      <c r="I1248">
        <v>1287.6385498</v>
      </c>
      <c r="J1248">
        <v>1268.3353271000001</v>
      </c>
      <c r="K1248">
        <v>2400</v>
      </c>
      <c r="L1248">
        <v>0</v>
      </c>
      <c r="M1248">
        <v>0</v>
      </c>
      <c r="N1248">
        <v>2400</v>
      </c>
    </row>
    <row r="1249" spans="1:14" x14ac:dyDescent="0.25">
      <c r="A1249">
        <v>754.74618299999997</v>
      </c>
      <c r="B1249" s="1">
        <f>DATE(2012,5,24) + TIME(17,54,30)</f>
        <v>41053.746180555558</v>
      </c>
      <c r="C1249">
        <v>80</v>
      </c>
      <c r="D1249">
        <v>79.949432372999993</v>
      </c>
      <c r="E1249">
        <v>50</v>
      </c>
      <c r="F1249">
        <v>47.958709716999998</v>
      </c>
      <c r="G1249">
        <v>1385.4737548999999</v>
      </c>
      <c r="H1249">
        <v>1371.6553954999999</v>
      </c>
      <c r="I1249">
        <v>1287.6260986</v>
      </c>
      <c r="J1249">
        <v>1268.3195800999999</v>
      </c>
      <c r="K1249">
        <v>2400</v>
      </c>
      <c r="L1249">
        <v>0</v>
      </c>
      <c r="M1249">
        <v>0</v>
      </c>
      <c r="N1249">
        <v>2400</v>
      </c>
    </row>
    <row r="1250" spans="1:14" x14ac:dyDescent="0.25">
      <c r="A1250">
        <v>755.27553999999998</v>
      </c>
      <c r="B1250" s="1">
        <f>DATE(2012,5,25) + TIME(6,36,46)</f>
        <v>41054.27553240741</v>
      </c>
      <c r="C1250">
        <v>80</v>
      </c>
      <c r="D1250">
        <v>79.949401855000005</v>
      </c>
      <c r="E1250">
        <v>50</v>
      </c>
      <c r="F1250">
        <v>47.923713683999999</v>
      </c>
      <c r="G1250">
        <v>1385.4145507999999</v>
      </c>
      <c r="H1250">
        <v>1371.6104736</v>
      </c>
      <c r="I1250">
        <v>1287.6132812000001</v>
      </c>
      <c r="J1250">
        <v>1268.3032227000001</v>
      </c>
      <c r="K1250">
        <v>2400</v>
      </c>
      <c r="L1250">
        <v>0</v>
      </c>
      <c r="M1250">
        <v>0</v>
      </c>
      <c r="N1250">
        <v>2400</v>
      </c>
    </row>
    <row r="1251" spans="1:14" x14ac:dyDescent="0.25">
      <c r="A1251">
        <v>755.81269799999995</v>
      </c>
      <c r="B1251" s="1">
        <f>DATE(2012,5,25) + TIME(19,30,17)</f>
        <v>41054.812696759262</v>
      </c>
      <c r="C1251">
        <v>80</v>
      </c>
      <c r="D1251">
        <v>79.949371338000006</v>
      </c>
      <c r="E1251">
        <v>50</v>
      </c>
      <c r="F1251">
        <v>47.888324738000001</v>
      </c>
      <c r="G1251">
        <v>1385.3549805</v>
      </c>
      <c r="H1251">
        <v>1371.5651855000001</v>
      </c>
      <c r="I1251">
        <v>1287.5998535000001</v>
      </c>
      <c r="J1251">
        <v>1268.2862548999999</v>
      </c>
      <c r="K1251">
        <v>2400</v>
      </c>
      <c r="L1251">
        <v>0</v>
      </c>
      <c r="M1251">
        <v>0</v>
      </c>
      <c r="N1251">
        <v>2400</v>
      </c>
    </row>
    <row r="1252" spans="1:14" x14ac:dyDescent="0.25">
      <c r="A1252">
        <v>756.35542399999997</v>
      </c>
      <c r="B1252" s="1">
        <f>DATE(2012,5,26) + TIME(8,31,48)</f>
        <v>41055.355416666665</v>
      </c>
      <c r="C1252">
        <v>80</v>
      </c>
      <c r="D1252">
        <v>79.949348450000002</v>
      </c>
      <c r="E1252">
        <v>50</v>
      </c>
      <c r="F1252">
        <v>47.852664947999997</v>
      </c>
      <c r="G1252">
        <v>1385.2954102000001</v>
      </c>
      <c r="H1252">
        <v>1371.5197754000001</v>
      </c>
      <c r="I1252">
        <v>1287.5861815999999</v>
      </c>
      <c r="J1252">
        <v>1268.2689209</v>
      </c>
      <c r="K1252">
        <v>2400</v>
      </c>
      <c r="L1252">
        <v>0</v>
      </c>
      <c r="M1252">
        <v>0</v>
      </c>
      <c r="N1252">
        <v>2400</v>
      </c>
    </row>
    <row r="1253" spans="1:14" x14ac:dyDescent="0.25">
      <c r="A1253">
        <v>756.90481399999999</v>
      </c>
      <c r="B1253" s="1">
        <f>DATE(2012,5,26) + TIME(21,42,55)</f>
        <v>41055.904803240737</v>
      </c>
      <c r="C1253">
        <v>80</v>
      </c>
      <c r="D1253">
        <v>79.949317932</v>
      </c>
      <c r="E1253">
        <v>50</v>
      </c>
      <c r="F1253">
        <v>47.816738129000001</v>
      </c>
      <c r="G1253">
        <v>1385.2362060999999</v>
      </c>
      <c r="H1253">
        <v>1371.4744873</v>
      </c>
      <c r="I1253">
        <v>1287.5721435999999</v>
      </c>
      <c r="J1253">
        <v>1268.2510986</v>
      </c>
      <c r="K1253">
        <v>2400</v>
      </c>
      <c r="L1253">
        <v>0</v>
      </c>
      <c r="M1253">
        <v>0</v>
      </c>
      <c r="N1253">
        <v>2400</v>
      </c>
    </row>
    <row r="1254" spans="1:14" x14ac:dyDescent="0.25">
      <c r="A1254">
        <v>757.46200999999996</v>
      </c>
      <c r="B1254" s="1">
        <f>DATE(2012,5,27) + TIME(11,5,17)</f>
        <v>41056.462002314816</v>
      </c>
      <c r="C1254">
        <v>80</v>
      </c>
      <c r="D1254">
        <v>79.949295043999996</v>
      </c>
      <c r="E1254">
        <v>50</v>
      </c>
      <c r="F1254">
        <v>47.780517578000001</v>
      </c>
      <c r="G1254">
        <v>1385.1772461</v>
      </c>
      <c r="H1254">
        <v>1371.4293213000001</v>
      </c>
      <c r="I1254">
        <v>1287.5578613</v>
      </c>
      <c r="J1254">
        <v>1268.2329102000001</v>
      </c>
      <c r="K1254">
        <v>2400</v>
      </c>
      <c r="L1254">
        <v>0</v>
      </c>
      <c r="M1254">
        <v>0</v>
      </c>
      <c r="N1254">
        <v>2400</v>
      </c>
    </row>
    <row r="1255" spans="1:14" x14ac:dyDescent="0.25">
      <c r="A1255">
        <v>758.02822300000003</v>
      </c>
      <c r="B1255" s="1">
        <f>DATE(2012,5,28) + TIME(0,40,38)</f>
        <v>41057.028217592589</v>
      </c>
      <c r="C1255">
        <v>80</v>
      </c>
      <c r="D1255">
        <v>79.949264525999993</v>
      </c>
      <c r="E1255">
        <v>50</v>
      </c>
      <c r="F1255">
        <v>47.743965148999997</v>
      </c>
      <c r="G1255">
        <v>1385.1184082</v>
      </c>
      <c r="H1255">
        <v>1371.3840332</v>
      </c>
      <c r="I1255">
        <v>1287.5430908000001</v>
      </c>
      <c r="J1255">
        <v>1268.2142334</v>
      </c>
      <c r="K1255">
        <v>2400</v>
      </c>
      <c r="L1255">
        <v>0</v>
      </c>
      <c r="M1255">
        <v>0</v>
      </c>
      <c r="N1255">
        <v>2400</v>
      </c>
    </row>
    <row r="1256" spans="1:14" x14ac:dyDescent="0.25">
      <c r="A1256">
        <v>758.60475299999996</v>
      </c>
      <c r="B1256" s="1">
        <f>DATE(2012,5,28) + TIME(14,30,50)</f>
        <v>41057.604745370372</v>
      </c>
      <c r="C1256">
        <v>80</v>
      </c>
      <c r="D1256">
        <v>79.949241638000004</v>
      </c>
      <c r="E1256">
        <v>50</v>
      </c>
      <c r="F1256">
        <v>47.707015990999999</v>
      </c>
      <c r="G1256">
        <v>1385.0594481999999</v>
      </c>
      <c r="H1256">
        <v>1371.3386230000001</v>
      </c>
      <c r="I1256">
        <v>1287.5279541</v>
      </c>
      <c r="J1256">
        <v>1268.1950684000001</v>
      </c>
      <c r="K1256">
        <v>2400</v>
      </c>
      <c r="L1256">
        <v>0</v>
      </c>
      <c r="M1256">
        <v>0</v>
      </c>
      <c r="N1256">
        <v>2400</v>
      </c>
    </row>
    <row r="1257" spans="1:14" x14ac:dyDescent="0.25">
      <c r="A1257">
        <v>759.19302900000002</v>
      </c>
      <c r="B1257" s="1">
        <f>DATE(2012,5,29) + TIME(4,37,57)</f>
        <v>41058.193020833336</v>
      </c>
      <c r="C1257">
        <v>80</v>
      </c>
      <c r="D1257">
        <v>79.94921875</v>
      </c>
      <c r="E1257">
        <v>50</v>
      </c>
      <c r="F1257">
        <v>47.669601440000001</v>
      </c>
      <c r="G1257">
        <v>1385.0004882999999</v>
      </c>
      <c r="H1257">
        <v>1371.2929687999999</v>
      </c>
      <c r="I1257">
        <v>1287.5124512</v>
      </c>
      <c r="J1257">
        <v>1268.1751709</v>
      </c>
      <c r="K1257">
        <v>2400</v>
      </c>
      <c r="L1257">
        <v>0</v>
      </c>
      <c r="M1257">
        <v>0</v>
      </c>
      <c r="N1257">
        <v>2400</v>
      </c>
    </row>
    <row r="1258" spans="1:14" x14ac:dyDescent="0.25">
      <c r="A1258">
        <v>759.794625</v>
      </c>
      <c r="B1258" s="1">
        <f>DATE(2012,5,29) + TIME(19,4,15)</f>
        <v>41058.794618055559</v>
      </c>
      <c r="C1258">
        <v>80</v>
      </c>
      <c r="D1258">
        <v>79.949195861999996</v>
      </c>
      <c r="E1258">
        <v>50</v>
      </c>
      <c r="F1258">
        <v>47.631649017000001</v>
      </c>
      <c r="G1258">
        <v>1384.9411620999999</v>
      </c>
      <c r="H1258">
        <v>1371.2470702999999</v>
      </c>
      <c r="I1258">
        <v>1287.4964600000001</v>
      </c>
      <c r="J1258">
        <v>1268.1547852000001</v>
      </c>
      <c r="K1258">
        <v>2400</v>
      </c>
      <c r="L1258">
        <v>0</v>
      </c>
      <c r="M1258">
        <v>0</v>
      </c>
      <c r="N1258">
        <v>2400</v>
      </c>
    </row>
    <row r="1259" spans="1:14" x14ac:dyDescent="0.25">
      <c r="A1259">
        <v>760.40879900000004</v>
      </c>
      <c r="B1259" s="1">
        <f>DATE(2012,5,30) + TIME(9,48,40)</f>
        <v>41059.408796296295</v>
      </c>
      <c r="C1259">
        <v>80</v>
      </c>
      <c r="D1259">
        <v>79.949172974000007</v>
      </c>
      <c r="E1259">
        <v>50</v>
      </c>
      <c r="F1259">
        <v>47.593158721999998</v>
      </c>
      <c r="G1259">
        <v>1384.8815918</v>
      </c>
      <c r="H1259">
        <v>1371.2008057</v>
      </c>
      <c r="I1259">
        <v>1287.4798584</v>
      </c>
      <c r="J1259">
        <v>1268.1336670000001</v>
      </c>
      <c r="K1259">
        <v>2400</v>
      </c>
      <c r="L1259">
        <v>0</v>
      </c>
      <c r="M1259">
        <v>0</v>
      </c>
      <c r="N1259">
        <v>2400</v>
      </c>
    </row>
    <row r="1260" spans="1:14" x14ac:dyDescent="0.25">
      <c r="A1260">
        <v>761.02822400000002</v>
      </c>
      <c r="B1260" s="1">
        <f>DATE(2012,5,31) + TIME(0,40,38)</f>
        <v>41060.028217592589</v>
      </c>
      <c r="C1260">
        <v>80</v>
      </c>
      <c r="D1260">
        <v>79.949150084999999</v>
      </c>
      <c r="E1260">
        <v>50</v>
      </c>
      <c r="F1260">
        <v>47.554382324000002</v>
      </c>
      <c r="G1260">
        <v>1384.8220214999999</v>
      </c>
      <c r="H1260">
        <v>1371.1542969</v>
      </c>
      <c r="I1260">
        <v>1287.4628906</v>
      </c>
      <c r="J1260">
        <v>1268.1120605000001</v>
      </c>
      <c r="K1260">
        <v>2400</v>
      </c>
      <c r="L1260">
        <v>0</v>
      </c>
      <c r="M1260">
        <v>0</v>
      </c>
      <c r="N1260">
        <v>2400</v>
      </c>
    </row>
    <row r="1261" spans="1:14" x14ac:dyDescent="0.25">
      <c r="A1261">
        <v>761.65414899999996</v>
      </c>
      <c r="B1261" s="1">
        <f>DATE(2012,5,31) + TIME(15,41,58)</f>
        <v>41060.654143518521</v>
      </c>
      <c r="C1261">
        <v>80</v>
      </c>
      <c r="D1261">
        <v>79.949134826999995</v>
      </c>
      <c r="E1261">
        <v>50</v>
      </c>
      <c r="F1261">
        <v>47.515365600999999</v>
      </c>
      <c r="G1261">
        <v>1384.7626952999999</v>
      </c>
      <c r="H1261">
        <v>1371.1080322</v>
      </c>
      <c r="I1261">
        <v>1287.4454346</v>
      </c>
      <c r="J1261">
        <v>1268.0898437999999</v>
      </c>
      <c r="K1261">
        <v>2400</v>
      </c>
      <c r="L1261">
        <v>0</v>
      </c>
      <c r="M1261">
        <v>0</v>
      </c>
      <c r="N1261">
        <v>2400</v>
      </c>
    </row>
    <row r="1262" spans="1:14" x14ac:dyDescent="0.25">
      <c r="A1262">
        <v>762</v>
      </c>
      <c r="B1262" s="1">
        <f>DATE(2012,6,1) + TIME(0,0,0)</f>
        <v>41061</v>
      </c>
      <c r="C1262">
        <v>80</v>
      </c>
      <c r="D1262">
        <v>79.949089049999998</v>
      </c>
      <c r="E1262">
        <v>50</v>
      </c>
      <c r="F1262">
        <v>47.488655090000002</v>
      </c>
      <c r="G1262">
        <v>1384.7127685999999</v>
      </c>
      <c r="H1262">
        <v>1371.0703125</v>
      </c>
      <c r="I1262">
        <v>1287.4289550999999</v>
      </c>
      <c r="J1262">
        <v>1268.0705565999999</v>
      </c>
      <c r="K1262">
        <v>2400</v>
      </c>
      <c r="L1262">
        <v>0</v>
      </c>
      <c r="M1262">
        <v>0</v>
      </c>
      <c r="N1262">
        <v>2400</v>
      </c>
    </row>
    <row r="1263" spans="1:14" x14ac:dyDescent="0.25">
      <c r="A1263">
        <v>762.633915</v>
      </c>
      <c r="B1263" s="1">
        <f>DATE(2012,6,1) + TIME(15,12,50)</f>
        <v>41061.633912037039</v>
      </c>
      <c r="C1263">
        <v>80</v>
      </c>
      <c r="D1263">
        <v>79.949096679999997</v>
      </c>
      <c r="E1263">
        <v>50</v>
      </c>
      <c r="F1263">
        <v>47.451683043999999</v>
      </c>
      <c r="G1263">
        <v>1384.6687012</v>
      </c>
      <c r="H1263">
        <v>1371.0340576000001</v>
      </c>
      <c r="I1263">
        <v>1287.4172363</v>
      </c>
      <c r="J1263">
        <v>1268.0533447</v>
      </c>
      <c r="K1263">
        <v>2400</v>
      </c>
      <c r="L1263">
        <v>0</v>
      </c>
      <c r="M1263">
        <v>0</v>
      </c>
      <c r="N1263">
        <v>2400</v>
      </c>
    </row>
    <row r="1264" spans="1:14" x14ac:dyDescent="0.25">
      <c r="A1264">
        <v>763.28341599999999</v>
      </c>
      <c r="B1264" s="1">
        <f>DATE(2012,6,2) + TIME(6,48,7)</f>
        <v>41062.283414351848</v>
      </c>
      <c r="C1264">
        <v>80</v>
      </c>
      <c r="D1264">
        <v>79.949089049999998</v>
      </c>
      <c r="E1264">
        <v>50</v>
      </c>
      <c r="F1264">
        <v>47.413261413999997</v>
      </c>
      <c r="G1264">
        <v>1384.6121826000001</v>
      </c>
      <c r="H1264">
        <v>1370.9898682</v>
      </c>
      <c r="I1264">
        <v>1287.3995361</v>
      </c>
      <c r="J1264">
        <v>1268.0306396000001</v>
      </c>
      <c r="K1264">
        <v>2400</v>
      </c>
      <c r="L1264">
        <v>0</v>
      </c>
      <c r="M1264">
        <v>0</v>
      </c>
      <c r="N1264">
        <v>2400</v>
      </c>
    </row>
    <row r="1265" spans="1:14" x14ac:dyDescent="0.25">
      <c r="A1265">
        <v>763.94489499999997</v>
      </c>
      <c r="B1265" s="1">
        <f>DATE(2012,6,2) + TIME(22,40,38)</f>
        <v>41062.944884259261</v>
      </c>
      <c r="C1265">
        <v>80</v>
      </c>
      <c r="D1265">
        <v>79.949066161999994</v>
      </c>
      <c r="E1265">
        <v>50</v>
      </c>
      <c r="F1265">
        <v>47.373825072999999</v>
      </c>
      <c r="G1265">
        <v>1384.5538329999999</v>
      </c>
      <c r="H1265">
        <v>1370.9438477000001</v>
      </c>
      <c r="I1265">
        <v>1287.3806152</v>
      </c>
      <c r="J1265">
        <v>1268.0064697</v>
      </c>
      <c r="K1265">
        <v>2400</v>
      </c>
      <c r="L1265">
        <v>0</v>
      </c>
      <c r="M1265">
        <v>0</v>
      </c>
      <c r="N1265">
        <v>2400</v>
      </c>
    </row>
    <row r="1266" spans="1:14" x14ac:dyDescent="0.25">
      <c r="A1266">
        <v>764.62026000000003</v>
      </c>
      <c r="B1266" s="1">
        <f>DATE(2012,6,3) + TIME(14,53,10)</f>
        <v>41063.620254629626</v>
      </c>
      <c r="C1266">
        <v>80</v>
      </c>
      <c r="D1266">
        <v>79.949050903</v>
      </c>
      <c r="E1266">
        <v>50</v>
      </c>
      <c r="F1266">
        <v>47.333541869999998</v>
      </c>
      <c r="G1266">
        <v>1384.4949951000001</v>
      </c>
      <c r="H1266">
        <v>1370.8974608999999</v>
      </c>
      <c r="I1266">
        <v>1287.3612060999999</v>
      </c>
      <c r="J1266">
        <v>1267.9815673999999</v>
      </c>
      <c r="K1266">
        <v>2400</v>
      </c>
      <c r="L1266">
        <v>0</v>
      </c>
      <c r="M1266">
        <v>0</v>
      </c>
      <c r="N1266">
        <v>2400</v>
      </c>
    </row>
    <row r="1267" spans="1:14" x14ac:dyDescent="0.25">
      <c r="A1267">
        <v>765.31145200000003</v>
      </c>
      <c r="B1267" s="1">
        <f>DATE(2012,6,4) + TIME(7,28,29)</f>
        <v>41064.31144675926</v>
      </c>
      <c r="C1267">
        <v>80</v>
      </c>
      <c r="D1267">
        <v>79.949035644999995</v>
      </c>
      <c r="E1267">
        <v>50</v>
      </c>
      <c r="F1267">
        <v>47.292472838999998</v>
      </c>
      <c r="G1267">
        <v>1384.4356689000001</v>
      </c>
      <c r="H1267">
        <v>1370.8504639</v>
      </c>
      <c r="I1267">
        <v>1287.3410644999999</v>
      </c>
      <c r="J1267">
        <v>1267.9556885</v>
      </c>
      <c r="K1267">
        <v>2400</v>
      </c>
      <c r="L1267">
        <v>0</v>
      </c>
      <c r="M1267">
        <v>0</v>
      </c>
      <c r="N1267">
        <v>2400</v>
      </c>
    </row>
    <row r="1268" spans="1:14" x14ac:dyDescent="0.25">
      <c r="A1268">
        <v>766.02061700000002</v>
      </c>
      <c r="B1268" s="1">
        <f>DATE(2012,6,5) + TIME(0,29,41)</f>
        <v>41065.020613425928</v>
      </c>
      <c r="C1268">
        <v>80</v>
      </c>
      <c r="D1268">
        <v>79.949020386000001</v>
      </c>
      <c r="E1268">
        <v>50</v>
      </c>
      <c r="F1268">
        <v>47.250587463000002</v>
      </c>
      <c r="G1268">
        <v>1384.3759766000001</v>
      </c>
      <c r="H1268">
        <v>1370.8031006000001</v>
      </c>
      <c r="I1268">
        <v>1287.3203125</v>
      </c>
      <c r="J1268">
        <v>1267.9288329999999</v>
      </c>
      <c r="K1268">
        <v>2400</v>
      </c>
      <c r="L1268">
        <v>0</v>
      </c>
      <c r="M1268">
        <v>0</v>
      </c>
      <c r="N1268">
        <v>2400</v>
      </c>
    </row>
    <row r="1269" spans="1:14" x14ac:dyDescent="0.25">
      <c r="A1269">
        <v>766.74041699999998</v>
      </c>
      <c r="B1269" s="1">
        <f>DATE(2012,6,5) + TIME(17,46,11)</f>
        <v>41065.740405092591</v>
      </c>
      <c r="C1269">
        <v>80</v>
      </c>
      <c r="D1269">
        <v>79.949005127000007</v>
      </c>
      <c r="E1269">
        <v>50</v>
      </c>
      <c r="F1269">
        <v>47.208129882999998</v>
      </c>
      <c r="G1269">
        <v>1384.3157959</v>
      </c>
      <c r="H1269">
        <v>1370.755249</v>
      </c>
      <c r="I1269">
        <v>1287.2988281</v>
      </c>
      <c r="J1269">
        <v>1267.9011230000001</v>
      </c>
      <c r="K1269">
        <v>2400</v>
      </c>
      <c r="L1269">
        <v>0</v>
      </c>
      <c r="M1269">
        <v>0</v>
      </c>
      <c r="N1269">
        <v>2400</v>
      </c>
    </row>
    <row r="1270" spans="1:14" x14ac:dyDescent="0.25">
      <c r="A1270">
        <v>767.46477700000003</v>
      </c>
      <c r="B1270" s="1">
        <f>DATE(2012,6,6) + TIME(11,9,16)</f>
        <v>41066.464768518519</v>
      </c>
      <c r="C1270">
        <v>80</v>
      </c>
      <c r="D1270">
        <v>79.948997497999997</v>
      </c>
      <c r="E1270">
        <v>50</v>
      </c>
      <c r="F1270">
        <v>47.1653862</v>
      </c>
      <c r="G1270">
        <v>1384.2557373</v>
      </c>
      <c r="H1270">
        <v>1370.7073975000001</v>
      </c>
      <c r="I1270">
        <v>1287.2767334</v>
      </c>
      <c r="J1270">
        <v>1267.8725586</v>
      </c>
      <c r="K1270">
        <v>2400</v>
      </c>
      <c r="L1270">
        <v>0</v>
      </c>
      <c r="M1270">
        <v>0</v>
      </c>
      <c r="N1270">
        <v>2400</v>
      </c>
    </row>
    <row r="1271" spans="1:14" x14ac:dyDescent="0.25">
      <c r="A1271">
        <v>768.19484699999998</v>
      </c>
      <c r="B1271" s="1">
        <f>DATE(2012,6,7) + TIME(4,40,34)</f>
        <v>41067.194837962961</v>
      </c>
      <c r="C1271">
        <v>80</v>
      </c>
      <c r="D1271">
        <v>79.948982239000003</v>
      </c>
      <c r="E1271">
        <v>50</v>
      </c>
      <c r="F1271">
        <v>47.122451781999999</v>
      </c>
      <c r="G1271">
        <v>1384.1961670000001</v>
      </c>
      <c r="H1271">
        <v>1370.659668</v>
      </c>
      <c r="I1271">
        <v>1287.2542725000001</v>
      </c>
      <c r="J1271">
        <v>1267.8432617000001</v>
      </c>
      <c r="K1271">
        <v>2400</v>
      </c>
      <c r="L1271">
        <v>0</v>
      </c>
      <c r="M1271">
        <v>0</v>
      </c>
      <c r="N1271">
        <v>2400</v>
      </c>
    </row>
    <row r="1272" spans="1:14" x14ac:dyDescent="0.25">
      <c r="A1272">
        <v>768.93213800000001</v>
      </c>
      <c r="B1272" s="1">
        <f>DATE(2012,6,7) + TIME(22,22,16)</f>
        <v>41067.932129629633</v>
      </c>
      <c r="C1272">
        <v>80</v>
      </c>
      <c r="D1272">
        <v>79.948966979999994</v>
      </c>
      <c r="E1272">
        <v>50</v>
      </c>
      <c r="F1272">
        <v>47.079341888000002</v>
      </c>
      <c r="G1272">
        <v>1384.1369629000001</v>
      </c>
      <c r="H1272">
        <v>1370.6121826000001</v>
      </c>
      <c r="I1272">
        <v>1287.2313231999999</v>
      </c>
      <c r="J1272">
        <v>1267.8133545000001</v>
      </c>
      <c r="K1272">
        <v>2400</v>
      </c>
      <c r="L1272">
        <v>0</v>
      </c>
      <c r="M1272">
        <v>0</v>
      </c>
      <c r="N1272">
        <v>2400</v>
      </c>
    </row>
    <row r="1273" spans="1:14" x14ac:dyDescent="0.25">
      <c r="A1273">
        <v>769.67826400000001</v>
      </c>
      <c r="B1273" s="1">
        <f>DATE(2012,6,8) + TIME(16,16,42)</f>
        <v>41068.678263888891</v>
      </c>
      <c r="C1273">
        <v>80</v>
      </c>
      <c r="D1273">
        <v>79.948959350999999</v>
      </c>
      <c r="E1273">
        <v>50</v>
      </c>
      <c r="F1273">
        <v>47.036014557000001</v>
      </c>
      <c r="G1273">
        <v>1384.0780029</v>
      </c>
      <c r="H1273">
        <v>1370.5649414</v>
      </c>
      <c r="I1273">
        <v>1287.2080077999999</v>
      </c>
      <c r="J1273">
        <v>1267.7828368999999</v>
      </c>
      <c r="K1273">
        <v>2400</v>
      </c>
      <c r="L1273">
        <v>0</v>
      </c>
      <c r="M1273">
        <v>0</v>
      </c>
      <c r="N1273">
        <v>2400</v>
      </c>
    </row>
    <row r="1274" spans="1:14" x14ac:dyDescent="0.25">
      <c r="A1274">
        <v>770.43490099999997</v>
      </c>
      <c r="B1274" s="1">
        <f>DATE(2012,6,9) + TIME(10,26,15)</f>
        <v>41069.434895833336</v>
      </c>
      <c r="C1274">
        <v>80</v>
      </c>
      <c r="D1274">
        <v>79.948951721</v>
      </c>
      <c r="E1274">
        <v>50</v>
      </c>
      <c r="F1274">
        <v>46.992408752000003</v>
      </c>
      <c r="G1274">
        <v>1384.0192870999999</v>
      </c>
      <c r="H1274">
        <v>1370.5175781</v>
      </c>
      <c r="I1274">
        <v>1287.1839600000001</v>
      </c>
      <c r="J1274">
        <v>1267.7513428</v>
      </c>
      <c r="K1274">
        <v>2400</v>
      </c>
      <c r="L1274">
        <v>0</v>
      </c>
      <c r="M1274">
        <v>0</v>
      </c>
      <c r="N1274">
        <v>2400</v>
      </c>
    </row>
    <row r="1275" spans="1:14" x14ac:dyDescent="0.25">
      <c r="A1275">
        <v>771.20386199999996</v>
      </c>
      <c r="B1275" s="1">
        <f>DATE(2012,6,10) + TIME(4,53,33)</f>
        <v>41070.20385416667</v>
      </c>
      <c r="C1275">
        <v>80</v>
      </c>
      <c r="D1275">
        <v>79.948944092000005</v>
      </c>
      <c r="E1275">
        <v>50</v>
      </c>
      <c r="F1275">
        <v>46.948444365999997</v>
      </c>
      <c r="G1275">
        <v>1383.9605713000001</v>
      </c>
      <c r="H1275">
        <v>1370.4702147999999</v>
      </c>
      <c r="I1275">
        <v>1287.1593018000001</v>
      </c>
      <c r="J1275">
        <v>1267.7189940999999</v>
      </c>
      <c r="K1275">
        <v>2400</v>
      </c>
      <c r="L1275">
        <v>0</v>
      </c>
      <c r="M1275">
        <v>0</v>
      </c>
      <c r="N1275">
        <v>2400</v>
      </c>
    </row>
    <row r="1276" spans="1:14" x14ac:dyDescent="0.25">
      <c r="A1276">
        <v>771.98712899999998</v>
      </c>
      <c r="B1276" s="1">
        <f>DATE(2012,6,10) + TIME(23,41,27)</f>
        <v>41070.987118055556</v>
      </c>
      <c r="C1276">
        <v>80</v>
      </c>
      <c r="D1276">
        <v>79.948936462000006</v>
      </c>
      <c r="E1276">
        <v>50</v>
      </c>
      <c r="F1276">
        <v>46.904026031000001</v>
      </c>
      <c r="G1276">
        <v>1383.9018555</v>
      </c>
      <c r="H1276">
        <v>1370.4226074000001</v>
      </c>
      <c r="I1276">
        <v>1287.1340332</v>
      </c>
      <c r="J1276">
        <v>1267.6855469</v>
      </c>
      <c r="K1276">
        <v>2400</v>
      </c>
      <c r="L1276">
        <v>0</v>
      </c>
      <c r="M1276">
        <v>0</v>
      </c>
      <c r="N1276">
        <v>2400</v>
      </c>
    </row>
    <row r="1277" spans="1:14" x14ac:dyDescent="0.25">
      <c r="A1277">
        <v>772.78688899999997</v>
      </c>
      <c r="B1277" s="1">
        <f>DATE(2012,6,11) + TIME(18,53,7)</f>
        <v>41071.786886574075</v>
      </c>
      <c r="C1277">
        <v>80</v>
      </c>
      <c r="D1277">
        <v>79.948928832999997</v>
      </c>
      <c r="E1277">
        <v>50</v>
      </c>
      <c r="F1277">
        <v>46.859050750999998</v>
      </c>
      <c r="G1277">
        <v>1383.8428954999999</v>
      </c>
      <c r="H1277">
        <v>1370.3747559000001</v>
      </c>
      <c r="I1277">
        <v>1287.1079102000001</v>
      </c>
      <c r="J1277">
        <v>1267.6511230000001</v>
      </c>
      <c r="K1277">
        <v>2400</v>
      </c>
      <c r="L1277">
        <v>0</v>
      </c>
      <c r="M1277">
        <v>0</v>
      </c>
      <c r="N1277">
        <v>2400</v>
      </c>
    </row>
    <row r="1278" spans="1:14" x14ac:dyDescent="0.25">
      <c r="A1278">
        <v>773.59681699999999</v>
      </c>
      <c r="B1278" s="1">
        <f>DATE(2012,6,12) + TIME(14,19,25)</f>
        <v>41072.596817129626</v>
      </c>
      <c r="C1278">
        <v>80</v>
      </c>
      <c r="D1278">
        <v>79.948921204000001</v>
      </c>
      <c r="E1278">
        <v>50</v>
      </c>
      <c r="F1278">
        <v>46.813648223999998</v>
      </c>
      <c r="G1278">
        <v>1383.7836914</v>
      </c>
      <c r="H1278">
        <v>1370.3266602000001</v>
      </c>
      <c r="I1278">
        <v>1287.0809326000001</v>
      </c>
      <c r="J1278">
        <v>1267.6153564000001</v>
      </c>
      <c r="K1278">
        <v>2400</v>
      </c>
      <c r="L1278">
        <v>0</v>
      </c>
      <c r="M1278">
        <v>0</v>
      </c>
      <c r="N1278">
        <v>2400</v>
      </c>
    </row>
    <row r="1279" spans="1:14" x14ac:dyDescent="0.25">
      <c r="A1279">
        <v>774.41551500000003</v>
      </c>
      <c r="B1279" s="1">
        <f>DATE(2012,6,13) + TIME(9,58,20)</f>
        <v>41073.415509259263</v>
      </c>
      <c r="C1279">
        <v>80</v>
      </c>
      <c r="D1279">
        <v>79.948921204000001</v>
      </c>
      <c r="E1279">
        <v>50</v>
      </c>
      <c r="F1279">
        <v>46.767917633000003</v>
      </c>
      <c r="G1279">
        <v>1383.7247314000001</v>
      </c>
      <c r="H1279">
        <v>1370.2784423999999</v>
      </c>
      <c r="I1279">
        <v>1287.0532227000001</v>
      </c>
      <c r="J1279">
        <v>1267.5786132999999</v>
      </c>
      <c r="K1279">
        <v>2400</v>
      </c>
      <c r="L1279">
        <v>0</v>
      </c>
      <c r="M1279">
        <v>0</v>
      </c>
      <c r="N1279">
        <v>2400</v>
      </c>
    </row>
    <row r="1280" spans="1:14" x14ac:dyDescent="0.25">
      <c r="A1280">
        <v>775.24472300000002</v>
      </c>
      <c r="B1280" s="1">
        <f>DATE(2012,6,14) + TIME(5,52,24)</f>
        <v>41074.244722222225</v>
      </c>
      <c r="C1280">
        <v>80</v>
      </c>
      <c r="D1280">
        <v>79.948913574000002</v>
      </c>
      <c r="E1280">
        <v>50</v>
      </c>
      <c r="F1280">
        <v>46.721870422000002</v>
      </c>
      <c r="G1280">
        <v>1383.6657714999999</v>
      </c>
      <c r="H1280">
        <v>1370.2303466999999</v>
      </c>
      <c r="I1280">
        <v>1287.0249022999999</v>
      </c>
      <c r="J1280">
        <v>1267.5407714999999</v>
      </c>
      <c r="K1280">
        <v>2400</v>
      </c>
      <c r="L1280">
        <v>0</v>
      </c>
      <c r="M1280">
        <v>0</v>
      </c>
      <c r="N1280">
        <v>2400</v>
      </c>
    </row>
    <row r="1281" spans="1:14" x14ac:dyDescent="0.25">
      <c r="A1281">
        <v>776.08650699999998</v>
      </c>
      <c r="B1281" s="1">
        <f>DATE(2012,6,15) + TIME(2,4,34)</f>
        <v>41075.086504629631</v>
      </c>
      <c r="C1281">
        <v>80</v>
      </c>
      <c r="D1281">
        <v>79.948913574000002</v>
      </c>
      <c r="E1281">
        <v>50</v>
      </c>
      <c r="F1281">
        <v>46.675445557000003</v>
      </c>
      <c r="G1281">
        <v>1383.6070557</v>
      </c>
      <c r="H1281">
        <v>1370.1821289</v>
      </c>
      <c r="I1281">
        <v>1286.9957274999999</v>
      </c>
      <c r="J1281">
        <v>1267.5018310999999</v>
      </c>
      <c r="K1281">
        <v>2400</v>
      </c>
      <c r="L1281">
        <v>0</v>
      </c>
      <c r="M1281">
        <v>0</v>
      </c>
      <c r="N1281">
        <v>2400</v>
      </c>
    </row>
    <row r="1282" spans="1:14" x14ac:dyDescent="0.25">
      <c r="A1282">
        <v>776.94304099999999</v>
      </c>
      <c r="B1282" s="1">
        <f>DATE(2012,6,15) + TIME(22,37,58)</f>
        <v>41075.943032407406</v>
      </c>
      <c r="C1282">
        <v>80</v>
      </c>
      <c r="D1282">
        <v>79.948905945000007</v>
      </c>
      <c r="E1282">
        <v>50</v>
      </c>
      <c r="F1282">
        <v>46.628562926999997</v>
      </c>
      <c r="G1282">
        <v>1383.5482178</v>
      </c>
      <c r="H1282">
        <v>1370.1337891000001</v>
      </c>
      <c r="I1282">
        <v>1286.9656981999999</v>
      </c>
      <c r="J1282">
        <v>1267.4616699000001</v>
      </c>
      <c r="K1282">
        <v>2400</v>
      </c>
      <c r="L1282">
        <v>0</v>
      </c>
      <c r="M1282">
        <v>0</v>
      </c>
      <c r="N1282">
        <v>2400</v>
      </c>
    </row>
    <row r="1283" spans="1:14" x14ac:dyDescent="0.25">
      <c r="A1283">
        <v>777.81664999999998</v>
      </c>
      <c r="B1283" s="1">
        <f>DATE(2012,6,16) + TIME(19,35,58)</f>
        <v>41076.816643518519</v>
      </c>
      <c r="C1283">
        <v>80</v>
      </c>
      <c r="D1283">
        <v>79.948905945000007</v>
      </c>
      <c r="E1283">
        <v>50</v>
      </c>
      <c r="F1283">
        <v>46.581119536999999</v>
      </c>
      <c r="G1283">
        <v>1383.4891356999999</v>
      </c>
      <c r="H1283">
        <v>1370.0852050999999</v>
      </c>
      <c r="I1283">
        <v>1286.9348144999999</v>
      </c>
      <c r="J1283">
        <v>1267.4200439000001</v>
      </c>
      <c r="K1283">
        <v>2400</v>
      </c>
      <c r="L1283">
        <v>0</v>
      </c>
      <c r="M1283">
        <v>0</v>
      </c>
      <c r="N1283">
        <v>2400</v>
      </c>
    </row>
    <row r="1284" spans="1:14" x14ac:dyDescent="0.25">
      <c r="A1284">
        <v>778.70983799999999</v>
      </c>
      <c r="B1284" s="1">
        <f>DATE(2012,6,17) + TIME(17,2,9)</f>
        <v>41077.709826388891</v>
      </c>
      <c r="C1284">
        <v>80</v>
      </c>
      <c r="D1284">
        <v>79.948905945000007</v>
      </c>
      <c r="E1284">
        <v>50</v>
      </c>
      <c r="F1284">
        <v>46.532993316999999</v>
      </c>
      <c r="G1284">
        <v>1383.4298096</v>
      </c>
      <c r="H1284">
        <v>1370.0362548999999</v>
      </c>
      <c r="I1284">
        <v>1286.902832</v>
      </c>
      <c r="J1284">
        <v>1267.3768310999999</v>
      </c>
      <c r="K1284">
        <v>2400</v>
      </c>
      <c r="L1284">
        <v>0</v>
      </c>
      <c r="M1284">
        <v>0</v>
      </c>
      <c r="N1284">
        <v>2400</v>
      </c>
    </row>
    <row r="1285" spans="1:14" x14ac:dyDescent="0.25">
      <c r="A1285">
        <v>779.62534700000003</v>
      </c>
      <c r="B1285" s="1">
        <f>DATE(2012,6,18) + TIME(15,0,30)</f>
        <v>41078.625347222223</v>
      </c>
      <c r="C1285">
        <v>80</v>
      </c>
      <c r="D1285">
        <v>79.948913574000002</v>
      </c>
      <c r="E1285">
        <v>50</v>
      </c>
      <c r="F1285">
        <v>46.484062195</v>
      </c>
      <c r="G1285">
        <v>1383.3699951000001</v>
      </c>
      <c r="H1285">
        <v>1369.9868164</v>
      </c>
      <c r="I1285">
        <v>1286.869751</v>
      </c>
      <c r="J1285">
        <v>1267.3320312000001</v>
      </c>
      <c r="K1285">
        <v>2400</v>
      </c>
      <c r="L1285">
        <v>0</v>
      </c>
      <c r="M1285">
        <v>0</v>
      </c>
      <c r="N1285">
        <v>2400</v>
      </c>
    </row>
    <row r="1286" spans="1:14" x14ac:dyDescent="0.25">
      <c r="A1286">
        <v>780.56619899999998</v>
      </c>
      <c r="B1286" s="1">
        <f>DATE(2012,6,19) + TIME(13,35,19)</f>
        <v>41079.566192129627</v>
      </c>
      <c r="C1286">
        <v>80</v>
      </c>
      <c r="D1286">
        <v>79.948913574000002</v>
      </c>
      <c r="E1286">
        <v>50</v>
      </c>
      <c r="F1286">
        <v>46.434185028000002</v>
      </c>
      <c r="G1286">
        <v>1383.3095702999999</v>
      </c>
      <c r="H1286">
        <v>1369.9366454999999</v>
      </c>
      <c r="I1286">
        <v>1286.8352050999999</v>
      </c>
      <c r="J1286">
        <v>1267.2851562000001</v>
      </c>
      <c r="K1286">
        <v>2400</v>
      </c>
      <c r="L1286">
        <v>0</v>
      </c>
      <c r="M1286">
        <v>0</v>
      </c>
      <c r="N1286">
        <v>2400</v>
      </c>
    </row>
    <row r="1287" spans="1:14" x14ac:dyDescent="0.25">
      <c r="A1287">
        <v>781.51459699999998</v>
      </c>
      <c r="B1287" s="1">
        <f>DATE(2012,6,20) + TIME(12,21,1)</f>
        <v>41080.514594907407</v>
      </c>
      <c r="C1287">
        <v>80</v>
      </c>
      <c r="D1287">
        <v>79.948913574000002</v>
      </c>
      <c r="E1287">
        <v>50</v>
      </c>
      <c r="F1287">
        <v>46.383731842000003</v>
      </c>
      <c r="G1287">
        <v>1383.2487793</v>
      </c>
      <c r="H1287">
        <v>1369.8862305</v>
      </c>
      <c r="I1287">
        <v>1286.7994385</v>
      </c>
      <c r="J1287">
        <v>1267.2363281</v>
      </c>
      <c r="K1287">
        <v>2400</v>
      </c>
      <c r="L1287">
        <v>0</v>
      </c>
      <c r="M1287">
        <v>0</v>
      </c>
      <c r="N1287">
        <v>2400</v>
      </c>
    </row>
    <row r="1288" spans="1:14" x14ac:dyDescent="0.25">
      <c r="A1288">
        <v>782.46732499999996</v>
      </c>
      <c r="B1288" s="1">
        <f>DATE(2012,6,21) + TIME(11,12,56)</f>
        <v>41081.467314814814</v>
      </c>
      <c r="C1288">
        <v>80</v>
      </c>
      <c r="D1288">
        <v>79.948921204000001</v>
      </c>
      <c r="E1288">
        <v>50</v>
      </c>
      <c r="F1288">
        <v>46.333007811999998</v>
      </c>
      <c r="G1288">
        <v>1383.1882324000001</v>
      </c>
      <c r="H1288">
        <v>1369.8358154</v>
      </c>
      <c r="I1288">
        <v>1286.7626952999999</v>
      </c>
      <c r="J1288">
        <v>1267.1861572</v>
      </c>
      <c r="K1288">
        <v>2400</v>
      </c>
      <c r="L1288">
        <v>0</v>
      </c>
      <c r="M1288">
        <v>0</v>
      </c>
      <c r="N1288">
        <v>2400</v>
      </c>
    </row>
    <row r="1289" spans="1:14" x14ac:dyDescent="0.25">
      <c r="A1289">
        <v>783.42607699999996</v>
      </c>
      <c r="B1289" s="1">
        <f>DATE(2012,6,22) + TIME(10,13,33)</f>
        <v>41082.426076388889</v>
      </c>
      <c r="C1289">
        <v>80</v>
      </c>
      <c r="D1289">
        <v>79.948921204000001</v>
      </c>
      <c r="E1289">
        <v>50</v>
      </c>
      <c r="F1289">
        <v>46.282135009999998</v>
      </c>
      <c r="G1289">
        <v>1383.1282959</v>
      </c>
      <c r="H1289">
        <v>1369.7856445</v>
      </c>
      <c r="I1289">
        <v>1286.7252197</v>
      </c>
      <c r="J1289">
        <v>1267.1347656</v>
      </c>
      <c r="K1289">
        <v>2400</v>
      </c>
      <c r="L1289">
        <v>0</v>
      </c>
      <c r="M1289">
        <v>0</v>
      </c>
      <c r="N1289">
        <v>2400</v>
      </c>
    </row>
    <row r="1290" spans="1:14" x14ac:dyDescent="0.25">
      <c r="A1290">
        <v>784.39301699999999</v>
      </c>
      <c r="B1290" s="1">
        <f>DATE(2012,6,23) + TIME(9,25,56)</f>
        <v>41083.393009259256</v>
      </c>
      <c r="C1290">
        <v>80</v>
      </c>
      <c r="D1290">
        <v>79.948928832999997</v>
      </c>
      <c r="E1290">
        <v>50</v>
      </c>
      <c r="F1290">
        <v>46.231098175</v>
      </c>
      <c r="G1290">
        <v>1383.0687256000001</v>
      </c>
      <c r="H1290">
        <v>1369.7358397999999</v>
      </c>
      <c r="I1290">
        <v>1286.6868896000001</v>
      </c>
      <c r="J1290">
        <v>1267.0820312000001</v>
      </c>
      <c r="K1290">
        <v>2400</v>
      </c>
      <c r="L1290">
        <v>0</v>
      </c>
      <c r="M1290">
        <v>0</v>
      </c>
      <c r="N1290">
        <v>2400</v>
      </c>
    </row>
    <row r="1291" spans="1:14" x14ac:dyDescent="0.25">
      <c r="A1291">
        <v>785.37040300000001</v>
      </c>
      <c r="B1291" s="1">
        <f>DATE(2012,6,24) + TIME(8,53,22)</f>
        <v>41084.370393518519</v>
      </c>
      <c r="C1291">
        <v>80</v>
      </c>
      <c r="D1291">
        <v>79.948936462000006</v>
      </c>
      <c r="E1291">
        <v>50</v>
      </c>
      <c r="F1291">
        <v>46.179828643999997</v>
      </c>
      <c r="G1291">
        <v>1383.0093993999999</v>
      </c>
      <c r="H1291">
        <v>1369.6860352000001</v>
      </c>
      <c r="I1291">
        <v>1286.6477050999999</v>
      </c>
      <c r="J1291">
        <v>1267.027832</v>
      </c>
      <c r="K1291">
        <v>2400</v>
      </c>
      <c r="L1291">
        <v>0</v>
      </c>
      <c r="M1291">
        <v>0</v>
      </c>
      <c r="N1291">
        <v>2400</v>
      </c>
    </row>
    <row r="1292" spans="1:14" x14ac:dyDescent="0.25">
      <c r="A1292">
        <v>786.35922400000004</v>
      </c>
      <c r="B1292" s="1">
        <f>DATE(2012,6,25) + TIME(8,37,16)</f>
        <v>41085.359212962961</v>
      </c>
      <c r="C1292">
        <v>80</v>
      </c>
      <c r="D1292">
        <v>79.948944092000005</v>
      </c>
      <c r="E1292">
        <v>50</v>
      </c>
      <c r="F1292">
        <v>46.128261565999999</v>
      </c>
      <c r="G1292">
        <v>1382.9503173999999</v>
      </c>
      <c r="H1292">
        <v>1369.6363524999999</v>
      </c>
      <c r="I1292">
        <v>1286.6075439000001</v>
      </c>
      <c r="J1292">
        <v>1266.9720459</v>
      </c>
      <c r="K1292">
        <v>2400</v>
      </c>
      <c r="L1292">
        <v>0</v>
      </c>
      <c r="M1292">
        <v>0</v>
      </c>
      <c r="N1292">
        <v>2400</v>
      </c>
    </row>
    <row r="1293" spans="1:14" x14ac:dyDescent="0.25">
      <c r="A1293">
        <v>787.35753299999999</v>
      </c>
      <c r="B1293" s="1">
        <f>DATE(2012,6,26) + TIME(8,34,50)</f>
        <v>41086.357523148145</v>
      </c>
      <c r="C1293">
        <v>80</v>
      </c>
      <c r="D1293">
        <v>79.948951721</v>
      </c>
      <c r="E1293">
        <v>50</v>
      </c>
      <c r="F1293">
        <v>46.076400757000002</v>
      </c>
      <c r="G1293">
        <v>1382.8913574000001</v>
      </c>
      <c r="H1293">
        <v>1369.5867920000001</v>
      </c>
      <c r="I1293">
        <v>1286.5662841999999</v>
      </c>
      <c r="J1293">
        <v>1266.9146728999999</v>
      </c>
      <c r="K1293">
        <v>2400</v>
      </c>
      <c r="L1293">
        <v>0</v>
      </c>
      <c r="M1293">
        <v>0</v>
      </c>
      <c r="N1293">
        <v>2400</v>
      </c>
    </row>
    <row r="1294" spans="1:14" x14ac:dyDescent="0.25">
      <c r="A1294">
        <v>788.36773800000003</v>
      </c>
      <c r="B1294" s="1">
        <f>DATE(2012,6,27) + TIME(8,49,32)</f>
        <v>41087.367731481485</v>
      </c>
      <c r="C1294">
        <v>80</v>
      </c>
      <c r="D1294">
        <v>79.948959350999999</v>
      </c>
      <c r="E1294">
        <v>50</v>
      </c>
      <c r="F1294">
        <v>46.024204253999997</v>
      </c>
      <c r="G1294">
        <v>1382.8326416</v>
      </c>
      <c r="H1294">
        <v>1369.5371094</v>
      </c>
      <c r="I1294">
        <v>1286.5239257999999</v>
      </c>
      <c r="J1294">
        <v>1266.8554687999999</v>
      </c>
      <c r="K1294">
        <v>2400</v>
      </c>
      <c r="L1294">
        <v>0</v>
      </c>
      <c r="M1294">
        <v>0</v>
      </c>
      <c r="N1294">
        <v>2400</v>
      </c>
    </row>
    <row r="1295" spans="1:14" x14ac:dyDescent="0.25">
      <c r="A1295">
        <v>789.39230899999995</v>
      </c>
      <c r="B1295" s="1">
        <f>DATE(2012,6,28) + TIME(9,24,55)</f>
        <v>41088.39230324074</v>
      </c>
      <c r="C1295">
        <v>80</v>
      </c>
      <c r="D1295">
        <v>79.948974609000004</v>
      </c>
      <c r="E1295">
        <v>50</v>
      </c>
      <c r="F1295">
        <v>45.971572876000003</v>
      </c>
      <c r="G1295">
        <v>1382.7740478999999</v>
      </c>
      <c r="H1295">
        <v>1369.4875488</v>
      </c>
      <c r="I1295">
        <v>1286.4804687999999</v>
      </c>
      <c r="J1295">
        <v>1266.7945557</v>
      </c>
      <c r="K1295">
        <v>2400</v>
      </c>
      <c r="L1295">
        <v>0</v>
      </c>
      <c r="M1295">
        <v>0</v>
      </c>
      <c r="N1295">
        <v>2400</v>
      </c>
    </row>
    <row r="1296" spans="1:14" x14ac:dyDescent="0.25">
      <c r="A1296">
        <v>790.43399599999998</v>
      </c>
      <c r="B1296" s="1">
        <f>DATE(2012,6,29) + TIME(10,24,57)</f>
        <v>41089.433993055558</v>
      </c>
      <c r="C1296">
        <v>80</v>
      </c>
      <c r="D1296">
        <v>79.948982239000003</v>
      </c>
      <c r="E1296">
        <v>50</v>
      </c>
      <c r="F1296">
        <v>45.918392181000002</v>
      </c>
      <c r="G1296">
        <v>1382.715332</v>
      </c>
      <c r="H1296">
        <v>1369.4377440999999</v>
      </c>
      <c r="I1296">
        <v>1286.4356689000001</v>
      </c>
      <c r="J1296">
        <v>1266.7315673999999</v>
      </c>
      <c r="K1296">
        <v>2400</v>
      </c>
      <c r="L1296">
        <v>0</v>
      </c>
      <c r="M1296">
        <v>0</v>
      </c>
      <c r="N1296">
        <v>2400</v>
      </c>
    </row>
    <row r="1297" spans="1:14" x14ac:dyDescent="0.25">
      <c r="A1297">
        <v>791.49570100000005</v>
      </c>
      <c r="B1297" s="1">
        <f>DATE(2012,6,30) + TIME(11,53,48)</f>
        <v>41090.495694444442</v>
      </c>
      <c r="C1297">
        <v>80</v>
      </c>
      <c r="D1297">
        <v>79.948997497999997</v>
      </c>
      <c r="E1297">
        <v>50</v>
      </c>
      <c r="F1297">
        <v>45.864524840999998</v>
      </c>
      <c r="G1297">
        <v>1382.6564940999999</v>
      </c>
      <c r="H1297">
        <v>1369.3876952999999</v>
      </c>
      <c r="I1297">
        <v>1286.3895264</v>
      </c>
      <c r="J1297">
        <v>1266.6663818</v>
      </c>
      <c r="K1297">
        <v>2400</v>
      </c>
      <c r="L1297">
        <v>0</v>
      </c>
      <c r="M1297">
        <v>0</v>
      </c>
      <c r="N1297">
        <v>2400</v>
      </c>
    </row>
    <row r="1298" spans="1:14" x14ac:dyDescent="0.25">
      <c r="A1298">
        <v>792</v>
      </c>
      <c r="B1298" s="1">
        <f>DATE(2012,7,1) + TIME(0,0,0)</f>
        <v>41091</v>
      </c>
      <c r="C1298">
        <v>80</v>
      </c>
      <c r="D1298">
        <v>79.948966979999994</v>
      </c>
      <c r="E1298">
        <v>50</v>
      </c>
      <c r="F1298">
        <v>45.828052520999996</v>
      </c>
      <c r="G1298">
        <v>1382.6101074000001</v>
      </c>
      <c r="H1298">
        <v>1369.3496094</v>
      </c>
      <c r="I1298">
        <v>1286.3458252</v>
      </c>
      <c r="J1298">
        <v>1266.6082764</v>
      </c>
      <c r="K1298">
        <v>2400</v>
      </c>
      <c r="L1298">
        <v>0</v>
      </c>
      <c r="M1298">
        <v>0</v>
      </c>
      <c r="N1298">
        <v>2400</v>
      </c>
    </row>
    <row r="1299" spans="1:14" x14ac:dyDescent="0.25">
      <c r="A1299">
        <v>793.08484499999997</v>
      </c>
      <c r="B1299" s="1">
        <f>DATE(2012,7,2) + TIME(2,2,10)</f>
        <v>41092.084837962961</v>
      </c>
      <c r="C1299">
        <v>80</v>
      </c>
      <c r="D1299">
        <v>79.949012756000002</v>
      </c>
      <c r="E1299">
        <v>50</v>
      </c>
      <c r="F1299">
        <v>45.779384612999998</v>
      </c>
      <c r="G1299">
        <v>1382.5662841999999</v>
      </c>
      <c r="H1299">
        <v>1369.3104248</v>
      </c>
      <c r="I1299">
        <v>1286.3171387</v>
      </c>
      <c r="J1299">
        <v>1266.5627440999999</v>
      </c>
      <c r="K1299">
        <v>2400</v>
      </c>
      <c r="L1299">
        <v>0</v>
      </c>
      <c r="M1299">
        <v>0</v>
      </c>
      <c r="N1299">
        <v>2400</v>
      </c>
    </row>
    <row r="1300" spans="1:14" x14ac:dyDescent="0.25">
      <c r="A1300">
        <v>794.21002799999997</v>
      </c>
      <c r="B1300" s="1">
        <f>DATE(2012,7,3) + TIME(5,2,26)</f>
        <v>41093.210023148145</v>
      </c>
      <c r="C1300">
        <v>80</v>
      </c>
      <c r="D1300">
        <v>79.949035644999995</v>
      </c>
      <c r="E1300">
        <v>50</v>
      </c>
      <c r="F1300">
        <v>45.726089477999999</v>
      </c>
      <c r="G1300">
        <v>1382.5090332</v>
      </c>
      <c r="H1300">
        <v>1369.2615966999999</v>
      </c>
      <c r="I1300">
        <v>1286.2684326000001</v>
      </c>
      <c r="J1300">
        <v>1266.4936522999999</v>
      </c>
      <c r="K1300">
        <v>2400</v>
      </c>
      <c r="L1300">
        <v>0</v>
      </c>
      <c r="M1300">
        <v>0</v>
      </c>
      <c r="N1300">
        <v>2400</v>
      </c>
    </row>
    <row r="1301" spans="1:14" x14ac:dyDescent="0.25">
      <c r="A1301">
        <v>795.36697700000002</v>
      </c>
      <c r="B1301" s="1">
        <f>DATE(2012,7,4) + TIME(8,48,26)</f>
        <v>41094.366967592592</v>
      </c>
      <c r="C1301">
        <v>80</v>
      </c>
      <c r="D1301">
        <v>79.949050903</v>
      </c>
      <c r="E1301">
        <v>50</v>
      </c>
      <c r="F1301">
        <v>45.669872284</v>
      </c>
      <c r="G1301">
        <v>1382.4489745999999</v>
      </c>
      <c r="H1301">
        <v>1369.2102050999999</v>
      </c>
      <c r="I1301">
        <v>1286.2160644999999</v>
      </c>
      <c r="J1301">
        <v>1266.4193115</v>
      </c>
      <c r="K1301">
        <v>2400</v>
      </c>
      <c r="L1301">
        <v>0</v>
      </c>
      <c r="M1301">
        <v>0</v>
      </c>
      <c r="N1301">
        <v>2400</v>
      </c>
    </row>
    <row r="1302" spans="1:14" x14ac:dyDescent="0.25">
      <c r="A1302">
        <v>796.54965000000004</v>
      </c>
      <c r="B1302" s="1">
        <f>DATE(2012,7,5) + TIME(13,11,29)</f>
        <v>41095.549641203703</v>
      </c>
      <c r="C1302">
        <v>80</v>
      </c>
      <c r="D1302">
        <v>79.949066161999994</v>
      </c>
      <c r="E1302">
        <v>50</v>
      </c>
      <c r="F1302">
        <v>45.611701965000002</v>
      </c>
      <c r="G1302">
        <v>1382.3876952999999</v>
      </c>
      <c r="H1302">
        <v>1369.1575928</v>
      </c>
      <c r="I1302">
        <v>1286.1613769999999</v>
      </c>
      <c r="J1302">
        <v>1266.3409423999999</v>
      </c>
      <c r="K1302">
        <v>2400</v>
      </c>
      <c r="L1302">
        <v>0</v>
      </c>
      <c r="M1302">
        <v>0</v>
      </c>
      <c r="N1302">
        <v>2400</v>
      </c>
    </row>
    <row r="1303" spans="1:14" x14ac:dyDescent="0.25">
      <c r="A1303">
        <v>797.14190399999995</v>
      </c>
      <c r="B1303" s="1">
        <f>DATE(2012,7,6) + TIME(3,24,20)</f>
        <v>41096.141898148147</v>
      </c>
      <c r="C1303">
        <v>80</v>
      </c>
      <c r="D1303">
        <v>79.949043274000005</v>
      </c>
      <c r="E1303">
        <v>50</v>
      </c>
      <c r="F1303">
        <v>45.569820403999998</v>
      </c>
      <c r="G1303">
        <v>1382.3381348</v>
      </c>
      <c r="H1303">
        <v>1369.1163329999999</v>
      </c>
      <c r="I1303">
        <v>1286.1087646000001</v>
      </c>
      <c r="J1303">
        <v>1266.2694091999999</v>
      </c>
      <c r="K1303">
        <v>2400</v>
      </c>
      <c r="L1303">
        <v>0</v>
      </c>
      <c r="M1303">
        <v>0</v>
      </c>
      <c r="N1303">
        <v>2400</v>
      </c>
    </row>
    <row r="1304" spans="1:14" x14ac:dyDescent="0.25">
      <c r="A1304">
        <v>797.73415899999998</v>
      </c>
      <c r="B1304" s="1">
        <f>DATE(2012,7,6) + TIME(17,37,11)</f>
        <v>41096.734155092592</v>
      </c>
      <c r="C1304">
        <v>80</v>
      </c>
      <c r="D1304">
        <v>79.949050903</v>
      </c>
      <c r="E1304">
        <v>50</v>
      </c>
      <c r="F1304">
        <v>45.532924651999998</v>
      </c>
      <c r="G1304">
        <v>1382.3022461</v>
      </c>
      <c r="H1304">
        <v>1369.0849608999999</v>
      </c>
      <c r="I1304">
        <v>1286.0771483999999</v>
      </c>
      <c r="J1304">
        <v>1266.222168</v>
      </c>
      <c r="K1304">
        <v>2400</v>
      </c>
      <c r="L1304">
        <v>0</v>
      </c>
      <c r="M1304">
        <v>0</v>
      </c>
      <c r="N1304">
        <v>2400</v>
      </c>
    </row>
    <row r="1305" spans="1:14" x14ac:dyDescent="0.25">
      <c r="A1305">
        <v>798.91866800000003</v>
      </c>
      <c r="B1305" s="1">
        <f>DATE(2012,7,7) + TIME(22,2,52)</f>
        <v>41097.918657407405</v>
      </c>
      <c r="C1305">
        <v>80</v>
      </c>
      <c r="D1305">
        <v>79.949104309000006</v>
      </c>
      <c r="E1305">
        <v>50</v>
      </c>
      <c r="F1305">
        <v>45.484912872000002</v>
      </c>
      <c r="G1305">
        <v>1382.260376</v>
      </c>
      <c r="H1305">
        <v>1369.0474853999999</v>
      </c>
      <c r="I1305">
        <v>1286.0441894999999</v>
      </c>
      <c r="J1305">
        <v>1266.1697998</v>
      </c>
      <c r="K1305">
        <v>2400</v>
      </c>
      <c r="L1305">
        <v>0</v>
      </c>
      <c r="M1305">
        <v>0</v>
      </c>
      <c r="N1305">
        <v>2400</v>
      </c>
    </row>
    <row r="1306" spans="1:14" x14ac:dyDescent="0.25">
      <c r="A1306">
        <v>800.10332000000005</v>
      </c>
      <c r="B1306" s="1">
        <f>DATE(2012,7,9) + TIME(2,28,46)</f>
        <v>41099.103310185186</v>
      </c>
      <c r="C1306">
        <v>80</v>
      </c>
      <c r="D1306">
        <v>79.949127196999996</v>
      </c>
      <c r="E1306">
        <v>50</v>
      </c>
      <c r="F1306">
        <v>45.430088042999998</v>
      </c>
      <c r="G1306">
        <v>1382.2032471</v>
      </c>
      <c r="H1306">
        <v>1368.9984131000001</v>
      </c>
      <c r="I1306">
        <v>1285.9871826000001</v>
      </c>
      <c r="J1306">
        <v>1266.0883789</v>
      </c>
      <c r="K1306">
        <v>2400</v>
      </c>
      <c r="L1306">
        <v>0</v>
      </c>
      <c r="M1306">
        <v>0</v>
      </c>
      <c r="N1306">
        <v>2400</v>
      </c>
    </row>
    <row r="1307" spans="1:14" x14ac:dyDescent="0.25">
      <c r="A1307">
        <v>801.29385100000002</v>
      </c>
      <c r="B1307" s="1">
        <f>DATE(2012,7,10) + TIME(7,3,8)</f>
        <v>41100.293842592589</v>
      </c>
      <c r="C1307">
        <v>80</v>
      </c>
      <c r="D1307">
        <v>79.949150084999999</v>
      </c>
      <c r="E1307">
        <v>50</v>
      </c>
      <c r="F1307">
        <v>45.37241745</v>
      </c>
      <c r="G1307">
        <v>1382.1445312000001</v>
      </c>
      <c r="H1307">
        <v>1368.9476318</v>
      </c>
      <c r="I1307">
        <v>1285.9278564000001</v>
      </c>
      <c r="J1307">
        <v>1266.0026855000001</v>
      </c>
      <c r="K1307">
        <v>2400</v>
      </c>
      <c r="L1307">
        <v>0</v>
      </c>
      <c r="M1307">
        <v>0</v>
      </c>
      <c r="N1307">
        <v>2400</v>
      </c>
    </row>
    <row r="1308" spans="1:14" x14ac:dyDescent="0.25">
      <c r="A1308">
        <v>802.49321299999997</v>
      </c>
      <c r="B1308" s="1">
        <f>DATE(2012,7,11) + TIME(11,50,13)</f>
        <v>41101.493206018517</v>
      </c>
      <c r="C1308">
        <v>80</v>
      </c>
      <c r="D1308">
        <v>79.949165343999994</v>
      </c>
      <c r="E1308">
        <v>50</v>
      </c>
      <c r="F1308">
        <v>45.313415526999997</v>
      </c>
      <c r="G1308">
        <v>1382.0858154</v>
      </c>
      <c r="H1308">
        <v>1368.8967285000001</v>
      </c>
      <c r="I1308">
        <v>1285.8671875</v>
      </c>
      <c r="J1308">
        <v>1265.9143065999999</v>
      </c>
      <c r="K1308">
        <v>2400</v>
      </c>
      <c r="L1308">
        <v>0</v>
      </c>
      <c r="M1308">
        <v>0</v>
      </c>
      <c r="N1308">
        <v>2400</v>
      </c>
    </row>
    <row r="1309" spans="1:14" x14ac:dyDescent="0.25">
      <c r="A1309">
        <v>803.70473400000003</v>
      </c>
      <c r="B1309" s="1">
        <f>DATE(2012,7,12) + TIME(16,54,48)</f>
        <v>41102.704722222225</v>
      </c>
      <c r="C1309">
        <v>80</v>
      </c>
      <c r="D1309">
        <v>79.949188231999997</v>
      </c>
      <c r="E1309">
        <v>50</v>
      </c>
      <c r="F1309">
        <v>45.253601074000002</v>
      </c>
      <c r="G1309">
        <v>1382.0270995999999</v>
      </c>
      <c r="H1309">
        <v>1368.8457031</v>
      </c>
      <c r="I1309">
        <v>1285.8051757999999</v>
      </c>
      <c r="J1309">
        <v>1265.8233643000001</v>
      </c>
      <c r="K1309">
        <v>2400</v>
      </c>
      <c r="L1309">
        <v>0</v>
      </c>
      <c r="M1309">
        <v>0</v>
      </c>
      <c r="N1309">
        <v>2400</v>
      </c>
    </row>
    <row r="1310" spans="1:14" x14ac:dyDescent="0.25">
      <c r="A1310">
        <v>804.93031299999996</v>
      </c>
      <c r="B1310" s="1">
        <f>DATE(2012,7,13) + TIME(22,19,39)</f>
        <v>41103.930312500001</v>
      </c>
      <c r="C1310">
        <v>80</v>
      </c>
      <c r="D1310">
        <v>79.949211121000005</v>
      </c>
      <c r="E1310">
        <v>50</v>
      </c>
      <c r="F1310">
        <v>45.193122864000003</v>
      </c>
      <c r="G1310">
        <v>1381.9685059000001</v>
      </c>
      <c r="H1310">
        <v>1368.7946777</v>
      </c>
      <c r="I1310">
        <v>1285.7416992000001</v>
      </c>
      <c r="J1310">
        <v>1265.7298584</v>
      </c>
      <c r="K1310">
        <v>2400</v>
      </c>
      <c r="L1310">
        <v>0</v>
      </c>
      <c r="M1310">
        <v>0</v>
      </c>
      <c r="N1310">
        <v>2400</v>
      </c>
    </row>
    <row r="1311" spans="1:14" x14ac:dyDescent="0.25">
      <c r="A1311">
        <v>806.16391699999997</v>
      </c>
      <c r="B1311" s="1">
        <f>DATE(2012,7,15) + TIME(3,56,2)</f>
        <v>41105.163912037038</v>
      </c>
      <c r="C1311">
        <v>80</v>
      </c>
      <c r="D1311">
        <v>79.949234008999994</v>
      </c>
      <c r="E1311">
        <v>50</v>
      </c>
      <c r="F1311">
        <v>45.132141113000003</v>
      </c>
      <c r="G1311">
        <v>1381.9100341999999</v>
      </c>
      <c r="H1311">
        <v>1368.7436522999999</v>
      </c>
      <c r="I1311">
        <v>1285.6765137</v>
      </c>
      <c r="J1311">
        <v>1265.6336670000001</v>
      </c>
      <c r="K1311">
        <v>2400</v>
      </c>
      <c r="L1311">
        <v>0</v>
      </c>
      <c r="M1311">
        <v>0</v>
      </c>
      <c r="N1311">
        <v>2400</v>
      </c>
    </row>
    <row r="1312" spans="1:14" x14ac:dyDescent="0.25">
      <c r="A1312">
        <v>807.40870800000005</v>
      </c>
      <c r="B1312" s="1">
        <f>DATE(2012,7,16) + TIME(9,48,32)</f>
        <v>41106.408703703702</v>
      </c>
      <c r="C1312">
        <v>80</v>
      </c>
      <c r="D1312">
        <v>79.949256896999998</v>
      </c>
      <c r="E1312">
        <v>50</v>
      </c>
      <c r="F1312">
        <v>45.070713042999998</v>
      </c>
      <c r="G1312">
        <v>1381.8518065999999</v>
      </c>
      <c r="H1312">
        <v>1368.6926269999999</v>
      </c>
      <c r="I1312">
        <v>1285.6101074000001</v>
      </c>
      <c r="J1312">
        <v>1265.5351562000001</v>
      </c>
      <c r="K1312">
        <v>2400</v>
      </c>
      <c r="L1312">
        <v>0</v>
      </c>
      <c r="M1312">
        <v>0</v>
      </c>
      <c r="N1312">
        <v>2400</v>
      </c>
    </row>
    <row r="1313" spans="1:14" x14ac:dyDescent="0.25">
      <c r="A1313">
        <v>808.66792599999997</v>
      </c>
      <c r="B1313" s="1">
        <f>DATE(2012,7,17) + TIME(16,1,48)</f>
        <v>41107.667916666665</v>
      </c>
      <c r="C1313">
        <v>80</v>
      </c>
      <c r="D1313">
        <v>79.949287415000001</v>
      </c>
      <c r="E1313">
        <v>50</v>
      </c>
      <c r="F1313">
        <v>45.008762359999999</v>
      </c>
      <c r="G1313">
        <v>1381.7937012</v>
      </c>
      <c r="H1313">
        <v>1368.6417236</v>
      </c>
      <c r="I1313">
        <v>1285.5421143000001</v>
      </c>
      <c r="J1313">
        <v>1265.434082</v>
      </c>
      <c r="K1313">
        <v>2400</v>
      </c>
      <c r="L1313">
        <v>0</v>
      </c>
      <c r="M1313">
        <v>0</v>
      </c>
      <c r="N1313">
        <v>2400</v>
      </c>
    </row>
    <row r="1314" spans="1:14" x14ac:dyDescent="0.25">
      <c r="A1314">
        <v>809.94509000000005</v>
      </c>
      <c r="B1314" s="1">
        <f>DATE(2012,7,18) + TIME(22,40,55)</f>
        <v>41108.945081018515</v>
      </c>
      <c r="C1314">
        <v>80</v>
      </c>
      <c r="D1314">
        <v>79.949310303000004</v>
      </c>
      <c r="E1314">
        <v>50</v>
      </c>
      <c r="F1314">
        <v>44.946166992000002</v>
      </c>
      <c r="G1314">
        <v>1381.7355957</v>
      </c>
      <c r="H1314">
        <v>1368.5906981999999</v>
      </c>
      <c r="I1314">
        <v>1285.4725341999999</v>
      </c>
      <c r="J1314">
        <v>1265.3300781</v>
      </c>
      <c r="K1314">
        <v>2400</v>
      </c>
      <c r="L1314">
        <v>0</v>
      </c>
      <c r="M1314">
        <v>0</v>
      </c>
      <c r="N1314">
        <v>2400</v>
      </c>
    </row>
    <row r="1315" spans="1:14" x14ac:dyDescent="0.25">
      <c r="A1315">
        <v>811.24402899999995</v>
      </c>
      <c r="B1315" s="1">
        <f>DATE(2012,7,20) + TIME(5,51,24)</f>
        <v>41110.244027777779</v>
      </c>
      <c r="C1315">
        <v>80</v>
      </c>
      <c r="D1315">
        <v>79.949340820000003</v>
      </c>
      <c r="E1315">
        <v>50</v>
      </c>
      <c r="F1315">
        <v>44.882755279999998</v>
      </c>
      <c r="G1315">
        <v>1381.6774902</v>
      </c>
      <c r="H1315">
        <v>1368.5395507999999</v>
      </c>
      <c r="I1315">
        <v>1285.4011230000001</v>
      </c>
      <c r="J1315">
        <v>1265.2230225000001</v>
      </c>
      <c r="K1315">
        <v>2400</v>
      </c>
      <c r="L1315">
        <v>0</v>
      </c>
      <c r="M1315">
        <v>0</v>
      </c>
      <c r="N1315">
        <v>2400</v>
      </c>
    </row>
    <row r="1316" spans="1:14" x14ac:dyDescent="0.25">
      <c r="A1316">
        <v>812.56889999999999</v>
      </c>
      <c r="B1316" s="1">
        <f>DATE(2012,7,21) + TIME(13,39,12)</f>
        <v>41111.568888888891</v>
      </c>
      <c r="C1316">
        <v>80</v>
      </c>
      <c r="D1316">
        <v>79.949371338000006</v>
      </c>
      <c r="E1316">
        <v>50</v>
      </c>
      <c r="F1316">
        <v>44.818351745999998</v>
      </c>
      <c r="G1316">
        <v>1381.6188964999999</v>
      </c>
      <c r="H1316">
        <v>1368.4879149999999</v>
      </c>
      <c r="I1316">
        <v>1285.3276367000001</v>
      </c>
      <c r="J1316">
        <v>1265.1124268000001</v>
      </c>
      <c r="K1316">
        <v>2400</v>
      </c>
      <c r="L1316">
        <v>0</v>
      </c>
      <c r="M1316">
        <v>0</v>
      </c>
      <c r="N1316">
        <v>2400</v>
      </c>
    </row>
    <row r="1317" spans="1:14" x14ac:dyDescent="0.25">
      <c r="A1317">
        <v>813.92437299999995</v>
      </c>
      <c r="B1317" s="1">
        <f>DATE(2012,7,22) + TIME(22,11,5)</f>
        <v>41112.924363425926</v>
      </c>
      <c r="C1317">
        <v>80</v>
      </c>
      <c r="D1317">
        <v>79.949401855000005</v>
      </c>
      <c r="E1317">
        <v>50</v>
      </c>
      <c r="F1317">
        <v>44.752758026000002</v>
      </c>
      <c r="G1317">
        <v>1381.5599365</v>
      </c>
      <c r="H1317">
        <v>1368.4359131000001</v>
      </c>
      <c r="I1317">
        <v>1285.2517089999999</v>
      </c>
      <c r="J1317">
        <v>1264.9978027</v>
      </c>
      <c r="K1317">
        <v>2400</v>
      </c>
      <c r="L1317">
        <v>0</v>
      </c>
      <c r="M1317">
        <v>0</v>
      </c>
      <c r="N1317">
        <v>2400</v>
      </c>
    </row>
    <row r="1318" spans="1:14" x14ac:dyDescent="0.25">
      <c r="A1318">
        <v>815.31572300000005</v>
      </c>
      <c r="B1318" s="1">
        <f>DATE(2012,7,24) + TIME(7,34,38)</f>
        <v>41114.315717592595</v>
      </c>
      <c r="C1318">
        <v>80</v>
      </c>
      <c r="D1318">
        <v>79.949432372999993</v>
      </c>
      <c r="E1318">
        <v>50</v>
      </c>
      <c r="F1318">
        <v>44.685749053999999</v>
      </c>
      <c r="G1318">
        <v>1381.5003661999999</v>
      </c>
      <c r="H1318">
        <v>1368.3830565999999</v>
      </c>
      <c r="I1318">
        <v>1285.1732178</v>
      </c>
      <c r="J1318">
        <v>1264.8789062000001</v>
      </c>
      <c r="K1318">
        <v>2400</v>
      </c>
      <c r="L1318">
        <v>0</v>
      </c>
      <c r="M1318">
        <v>0</v>
      </c>
      <c r="N1318">
        <v>2400</v>
      </c>
    </row>
    <row r="1319" spans="1:14" x14ac:dyDescent="0.25">
      <c r="A1319">
        <v>816.74971400000004</v>
      </c>
      <c r="B1319" s="1">
        <f>DATE(2012,7,25) + TIME(17,59,35)</f>
        <v>41115.749710648146</v>
      </c>
      <c r="C1319">
        <v>80</v>
      </c>
      <c r="D1319">
        <v>79.949462890999996</v>
      </c>
      <c r="E1319">
        <v>50</v>
      </c>
      <c r="F1319">
        <v>44.617057799999998</v>
      </c>
      <c r="G1319">
        <v>1381.4399414</v>
      </c>
      <c r="H1319">
        <v>1368.3294678</v>
      </c>
      <c r="I1319">
        <v>1285.0917969</v>
      </c>
      <c r="J1319">
        <v>1264.7551269999999</v>
      </c>
      <c r="K1319">
        <v>2400</v>
      </c>
      <c r="L1319">
        <v>0</v>
      </c>
      <c r="M1319">
        <v>0</v>
      </c>
      <c r="N1319">
        <v>2400</v>
      </c>
    </row>
    <row r="1320" spans="1:14" x14ac:dyDescent="0.25">
      <c r="A1320">
        <v>818.19300599999997</v>
      </c>
      <c r="B1320" s="1">
        <f>DATE(2012,7,27) + TIME(4,37,55)</f>
        <v>41117.192997685182</v>
      </c>
      <c r="C1320">
        <v>80</v>
      </c>
      <c r="D1320">
        <v>79.949501037999994</v>
      </c>
      <c r="E1320">
        <v>50</v>
      </c>
      <c r="F1320">
        <v>44.547107697000001</v>
      </c>
      <c r="G1320">
        <v>1381.3789062000001</v>
      </c>
      <c r="H1320">
        <v>1368.2752685999999</v>
      </c>
      <c r="I1320">
        <v>1285.0072021000001</v>
      </c>
      <c r="J1320">
        <v>1264.6262207</v>
      </c>
      <c r="K1320">
        <v>2400</v>
      </c>
      <c r="L1320">
        <v>0</v>
      </c>
      <c r="M1320">
        <v>0</v>
      </c>
      <c r="N1320">
        <v>2400</v>
      </c>
    </row>
    <row r="1321" spans="1:14" x14ac:dyDescent="0.25">
      <c r="A1321">
        <v>819.64625599999999</v>
      </c>
      <c r="B1321" s="1">
        <f>DATE(2012,7,28) + TIME(15,30,36)</f>
        <v>41118.646249999998</v>
      </c>
      <c r="C1321">
        <v>80</v>
      </c>
      <c r="D1321">
        <v>79.949531554999993</v>
      </c>
      <c r="E1321">
        <v>50</v>
      </c>
      <c r="F1321">
        <v>44.476497649999999</v>
      </c>
      <c r="G1321">
        <v>1381.3179932</v>
      </c>
      <c r="H1321">
        <v>1368.2210693</v>
      </c>
      <c r="I1321">
        <v>1284.9208983999999</v>
      </c>
      <c r="J1321">
        <v>1264.4942627</v>
      </c>
      <c r="K1321">
        <v>2400</v>
      </c>
      <c r="L1321">
        <v>0</v>
      </c>
      <c r="M1321">
        <v>0</v>
      </c>
      <c r="N1321">
        <v>2400</v>
      </c>
    </row>
    <row r="1322" spans="1:14" x14ac:dyDescent="0.25">
      <c r="A1322">
        <v>820.37494500000003</v>
      </c>
      <c r="B1322" s="1">
        <f>DATE(2012,7,29) + TIME(8,59,55)</f>
        <v>41119.374942129631</v>
      </c>
      <c r="C1322">
        <v>80</v>
      </c>
      <c r="D1322">
        <v>79.949523925999998</v>
      </c>
      <c r="E1322">
        <v>50</v>
      </c>
      <c r="F1322">
        <v>44.424339293999999</v>
      </c>
      <c r="G1322">
        <v>1381.2698975000001</v>
      </c>
      <c r="H1322">
        <v>1368.1793213000001</v>
      </c>
      <c r="I1322">
        <v>1284.8394774999999</v>
      </c>
      <c r="J1322">
        <v>1264.3745117000001</v>
      </c>
      <c r="K1322">
        <v>2400</v>
      </c>
      <c r="L1322">
        <v>0</v>
      </c>
      <c r="M1322">
        <v>0</v>
      </c>
      <c r="N1322">
        <v>2400</v>
      </c>
    </row>
    <row r="1323" spans="1:14" x14ac:dyDescent="0.25">
      <c r="A1323">
        <v>821.10363299999995</v>
      </c>
      <c r="B1323" s="1">
        <f>DATE(2012,7,30) + TIME(2,29,13)</f>
        <v>41120.103622685187</v>
      </c>
      <c r="C1323">
        <v>80</v>
      </c>
      <c r="D1323">
        <v>79.949539185000006</v>
      </c>
      <c r="E1323">
        <v>50</v>
      </c>
      <c r="F1323">
        <v>44.379981995000001</v>
      </c>
      <c r="G1323">
        <v>1381.2342529</v>
      </c>
      <c r="H1323">
        <v>1368.1472168</v>
      </c>
      <c r="I1323">
        <v>1284.7908935999999</v>
      </c>
      <c r="J1323">
        <v>1264.2967529</v>
      </c>
      <c r="K1323">
        <v>2400</v>
      </c>
      <c r="L1323">
        <v>0</v>
      </c>
      <c r="M1323">
        <v>0</v>
      </c>
      <c r="N1323">
        <v>2400</v>
      </c>
    </row>
    <row r="1324" spans="1:14" x14ac:dyDescent="0.25">
      <c r="A1324">
        <v>821.83232199999998</v>
      </c>
      <c r="B1324" s="1">
        <f>DATE(2012,7,30) + TIME(19,58,32)</f>
        <v>41120.832314814812</v>
      </c>
      <c r="C1324">
        <v>80</v>
      </c>
      <c r="D1324">
        <v>79.949562072999996</v>
      </c>
      <c r="E1324">
        <v>50</v>
      </c>
      <c r="F1324">
        <v>44.339771270999996</v>
      </c>
      <c r="G1324">
        <v>1381.2020264</v>
      </c>
      <c r="H1324">
        <v>1368.1181641000001</v>
      </c>
      <c r="I1324">
        <v>1284.7449951000001</v>
      </c>
      <c r="J1324">
        <v>1264.2237548999999</v>
      </c>
      <c r="K1324">
        <v>2400</v>
      </c>
      <c r="L1324">
        <v>0</v>
      </c>
      <c r="M1324">
        <v>0</v>
      </c>
      <c r="N1324">
        <v>2400</v>
      </c>
    </row>
    <row r="1325" spans="1:14" x14ac:dyDescent="0.25">
      <c r="A1325">
        <v>823</v>
      </c>
      <c r="B1325" s="1">
        <f>DATE(2012,8,1) + TIME(0,0,0)</f>
        <v>41122</v>
      </c>
      <c r="C1325">
        <v>80</v>
      </c>
      <c r="D1325">
        <v>79.949615479000002</v>
      </c>
      <c r="E1325">
        <v>50</v>
      </c>
      <c r="F1325">
        <v>44.292335510000001</v>
      </c>
      <c r="G1325">
        <v>1381.1645507999999</v>
      </c>
      <c r="H1325">
        <v>1368.0838623</v>
      </c>
      <c r="I1325">
        <v>1284.6962891000001</v>
      </c>
      <c r="J1325">
        <v>1264.1444091999999</v>
      </c>
      <c r="K1325">
        <v>2400</v>
      </c>
      <c r="L1325">
        <v>0</v>
      </c>
      <c r="M1325">
        <v>0</v>
      </c>
      <c r="N1325">
        <v>2400</v>
      </c>
    </row>
    <row r="1326" spans="1:14" x14ac:dyDescent="0.25">
      <c r="A1326">
        <v>823.72868900000003</v>
      </c>
      <c r="B1326" s="1">
        <f>DATE(2012,8,1) + TIME(17,29,18)</f>
        <v>41122.728680555556</v>
      </c>
      <c r="C1326">
        <v>80</v>
      </c>
      <c r="D1326">
        <v>79.949615479000002</v>
      </c>
      <c r="E1326">
        <v>50</v>
      </c>
      <c r="F1326">
        <v>44.249969481999997</v>
      </c>
      <c r="G1326">
        <v>1381.1264647999999</v>
      </c>
      <c r="H1326">
        <v>1368.0505370999999</v>
      </c>
      <c r="I1326">
        <v>1284.6297606999999</v>
      </c>
      <c r="J1326">
        <v>1264.0457764</v>
      </c>
      <c r="K1326">
        <v>2400</v>
      </c>
      <c r="L1326">
        <v>0</v>
      </c>
      <c r="M1326">
        <v>0</v>
      </c>
      <c r="N1326">
        <v>2400</v>
      </c>
    </row>
    <row r="1327" spans="1:14" x14ac:dyDescent="0.25">
      <c r="A1327">
        <v>825.18606599999998</v>
      </c>
      <c r="B1327" s="1">
        <f>DATE(2012,8,3) + TIME(4,27,56)</f>
        <v>41124.186064814814</v>
      </c>
      <c r="C1327">
        <v>80</v>
      </c>
      <c r="D1327">
        <v>79.949676514000004</v>
      </c>
      <c r="E1327">
        <v>50</v>
      </c>
      <c r="F1327">
        <v>44.196876525999997</v>
      </c>
      <c r="G1327">
        <v>1381.0847168</v>
      </c>
      <c r="H1327">
        <v>1368.0119629000001</v>
      </c>
      <c r="I1327">
        <v>1284.5776367000001</v>
      </c>
      <c r="J1327">
        <v>1263.9591064000001</v>
      </c>
      <c r="K1327">
        <v>2400</v>
      </c>
      <c r="L1327">
        <v>0</v>
      </c>
      <c r="M1327">
        <v>0</v>
      </c>
      <c r="N1327">
        <v>2400</v>
      </c>
    </row>
    <row r="1328" spans="1:14" x14ac:dyDescent="0.25">
      <c r="A1328">
        <v>826.64788099999998</v>
      </c>
      <c r="B1328" s="1">
        <f>DATE(2012,8,4) + TIME(15,32,56)</f>
        <v>41125.647870370369</v>
      </c>
      <c r="C1328">
        <v>80</v>
      </c>
      <c r="D1328">
        <v>79.949714661000002</v>
      </c>
      <c r="E1328">
        <v>50</v>
      </c>
      <c r="F1328">
        <v>44.132694244</v>
      </c>
      <c r="G1328">
        <v>1381.0300293</v>
      </c>
      <c r="H1328">
        <v>1367.9631348</v>
      </c>
      <c r="I1328">
        <v>1284.4898682</v>
      </c>
      <c r="J1328">
        <v>1263.8248291</v>
      </c>
      <c r="K1328">
        <v>2400</v>
      </c>
      <c r="L1328">
        <v>0</v>
      </c>
      <c r="M1328">
        <v>0</v>
      </c>
      <c r="N1328">
        <v>2400</v>
      </c>
    </row>
    <row r="1329" spans="1:14" x14ac:dyDescent="0.25">
      <c r="A1329">
        <v>828.12654799999996</v>
      </c>
      <c r="B1329" s="1">
        <f>DATE(2012,8,6) + TIME(3,2,13)</f>
        <v>41127.126539351855</v>
      </c>
      <c r="C1329">
        <v>80</v>
      </c>
      <c r="D1329">
        <v>79.949745178000001</v>
      </c>
      <c r="E1329">
        <v>50</v>
      </c>
      <c r="F1329">
        <v>44.064369202000002</v>
      </c>
      <c r="G1329">
        <v>1380.9732666</v>
      </c>
      <c r="H1329">
        <v>1367.9122314000001</v>
      </c>
      <c r="I1329">
        <v>1284.3990478999999</v>
      </c>
      <c r="J1329">
        <v>1263.6834716999999</v>
      </c>
      <c r="K1329">
        <v>2400</v>
      </c>
      <c r="L1329">
        <v>0</v>
      </c>
      <c r="M1329">
        <v>0</v>
      </c>
      <c r="N1329">
        <v>2400</v>
      </c>
    </row>
    <row r="1330" spans="1:14" x14ac:dyDescent="0.25">
      <c r="A1330">
        <v>829.62643600000001</v>
      </c>
      <c r="B1330" s="1">
        <f>DATE(2012,8,7) + TIME(15,2,4)</f>
        <v>41128.626435185186</v>
      </c>
      <c r="C1330">
        <v>80</v>
      </c>
      <c r="D1330">
        <v>79.949783324999999</v>
      </c>
      <c r="E1330">
        <v>50</v>
      </c>
      <c r="F1330">
        <v>43.994182586999997</v>
      </c>
      <c r="G1330">
        <v>1380.9158935999999</v>
      </c>
      <c r="H1330">
        <v>1367.8605957</v>
      </c>
      <c r="I1330">
        <v>1284.3061522999999</v>
      </c>
      <c r="J1330">
        <v>1263.5378418</v>
      </c>
      <c r="K1330">
        <v>2400</v>
      </c>
      <c r="L1330">
        <v>0</v>
      </c>
      <c r="M1330">
        <v>0</v>
      </c>
      <c r="N1330">
        <v>2400</v>
      </c>
    </row>
    <row r="1331" spans="1:14" x14ac:dyDescent="0.25">
      <c r="A1331">
        <v>831.152153</v>
      </c>
      <c r="B1331" s="1">
        <f>DATE(2012,8,9) + TIME(3,39,6)</f>
        <v>41130.15215277778</v>
      </c>
      <c r="C1331">
        <v>80</v>
      </c>
      <c r="D1331">
        <v>79.949821471999996</v>
      </c>
      <c r="E1331">
        <v>50</v>
      </c>
      <c r="F1331">
        <v>43.922855376999998</v>
      </c>
      <c r="G1331">
        <v>1380.8580322</v>
      </c>
      <c r="H1331">
        <v>1367.8084716999999</v>
      </c>
      <c r="I1331">
        <v>1284.2113036999999</v>
      </c>
      <c r="J1331">
        <v>1263.3881836</v>
      </c>
      <c r="K1331">
        <v>2400</v>
      </c>
      <c r="L1331">
        <v>0</v>
      </c>
      <c r="M1331">
        <v>0</v>
      </c>
      <c r="N1331">
        <v>2400</v>
      </c>
    </row>
    <row r="1332" spans="1:14" x14ac:dyDescent="0.25">
      <c r="A1332">
        <v>832.70864500000005</v>
      </c>
      <c r="B1332" s="1">
        <f>DATE(2012,8,10) + TIME(17,0,26)</f>
        <v>41131.708634259259</v>
      </c>
      <c r="C1332">
        <v>80</v>
      </c>
      <c r="D1332">
        <v>79.949867248999993</v>
      </c>
      <c r="E1332">
        <v>50</v>
      </c>
      <c r="F1332">
        <v>43.850559234999999</v>
      </c>
      <c r="G1332">
        <v>1380.7996826000001</v>
      </c>
      <c r="H1332">
        <v>1367.7557373</v>
      </c>
      <c r="I1332">
        <v>1284.1143798999999</v>
      </c>
      <c r="J1332">
        <v>1263.2346190999999</v>
      </c>
      <c r="K1332">
        <v>2400</v>
      </c>
      <c r="L1332">
        <v>0</v>
      </c>
      <c r="M1332">
        <v>0</v>
      </c>
      <c r="N1332">
        <v>2400</v>
      </c>
    </row>
    <row r="1333" spans="1:14" x14ac:dyDescent="0.25">
      <c r="A1333">
        <v>834.30129599999998</v>
      </c>
      <c r="B1333" s="1">
        <f>DATE(2012,8,12) + TIME(7,13,51)</f>
        <v>41133.30128472222</v>
      </c>
      <c r="C1333">
        <v>80</v>
      </c>
      <c r="D1333">
        <v>79.949905396000005</v>
      </c>
      <c r="E1333">
        <v>50</v>
      </c>
      <c r="F1333">
        <v>43.777259827000002</v>
      </c>
      <c r="G1333">
        <v>1380.7408447</v>
      </c>
      <c r="H1333">
        <v>1367.7023925999999</v>
      </c>
      <c r="I1333">
        <v>1284.0150146000001</v>
      </c>
      <c r="J1333">
        <v>1263.0765381000001</v>
      </c>
      <c r="K1333">
        <v>2400</v>
      </c>
      <c r="L1333">
        <v>0</v>
      </c>
      <c r="M1333">
        <v>0</v>
      </c>
      <c r="N1333">
        <v>2400</v>
      </c>
    </row>
    <row r="1334" spans="1:14" x14ac:dyDescent="0.25">
      <c r="A1334">
        <v>835.91462899999999</v>
      </c>
      <c r="B1334" s="1">
        <f>DATE(2012,8,13) + TIME(21,57,3)</f>
        <v>41134.914618055554</v>
      </c>
      <c r="C1334">
        <v>80</v>
      </c>
      <c r="D1334">
        <v>79.949951171999999</v>
      </c>
      <c r="E1334">
        <v>50</v>
      </c>
      <c r="F1334">
        <v>43.703186035000002</v>
      </c>
      <c r="G1334">
        <v>1380.6813964999999</v>
      </c>
      <c r="H1334">
        <v>1367.6485596</v>
      </c>
      <c r="I1334">
        <v>1283.9132079999999</v>
      </c>
      <c r="J1334">
        <v>1262.9140625</v>
      </c>
      <c r="K1334">
        <v>2400</v>
      </c>
      <c r="L1334">
        <v>0</v>
      </c>
      <c r="M1334">
        <v>0</v>
      </c>
      <c r="N1334">
        <v>2400</v>
      </c>
    </row>
    <row r="1335" spans="1:14" x14ac:dyDescent="0.25">
      <c r="A1335">
        <v>837.53718800000001</v>
      </c>
      <c r="B1335" s="1">
        <f>DATE(2012,8,15) + TIME(12,53,33)</f>
        <v>41136.537187499998</v>
      </c>
      <c r="C1335">
        <v>80</v>
      </c>
      <c r="D1335">
        <v>79.949996948000006</v>
      </c>
      <c r="E1335">
        <v>50</v>
      </c>
      <c r="F1335">
        <v>43.628921509000001</v>
      </c>
      <c r="G1335">
        <v>1380.6218262</v>
      </c>
      <c r="H1335">
        <v>1367.5944824000001</v>
      </c>
      <c r="I1335">
        <v>1283.8098144999999</v>
      </c>
      <c r="J1335">
        <v>1262.7484131000001</v>
      </c>
      <c r="K1335">
        <v>2400</v>
      </c>
      <c r="L1335">
        <v>0</v>
      </c>
      <c r="M1335">
        <v>0</v>
      </c>
      <c r="N1335">
        <v>2400</v>
      </c>
    </row>
    <row r="1336" spans="1:14" x14ac:dyDescent="0.25">
      <c r="A1336">
        <v>839.17357600000003</v>
      </c>
      <c r="B1336" s="1">
        <f>DATE(2012,8,17) + TIME(4,9,56)</f>
        <v>41138.173564814817</v>
      </c>
      <c r="C1336">
        <v>80</v>
      </c>
      <c r="D1336">
        <v>79.950035095000004</v>
      </c>
      <c r="E1336">
        <v>50</v>
      </c>
      <c r="F1336">
        <v>43.554851532000001</v>
      </c>
      <c r="G1336">
        <v>1380.5623779</v>
      </c>
      <c r="H1336">
        <v>1367.5404053</v>
      </c>
      <c r="I1336">
        <v>1283.7055664</v>
      </c>
      <c r="J1336">
        <v>1262.5805664</v>
      </c>
      <c r="K1336">
        <v>2400</v>
      </c>
      <c r="L1336">
        <v>0</v>
      </c>
      <c r="M1336">
        <v>0</v>
      </c>
      <c r="N1336">
        <v>2400</v>
      </c>
    </row>
    <row r="1337" spans="1:14" x14ac:dyDescent="0.25">
      <c r="A1337">
        <v>840.82865800000002</v>
      </c>
      <c r="B1337" s="1">
        <f>DATE(2012,8,18) + TIME(19,53,16)</f>
        <v>41139.828657407408</v>
      </c>
      <c r="C1337">
        <v>80</v>
      </c>
      <c r="D1337">
        <v>79.950080872000001</v>
      </c>
      <c r="E1337">
        <v>50</v>
      </c>
      <c r="F1337">
        <v>43.481071471999996</v>
      </c>
      <c r="G1337">
        <v>1380.5029297000001</v>
      </c>
      <c r="H1337">
        <v>1367.4863281</v>
      </c>
      <c r="I1337">
        <v>1283.6004639</v>
      </c>
      <c r="J1337">
        <v>1262.4105225000001</v>
      </c>
      <c r="K1337">
        <v>2400</v>
      </c>
      <c r="L1337">
        <v>0</v>
      </c>
      <c r="M1337">
        <v>0</v>
      </c>
      <c r="N1337">
        <v>2400</v>
      </c>
    </row>
    <row r="1338" spans="1:14" x14ac:dyDescent="0.25">
      <c r="A1338">
        <v>842.50767099999996</v>
      </c>
      <c r="B1338" s="1">
        <f>DATE(2012,8,20) + TIME(12,11,2)</f>
        <v>41141.507662037038</v>
      </c>
      <c r="C1338">
        <v>80</v>
      </c>
      <c r="D1338">
        <v>79.950134277000004</v>
      </c>
      <c r="E1338">
        <v>50</v>
      </c>
      <c r="F1338">
        <v>43.407600403000004</v>
      </c>
      <c r="G1338">
        <v>1380.4434814000001</v>
      </c>
      <c r="H1338">
        <v>1367.4320068</v>
      </c>
      <c r="I1338">
        <v>1283.4942627</v>
      </c>
      <c r="J1338">
        <v>1262.2380370999999</v>
      </c>
      <c r="K1338">
        <v>2400</v>
      </c>
      <c r="L1338">
        <v>0</v>
      </c>
      <c r="M1338">
        <v>0</v>
      </c>
      <c r="N1338">
        <v>2400</v>
      </c>
    </row>
    <row r="1339" spans="1:14" x14ac:dyDescent="0.25">
      <c r="A1339">
        <v>844.21636599999999</v>
      </c>
      <c r="B1339" s="1">
        <f>DATE(2012,8,22) + TIME(5,11,34)</f>
        <v>41143.216365740744</v>
      </c>
      <c r="C1339">
        <v>80</v>
      </c>
      <c r="D1339">
        <v>79.950180054</v>
      </c>
      <c r="E1339">
        <v>50</v>
      </c>
      <c r="F1339">
        <v>43.334445952999999</v>
      </c>
      <c r="G1339">
        <v>1380.3836670000001</v>
      </c>
      <c r="H1339">
        <v>1367.3773193</v>
      </c>
      <c r="I1339">
        <v>1283.3867187999999</v>
      </c>
      <c r="J1339">
        <v>1262.0625</v>
      </c>
      <c r="K1339">
        <v>2400</v>
      </c>
      <c r="L1339">
        <v>0</v>
      </c>
      <c r="M1339">
        <v>0</v>
      </c>
      <c r="N1339">
        <v>2400</v>
      </c>
    </row>
    <row r="1340" spans="1:14" x14ac:dyDescent="0.25">
      <c r="A1340">
        <v>845.96101199999998</v>
      </c>
      <c r="B1340" s="1">
        <f>DATE(2012,8,23) + TIME(23,3,51)</f>
        <v>41144.961006944446</v>
      </c>
      <c r="C1340">
        <v>80</v>
      </c>
      <c r="D1340">
        <v>79.950225829999994</v>
      </c>
      <c r="E1340">
        <v>50</v>
      </c>
      <c r="F1340">
        <v>43.261638640999998</v>
      </c>
      <c r="G1340">
        <v>1380.3234863</v>
      </c>
      <c r="H1340">
        <v>1367.3221435999999</v>
      </c>
      <c r="I1340">
        <v>1283.2777100000001</v>
      </c>
      <c r="J1340">
        <v>1261.8837891000001</v>
      </c>
      <c r="K1340">
        <v>2400</v>
      </c>
      <c r="L1340">
        <v>0</v>
      </c>
      <c r="M1340">
        <v>0</v>
      </c>
      <c r="N1340">
        <v>2400</v>
      </c>
    </row>
    <row r="1341" spans="1:14" x14ac:dyDescent="0.25">
      <c r="A1341">
        <v>847.74865199999999</v>
      </c>
      <c r="B1341" s="1">
        <f>DATE(2012,8,25) + TIME(17,58,3)</f>
        <v>41146.748645833337</v>
      </c>
      <c r="C1341">
        <v>80</v>
      </c>
      <c r="D1341">
        <v>79.950279236</v>
      </c>
      <c r="E1341">
        <v>50</v>
      </c>
      <c r="F1341">
        <v>43.189254761000001</v>
      </c>
      <c r="G1341">
        <v>1380.2625731999999</v>
      </c>
      <c r="H1341">
        <v>1367.2663574000001</v>
      </c>
      <c r="I1341">
        <v>1283.1669922000001</v>
      </c>
      <c r="J1341">
        <v>1261.7014160000001</v>
      </c>
      <c r="K1341">
        <v>2400</v>
      </c>
      <c r="L1341">
        <v>0</v>
      </c>
      <c r="M1341">
        <v>0</v>
      </c>
      <c r="N1341">
        <v>2400</v>
      </c>
    </row>
    <row r="1342" spans="1:14" x14ac:dyDescent="0.25">
      <c r="A1342">
        <v>849.55255</v>
      </c>
      <c r="B1342" s="1">
        <f>DATE(2012,8,27) + TIME(13,15,40)</f>
        <v>41148.552546296298</v>
      </c>
      <c r="C1342">
        <v>80</v>
      </c>
      <c r="D1342">
        <v>79.950325011999993</v>
      </c>
      <c r="E1342">
        <v>50</v>
      </c>
      <c r="F1342">
        <v>43.117832184000001</v>
      </c>
      <c r="G1342">
        <v>1380.2011719</v>
      </c>
      <c r="H1342">
        <v>1367.2099608999999</v>
      </c>
      <c r="I1342">
        <v>1283.0544434000001</v>
      </c>
      <c r="J1342">
        <v>1261.5152588000001</v>
      </c>
      <c r="K1342">
        <v>2400</v>
      </c>
      <c r="L1342">
        <v>0</v>
      </c>
      <c r="M1342">
        <v>0</v>
      </c>
      <c r="N1342">
        <v>2400</v>
      </c>
    </row>
    <row r="1343" spans="1:14" x14ac:dyDescent="0.25">
      <c r="A1343">
        <v>851.37321099999997</v>
      </c>
      <c r="B1343" s="1">
        <f>DATE(2012,8,29) + TIME(8,57,25)</f>
        <v>41150.373206018521</v>
      </c>
      <c r="C1343">
        <v>80</v>
      </c>
      <c r="D1343">
        <v>79.950378418</v>
      </c>
      <c r="E1343">
        <v>50</v>
      </c>
      <c r="F1343">
        <v>43.048263550000001</v>
      </c>
      <c r="G1343">
        <v>1380.1396483999999</v>
      </c>
      <c r="H1343">
        <v>1367.1533202999999</v>
      </c>
      <c r="I1343">
        <v>1282.9416504000001</v>
      </c>
      <c r="J1343">
        <v>1261.3277588000001</v>
      </c>
      <c r="K1343">
        <v>2400</v>
      </c>
      <c r="L1343">
        <v>0</v>
      </c>
      <c r="M1343">
        <v>0</v>
      </c>
      <c r="N1343">
        <v>2400</v>
      </c>
    </row>
    <row r="1344" spans="1:14" x14ac:dyDescent="0.25">
      <c r="A1344">
        <v>853.21620800000005</v>
      </c>
      <c r="B1344" s="1">
        <f>DATE(2012,8,31) + TIME(5,11,20)</f>
        <v>41152.216203703705</v>
      </c>
      <c r="C1344">
        <v>80</v>
      </c>
      <c r="D1344">
        <v>79.950431824000006</v>
      </c>
      <c r="E1344">
        <v>50</v>
      </c>
      <c r="F1344">
        <v>42.981098175</v>
      </c>
      <c r="G1344">
        <v>1380.0780029</v>
      </c>
      <c r="H1344">
        <v>1367.0965576000001</v>
      </c>
      <c r="I1344">
        <v>1282.8288574000001</v>
      </c>
      <c r="J1344">
        <v>1261.1391602000001</v>
      </c>
      <c r="K1344">
        <v>2400</v>
      </c>
      <c r="L1344">
        <v>0</v>
      </c>
      <c r="M1344">
        <v>0</v>
      </c>
      <c r="N1344">
        <v>2400</v>
      </c>
    </row>
    <row r="1345" spans="1:14" x14ac:dyDescent="0.25">
      <c r="A1345">
        <v>854</v>
      </c>
      <c r="B1345" s="1">
        <f>DATE(2012,9,1) + TIME(0,0,0)</f>
        <v>41153</v>
      </c>
      <c r="C1345">
        <v>80</v>
      </c>
      <c r="D1345">
        <v>79.950424193999993</v>
      </c>
      <c r="E1345">
        <v>50</v>
      </c>
      <c r="F1345">
        <v>42.935554504000002</v>
      </c>
      <c r="G1345">
        <v>1380.0332031</v>
      </c>
      <c r="H1345">
        <v>1367.0563964999999</v>
      </c>
      <c r="I1345">
        <v>1282.7259521000001</v>
      </c>
      <c r="J1345">
        <v>1260.973999</v>
      </c>
      <c r="K1345">
        <v>2400</v>
      </c>
      <c r="L1345">
        <v>0</v>
      </c>
      <c r="M1345">
        <v>0</v>
      </c>
      <c r="N1345">
        <v>2400</v>
      </c>
    </row>
    <row r="1346" spans="1:14" x14ac:dyDescent="0.25">
      <c r="A1346">
        <v>855.86589900000001</v>
      </c>
      <c r="B1346" s="1">
        <f>DATE(2012,9,2) + TIME(20,46,53)</f>
        <v>41154.865891203706</v>
      </c>
      <c r="C1346">
        <v>80</v>
      </c>
      <c r="D1346">
        <v>79.950508118000002</v>
      </c>
      <c r="E1346">
        <v>50</v>
      </c>
      <c r="F1346">
        <v>42.885784149000003</v>
      </c>
      <c r="G1346">
        <v>1379.9860839999999</v>
      </c>
      <c r="H1346">
        <v>1367.0114745999999</v>
      </c>
      <c r="I1346">
        <v>1282.6641846</v>
      </c>
      <c r="J1346">
        <v>1260.8591309000001</v>
      </c>
      <c r="K1346">
        <v>2400</v>
      </c>
      <c r="L1346">
        <v>0</v>
      </c>
      <c r="M1346">
        <v>0</v>
      </c>
      <c r="N1346">
        <v>2400</v>
      </c>
    </row>
    <row r="1347" spans="1:14" x14ac:dyDescent="0.25">
      <c r="A1347">
        <v>857.73493900000005</v>
      </c>
      <c r="B1347" s="1">
        <f>DATE(2012,9,4) + TIME(17,38,18)</f>
        <v>41156.734930555554</v>
      </c>
      <c r="C1347">
        <v>80</v>
      </c>
      <c r="D1347">
        <v>79.950561523000005</v>
      </c>
      <c r="E1347">
        <v>50</v>
      </c>
      <c r="F1347">
        <v>42.831047058000003</v>
      </c>
      <c r="G1347">
        <v>1379.9273682</v>
      </c>
      <c r="H1347">
        <v>1366.9572754000001</v>
      </c>
      <c r="I1347">
        <v>1282.5555420000001</v>
      </c>
      <c r="J1347">
        <v>1260.677124</v>
      </c>
      <c r="K1347">
        <v>2400</v>
      </c>
      <c r="L1347">
        <v>0</v>
      </c>
      <c r="M1347">
        <v>0</v>
      </c>
      <c r="N1347">
        <v>2400</v>
      </c>
    </row>
    <row r="1348" spans="1:14" x14ac:dyDescent="0.25">
      <c r="A1348">
        <v>859.61253399999998</v>
      </c>
      <c r="B1348" s="1">
        <f>DATE(2012,9,6) + TIME(14,42,2)</f>
        <v>41158.612523148149</v>
      </c>
      <c r="C1348">
        <v>80</v>
      </c>
      <c r="D1348">
        <v>79.950614928999997</v>
      </c>
      <c r="E1348">
        <v>50</v>
      </c>
      <c r="F1348">
        <v>42.778480530000003</v>
      </c>
      <c r="G1348">
        <v>1379.8668213000001</v>
      </c>
      <c r="H1348">
        <v>1366.9013672000001</v>
      </c>
      <c r="I1348">
        <v>1282.4459228999999</v>
      </c>
      <c r="J1348">
        <v>1260.4914550999999</v>
      </c>
      <c r="K1348">
        <v>2400</v>
      </c>
      <c r="L1348">
        <v>0</v>
      </c>
      <c r="M1348">
        <v>0</v>
      </c>
      <c r="N1348">
        <v>2400</v>
      </c>
    </row>
    <row r="1349" spans="1:14" x14ac:dyDescent="0.25">
      <c r="A1349">
        <v>861.50500599999998</v>
      </c>
      <c r="B1349" s="1">
        <f>DATE(2012,9,8) + TIME(12,7,12)</f>
        <v>41160.504999999997</v>
      </c>
      <c r="C1349">
        <v>80</v>
      </c>
      <c r="D1349">
        <v>79.950668335000003</v>
      </c>
      <c r="E1349">
        <v>50</v>
      </c>
      <c r="F1349">
        <v>42.730651854999998</v>
      </c>
      <c r="G1349">
        <v>1379.8061522999999</v>
      </c>
      <c r="H1349">
        <v>1366.8450928</v>
      </c>
      <c r="I1349">
        <v>1282.3374022999999</v>
      </c>
      <c r="J1349">
        <v>1260.3060303</v>
      </c>
      <c r="K1349">
        <v>2400</v>
      </c>
      <c r="L1349">
        <v>0</v>
      </c>
      <c r="M1349">
        <v>0</v>
      </c>
      <c r="N1349">
        <v>2400</v>
      </c>
    </row>
    <row r="1350" spans="1:14" x14ac:dyDescent="0.25">
      <c r="A1350">
        <v>863.41880300000003</v>
      </c>
      <c r="B1350" s="1">
        <f>DATE(2012,9,10) + TIME(10,3,4)</f>
        <v>41162.418796296297</v>
      </c>
      <c r="C1350">
        <v>80</v>
      </c>
      <c r="D1350">
        <v>79.950729370000005</v>
      </c>
      <c r="E1350">
        <v>50</v>
      </c>
      <c r="F1350">
        <v>42.688819885000001</v>
      </c>
      <c r="G1350">
        <v>1379.7453613</v>
      </c>
      <c r="H1350">
        <v>1366.7886963000001</v>
      </c>
      <c r="I1350">
        <v>1282.2301024999999</v>
      </c>
      <c r="J1350">
        <v>1260.121582</v>
      </c>
      <c r="K1350">
        <v>2400</v>
      </c>
      <c r="L1350">
        <v>0</v>
      </c>
      <c r="M1350">
        <v>0</v>
      </c>
      <c r="N1350">
        <v>2400</v>
      </c>
    </row>
    <row r="1351" spans="1:14" x14ac:dyDescent="0.25">
      <c r="A1351">
        <v>865.359511</v>
      </c>
      <c r="B1351" s="1">
        <f>DATE(2012,9,12) + TIME(8,37,41)</f>
        <v>41164.359502314815</v>
      </c>
      <c r="C1351">
        <v>80</v>
      </c>
      <c r="D1351">
        <v>79.950782775999997</v>
      </c>
      <c r="E1351">
        <v>50</v>
      </c>
      <c r="F1351">
        <v>42.653968810999999</v>
      </c>
      <c r="G1351">
        <v>1379.6842041</v>
      </c>
      <c r="H1351">
        <v>1366.7318115</v>
      </c>
      <c r="I1351">
        <v>1282.1241454999999</v>
      </c>
      <c r="J1351">
        <v>1259.9385986</v>
      </c>
      <c r="K1351">
        <v>2400</v>
      </c>
      <c r="L1351">
        <v>0</v>
      </c>
      <c r="M1351">
        <v>0</v>
      </c>
      <c r="N1351">
        <v>2400</v>
      </c>
    </row>
    <row r="1352" spans="1:14" x14ac:dyDescent="0.25">
      <c r="A1352">
        <v>867.33388100000002</v>
      </c>
      <c r="B1352" s="1">
        <f>DATE(2012,9,14) + TIME(8,0,47)</f>
        <v>41166.333877314813</v>
      </c>
      <c r="C1352">
        <v>80</v>
      </c>
      <c r="D1352">
        <v>79.950843810999999</v>
      </c>
      <c r="E1352">
        <v>50</v>
      </c>
      <c r="F1352">
        <v>42.627140044999997</v>
      </c>
      <c r="G1352">
        <v>1379.6228027</v>
      </c>
      <c r="H1352">
        <v>1366.6746826000001</v>
      </c>
      <c r="I1352">
        <v>1282.0194091999999</v>
      </c>
      <c r="J1352">
        <v>1259.7568358999999</v>
      </c>
      <c r="K1352">
        <v>2400</v>
      </c>
      <c r="L1352">
        <v>0</v>
      </c>
      <c r="M1352">
        <v>0</v>
      </c>
      <c r="N1352">
        <v>2400</v>
      </c>
    </row>
    <row r="1353" spans="1:14" x14ac:dyDescent="0.25">
      <c r="A1353">
        <v>869.34919500000001</v>
      </c>
      <c r="B1353" s="1">
        <f>DATE(2012,9,16) + TIME(8,22,50)</f>
        <v>41168.349189814813</v>
      </c>
      <c r="C1353">
        <v>80</v>
      </c>
      <c r="D1353">
        <v>79.950897217000005</v>
      </c>
      <c r="E1353">
        <v>50</v>
      </c>
      <c r="F1353">
        <v>42.609539032000001</v>
      </c>
      <c r="G1353">
        <v>1379.5607910000001</v>
      </c>
      <c r="H1353">
        <v>1366.6168213000001</v>
      </c>
      <c r="I1353">
        <v>1281.9158935999999</v>
      </c>
      <c r="J1353">
        <v>1259.5766602000001</v>
      </c>
      <c r="K1353">
        <v>2400</v>
      </c>
      <c r="L1353">
        <v>0</v>
      </c>
      <c r="M1353">
        <v>0</v>
      </c>
      <c r="N1353">
        <v>2400</v>
      </c>
    </row>
    <row r="1354" spans="1:14" x14ac:dyDescent="0.25">
      <c r="A1354">
        <v>871.41342799999995</v>
      </c>
      <c r="B1354" s="1">
        <f>DATE(2012,9,18) + TIME(9,55,20)</f>
        <v>41170.413425925923</v>
      </c>
      <c r="C1354">
        <v>80</v>
      </c>
      <c r="D1354">
        <v>79.950958252000007</v>
      </c>
      <c r="E1354">
        <v>50</v>
      </c>
      <c r="F1354">
        <v>42.602588654000002</v>
      </c>
      <c r="G1354">
        <v>1379.4980469</v>
      </c>
      <c r="H1354">
        <v>1366.5582274999999</v>
      </c>
      <c r="I1354">
        <v>1281.8137207</v>
      </c>
      <c r="J1354">
        <v>1259.3979492000001</v>
      </c>
      <c r="K1354">
        <v>2400</v>
      </c>
      <c r="L1354">
        <v>0</v>
      </c>
      <c r="M1354">
        <v>0</v>
      </c>
      <c r="N1354">
        <v>2400</v>
      </c>
    </row>
    <row r="1355" spans="1:14" x14ac:dyDescent="0.25">
      <c r="A1355">
        <v>873.52419199999997</v>
      </c>
      <c r="B1355" s="1">
        <f>DATE(2012,9,20) + TIME(12,34,50)</f>
        <v>41172.524189814816</v>
      </c>
      <c r="C1355">
        <v>80</v>
      </c>
      <c r="D1355">
        <v>79.951019286999994</v>
      </c>
      <c r="E1355">
        <v>50</v>
      </c>
      <c r="F1355">
        <v>42.608009338000002</v>
      </c>
      <c r="G1355">
        <v>1379.4343262</v>
      </c>
      <c r="H1355">
        <v>1366.4986572</v>
      </c>
      <c r="I1355">
        <v>1281.7127685999999</v>
      </c>
      <c r="J1355">
        <v>1259.2210693</v>
      </c>
      <c r="K1355">
        <v>2400</v>
      </c>
      <c r="L1355">
        <v>0</v>
      </c>
      <c r="M1355">
        <v>0</v>
      </c>
      <c r="N1355">
        <v>2400</v>
      </c>
    </row>
    <row r="1356" spans="1:14" x14ac:dyDescent="0.25">
      <c r="A1356">
        <v>875.68163400000003</v>
      </c>
      <c r="B1356" s="1">
        <f>DATE(2012,9,22) + TIME(16,21,33)</f>
        <v>41174.681631944448</v>
      </c>
      <c r="C1356">
        <v>80</v>
      </c>
      <c r="D1356">
        <v>79.951087951999995</v>
      </c>
      <c r="E1356">
        <v>50</v>
      </c>
      <c r="F1356">
        <v>42.627704620000003</v>
      </c>
      <c r="G1356">
        <v>1379.3698730000001</v>
      </c>
      <c r="H1356">
        <v>1366.4382324000001</v>
      </c>
      <c r="I1356">
        <v>1281.6136475000001</v>
      </c>
      <c r="J1356">
        <v>1259.046875</v>
      </c>
      <c r="K1356">
        <v>2400</v>
      </c>
      <c r="L1356">
        <v>0</v>
      </c>
      <c r="M1356">
        <v>0</v>
      </c>
      <c r="N1356">
        <v>2400</v>
      </c>
    </row>
    <row r="1357" spans="1:14" x14ac:dyDescent="0.25">
      <c r="A1357">
        <v>877.86539400000004</v>
      </c>
      <c r="B1357" s="1">
        <f>DATE(2012,9,24) + TIME(20,46,10)</f>
        <v>41176.865393518521</v>
      </c>
      <c r="C1357">
        <v>80</v>
      </c>
      <c r="D1357">
        <v>79.951148986999996</v>
      </c>
      <c r="E1357">
        <v>50</v>
      </c>
      <c r="F1357">
        <v>42.663593292000002</v>
      </c>
      <c r="G1357">
        <v>1379.3046875</v>
      </c>
      <c r="H1357">
        <v>1366.3771973</v>
      </c>
      <c r="I1357">
        <v>1281.5167236</v>
      </c>
      <c r="J1357">
        <v>1258.8765868999999</v>
      </c>
      <c r="K1357">
        <v>2400</v>
      </c>
      <c r="L1357">
        <v>0</v>
      </c>
      <c r="M1357">
        <v>0</v>
      </c>
      <c r="N1357">
        <v>2400</v>
      </c>
    </row>
    <row r="1358" spans="1:14" x14ac:dyDescent="0.25">
      <c r="A1358">
        <v>880.05109900000002</v>
      </c>
      <c r="B1358" s="1">
        <f>DATE(2012,9,27) + TIME(1,13,34)</f>
        <v>41179.051087962966</v>
      </c>
      <c r="C1358">
        <v>80</v>
      </c>
      <c r="D1358">
        <v>79.951210021999998</v>
      </c>
      <c r="E1358">
        <v>50</v>
      </c>
      <c r="F1358">
        <v>42.717174530000001</v>
      </c>
      <c r="G1358">
        <v>1379.2393798999999</v>
      </c>
      <c r="H1358">
        <v>1366.315918</v>
      </c>
      <c r="I1358">
        <v>1281.4233397999999</v>
      </c>
      <c r="J1358">
        <v>1258.7125243999999</v>
      </c>
      <c r="K1358">
        <v>2400</v>
      </c>
      <c r="L1358">
        <v>0</v>
      </c>
      <c r="M1358">
        <v>0</v>
      </c>
      <c r="N1358">
        <v>2400</v>
      </c>
    </row>
    <row r="1359" spans="1:14" x14ac:dyDescent="0.25">
      <c r="A1359">
        <v>882.24551599999995</v>
      </c>
      <c r="B1359" s="1">
        <f>DATE(2012,9,29) + TIME(5,53,32)</f>
        <v>41181.245509259257</v>
      </c>
      <c r="C1359">
        <v>80</v>
      </c>
      <c r="D1359">
        <v>79.951278686999999</v>
      </c>
      <c r="E1359">
        <v>50</v>
      </c>
      <c r="F1359">
        <v>42.789527892999999</v>
      </c>
      <c r="G1359">
        <v>1379.1744385</v>
      </c>
      <c r="H1359">
        <v>1366.2548827999999</v>
      </c>
      <c r="I1359">
        <v>1281.3343506000001</v>
      </c>
      <c r="J1359">
        <v>1258.5567627</v>
      </c>
      <c r="K1359">
        <v>2400</v>
      </c>
      <c r="L1359">
        <v>0</v>
      </c>
      <c r="M1359">
        <v>0</v>
      </c>
      <c r="N1359">
        <v>2400</v>
      </c>
    </row>
    <row r="1360" spans="1:14" x14ac:dyDescent="0.25">
      <c r="A1360">
        <v>884</v>
      </c>
      <c r="B1360" s="1">
        <f>DATE(2012,10,1) + TIME(0,0,0)</f>
        <v>41183</v>
      </c>
      <c r="C1360">
        <v>80</v>
      </c>
      <c r="D1360">
        <v>79.951316833000007</v>
      </c>
      <c r="E1360">
        <v>50</v>
      </c>
      <c r="F1360">
        <v>42.875911713000001</v>
      </c>
      <c r="G1360">
        <v>1379.114624</v>
      </c>
      <c r="H1360">
        <v>1366.1988524999999</v>
      </c>
      <c r="I1360">
        <v>1281.253418</v>
      </c>
      <c r="J1360">
        <v>1258.4141846</v>
      </c>
      <c r="K1360">
        <v>2400</v>
      </c>
      <c r="L1360">
        <v>0</v>
      </c>
      <c r="M1360">
        <v>0</v>
      </c>
      <c r="N1360">
        <v>2400</v>
      </c>
    </row>
    <row r="1361" spans="1:14" x14ac:dyDescent="0.25">
      <c r="A1361">
        <v>886.20973100000003</v>
      </c>
      <c r="B1361" s="1">
        <f>DATE(2012,10,3) + TIME(5,2,0)</f>
        <v>41185.209722222222</v>
      </c>
      <c r="C1361">
        <v>80</v>
      </c>
      <c r="D1361">
        <v>79.951393127000003</v>
      </c>
      <c r="E1361">
        <v>50</v>
      </c>
      <c r="F1361">
        <v>42.974170684999997</v>
      </c>
      <c r="G1361">
        <v>1379.0563964999999</v>
      </c>
      <c r="H1361">
        <v>1366.1435547000001</v>
      </c>
      <c r="I1361">
        <v>1281.1837158000001</v>
      </c>
      <c r="J1361">
        <v>1258.2960204999999</v>
      </c>
      <c r="K1361">
        <v>2400</v>
      </c>
      <c r="L1361">
        <v>0</v>
      </c>
      <c r="M1361">
        <v>0</v>
      </c>
      <c r="N1361">
        <v>2400</v>
      </c>
    </row>
    <row r="1362" spans="1:14" x14ac:dyDescent="0.25">
      <c r="A1362">
        <v>888.45935299999996</v>
      </c>
      <c r="B1362" s="1">
        <f>DATE(2012,10,5) + TIME(11,1,28)</f>
        <v>41187.459351851852</v>
      </c>
      <c r="C1362">
        <v>80</v>
      </c>
      <c r="D1362">
        <v>79.951461792000003</v>
      </c>
      <c r="E1362">
        <v>50</v>
      </c>
      <c r="F1362">
        <v>43.100811004999997</v>
      </c>
      <c r="G1362">
        <v>1378.9934082</v>
      </c>
      <c r="H1362">
        <v>1366.0842285000001</v>
      </c>
      <c r="I1362">
        <v>1281.1082764</v>
      </c>
      <c r="J1362">
        <v>1258.1667480000001</v>
      </c>
      <c r="K1362">
        <v>2400</v>
      </c>
      <c r="L1362">
        <v>0</v>
      </c>
      <c r="M1362">
        <v>0</v>
      </c>
      <c r="N1362">
        <v>2400</v>
      </c>
    </row>
    <row r="1363" spans="1:14" x14ac:dyDescent="0.25">
      <c r="A1363">
        <v>890.73074899999995</v>
      </c>
      <c r="B1363" s="1">
        <f>DATE(2012,10,7) + TIME(17,32,16)</f>
        <v>41189.730740740742</v>
      </c>
      <c r="C1363">
        <v>80</v>
      </c>
      <c r="D1363">
        <v>79.951530457000004</v>
      </c>
      <c r="E1363">
        <v>50</v>
      </c>
      <c r="F1363">
        <v>43.251796722000002</v>
      </c>
      <c r="G1363">
        <v>1378.9293213000001</v>
      </c>
      <c r="H1363">
        <v>1366.0238036999999</v>
      </c>
      <c r="I1363">
        <v>1281.0355225000001</v>
      </c>
      <c r="J1363">
        <v>1258.0439452999999</v>
      </c>
      <c r="K1363">
        <v>2400</v>
      </c>
      <c r="L1363">
        <v>0</v>
      </c>
      <c r="M1363">
        <v>0</v>
      </c>
      <c r="N1363">
        <v>2400</v>
      </c>
    </row>
    <row r="1364" spans="1:14" x14ac:dyDescent="0.25">
      <c r="A1364">
        <v>893.032015</v>
      </c>
      <c r="B1364" s="1">
        <f>DATE(2012,10,10) + TIME(0,46,6)</f>
        <v>41192.032013888886</v>
      </c>
      <c r="C1364">
        <v>80</v>
      </c>
      <c r="D1364">
        <v>79.951591492000006</v>
      </c>
      <c r="E1364">
        <v>50</v>
      </c>
      <c r="F1364">
        <v>43.425827026</v>
      </c>
      <c r="G1364">
        <v>1378.8648682</v>
      </c>
      <c r="H1364">
        <v>1365.9628906</v>
      </c>
      <c r="I1364">
        <v>1280.9661865</v>
      </c>
      <c r="J1364">
        <v>1257.9294434000001</v>
      </c>
      <c r="K1364">
        <v>2400</v>
      </c>
      <c r="L1364">
        <v>0</v>
      </c>
      <c r="M1364">
        <v>0</v>
      </c>
      <c r="N1364">
        <v>2400</v>
      </c>
    </row>
    <row r="1365" spans="1:14" x14ac:dyDescent="0.25">
      <c r="A1365">
        <v>895.37119800000005</v>
      </c>
      <c r="B1365" s="1">
        <f>DATE(2012,10,12) + TIME(8,54,31)</f>
        <v>41194.371192129627</v>
      </c>
      <c r="C1365">
        <v>80</v>
      </c>
      <c r="D1365">
        <v>79.951667786000002</v>
      </c>
      <c r="E1365">
        <v>50</v>
      </c>
      <c r="F1365">
        <v>43.622959137000002</v>
      </c>
      <c r="G1365">
        <v>1378.8000488</v>
      </c>
      <c r="H1365">
        <v>1365.9016113</v>
      </c>
      <c r="I1365">
        <v>1280.9005127</v>
      </c>
      <c r="J1365">
        <v>1257.8234863</v>
      </c>
      <c r="K1365">
        <v>2400</v>
      </c>
      <c r="L1365">
        <v>0</v>
      </c>
      <c r="M1365">
        <v>0</v>
      </c>
      <c r="N1365">
        <v>2400</v>
      </c>
    </row>
    <row r="1366" spans="1:14" x14ac:dyDescent="0.25">
      <c r="A1366">
        <v>897.75626899999997</v>
      </c>
      <c r="B1366" s="1">
        <f>DATE(2012,10,14) + TIME(18,9,1)</f>
        <v>41196.756261574075</v>
      </c>
      <c r="C1366">
        <v>80</v>
      </c>
      <c r="D1366">
        <v>79.951736449999999</v>
      </c>
      <c r="E1366">
        <v>50</v>
      </c>
      <c r="F1366">
        <v>43.843452454000001</v>
      </c>
      <c r="G1366">
        <v>1378.7349853999999</v>
      </c>
      <c r="H1366">
        <v>1365.8399658000001</v>
      </c>
      <c r="I1366">
        <v>1280.8380127</v>
      </c>
      <c r="J1366">
        <v>1257.7257079999999</v>
      </c>
      <c r="K1366">
        <v>2400</v>
      </c>
      <c r="L1366">
        <v>0</v>
      </c>
      <c r="M1366">
        <v>0</v>
      </c>
      <c r="N1366">
        <v>2400</v>
      </c>
    </row>
    <row r="1367" spans="1:14" x14ac:dyDescent="0.25">
      <c r="A1367">
        <v>900.19629599999996</v>
      </c>
      <c r="B1367" s="1">
        <f>DATE(2012,10,17) + TIME(4,42,39)</f>
        <v>41199.196284722224</v>
      </c>
      <c r="C1367">
        <v>80</v>
      </c>
      <c r="D1367">
        <v>79.951805114999999</v>
      </c>
      <c r="E1367">
        <v>50</v>
      </c>
      <c r="F1367">
        <v>44.087131499999998</v>
      </c>
      <c r="G1367">
        <v>1378.6693115</v>
      </c>
      <c r="H1367">
        <v>1365.7777100000001</v>
      </c>
      <c r="I1367">
        <v>1280.7785644999999</v>
      </c>
      <c r="J1367">
        <v>1257.6358643000001</v>
      </c>
      <c r="K1367">
        <v>2400</v>
      </c>
      <c r="L1367">
        <v>0</v>
      </c>
      <c r="M1367">
        <v>0</v>
      </c>
      <c r="N1367">
        <v>2400</v>
      </c>
    </row>
    <row r="1368" spans="1:14" x14ac:dyDescent="0.25">
      <c r="A1368">
        <v>901.44324500000005</v>
      </c>
      <c r="B1368" s="1">
        <f>DATE(2012,10,18) + TIME(10,38,16)</f>
        <v>41200.443240740744</v>
      </c>
      <c r="C1368">
        <v>80</v>
      </c>
      <c r="D1368">
        <v>79.951820373999993</v>
      </c>
      <c r="E1368">
        <v>50</v>
      </c>
      <c r="F1368">
        <v>44.304904938</v>
      </c>
      <c r="G1368">
        <v>1378.6181641000001</v>
      </c>
      <c r="H1368">
        <v>1365.7299805</v>
      </c>
      <c r="I1368">
        <v>1280.7362060999999</v>
      </c>
      <c r="J1368">
        <v>1257.5626221</v>
      </c>
      <c r="K1368">
        <v>2400</v>
      </c>
      <c r="L1368">
        <v>0</v>
      </c>
      <c r="M1368">
        <v>0</v>
      </c>
      <c r="N1368">
        <v>2400</v>
      </c>
    </row>
    <row r="1369" spans="1:14" x14ac:dyDescent="0.25">
      <c r="A1369">
        <v>902.69019300000002</v>
      </c>
      <c r="B1369" s="1">
        <f>DATE(2012,10,19) + TIME(16,33,52)</f>
        <v>41201.690185185187</v>
      </c>
      <c r="C1369">
        <v>80</v>
      </c>
      <c r="D1369">
        <v>79.951858521000005</v>
      </c>
      <c r="E1369">
        <v>50</v>
      </c>
      <c r="F1369">
        <v>44.477287292</v>
      </c>
      <c r="G1369">
        <v>1378.578125</v>
      </c>
      <c r="H1369">
        <v>1365.6916504000001</v>
      </c>
      <c r="I1369">
        <v>1280.7027588000001</v>
      </c>
      <c r="J1369">
        <v>1257.5225829999999</v>
      </c>
      <c r="K1369">
        <v>2400</v>
      </c>
      <c r="L1369">
        <v>0</v>
      </c>
      <c r="M1369">
        <v>0</v>
      </c>
      <c r="N1369">
        <v>2400</v>
      </c>
    </row>
    <row r="1370" spans="1:14" x14ac:dyDescent="0.25">
      <c r="A1370">
        <v>903.93714199999999</v>
      </c>
      <c r="B1370" s="1">
        <f>DATE(2012,10,20) + TIME(22,29,29)</f>
        <v>41202.937141203707</v>
      </c>
      <c r="C1370">
        <v>80</v>
      </c>
      <c r="D1370">
        <v>79.951896667</v>
      </c>
      <c r="E1370">
        <v>50</v>
      </c>
      <c r="F1370">
        <v>44.634803771999998</v>
      </c>
      <c r="G1370">
        <v>1378.5418701000001</v>
      </c>
      <c r="H1370">
        <v>1365.6571045000001</v>
      </c>
      <c r="I1370">
        <v>1280.6740723</v>
      </c>
      <c r="J1370">
        <v>1257.4859618999999</v>
      </c>
      <c r="K1370">
        <v>2400</v>
      </c>
      <c r="L1370">
        <v>0</v>
      </c>
      <c r="M1370">
        <v>0</v>
      </c>
      <c r="N1370">
        <v>2400</v>
      </c>
    </row>
    <row r="1371" spans="1:14" x14ac:dyDescent="0.25">
      <c r="A1371">
        <v>906.43104000000005</v>
      </c>
      <c r="B1371" s="1">
        <f>DATE(2012,10,23) + TIME(10,20,41)</f>
        <v>41205.431030092594</v>
      </c>
      <c r="C1371">
        <v>80</v>
      </c>
      <c r="D1371">
        <v>79.951995850000003</v>
      </c>
      <c r="E1371">
        <v>50</v>
      </c>
      <c r="F1371">
        <v>44.822628021</v>
      </c>
      <c r="G1371">
        <v>1378.4957274999999</v>
      </c>
      <c r="H1371">
        <v>1365.6126709</v>
      </c>
      <c r="I1371">
        <v>1280.6373291</v>
      </c>
      <c r="J1371">
        <v>1257.4456786999999</v>
      </c>
      <c r="K1371">
        <v>2400</v>
      </c>
      <c r="L1371">
        <v>0</v>
      </c>
      <c r="M1371">
        <v>0</v>
      </c>
      <c r="N1371">
        <v>2400</v>
      </c>
    </row>
    <row r="1372" spans="1:14" x14ac:dyDescent="0.25">
      <c r="A1372">
        <v>908.92706399999997</v>
      </c>
      <c r="B1372" s="1">
        <f>DATE(2012,10,25) + TIME(22,14,58)</f>
        <v>41207.927060185182</v>
      </c>
      <c r="C1372">
        <v>80</v>
      </c>
      <c r="D1372">
        <v>79.952064514</v>
      </c>
      <c r="E1372">
        <v>50</v>
      </c>
      <c r="F1372">
        <v>45.103351592999999</v>
      </c>
      <c r="G1372">
        <v>1378.4353027</v>
      </c>
      <c r="H1372">
        <v>1365.5555420000001</v>
      </c>
      <c r="I1372">
        <v>1280.5941161999999</v>
      </c>
      <c r="J1372">
        <v>1257.3845214999999</v>
      </c>
      <c r="K1372">
        <v>2400</v>
      </c>
      <c r="L1372">
        <v>0</v>
      </c>
      <c r="M1372">
        <v>0</v>
      </c>
      <c r="N1372">
        <v>2400</v>
      </c>
    </row>
    <row r="1373" spans="1:14" x14ac:dyDescent="0.25">
      <c r="A1373">
        <v>911.44514200000003</v>
      </c>
      <c r="B1373" s="1">
        <f>DATE(2012,10,28) + TIME(10,41,0)</f>
        <v>41210.445138888892</v>
      </c>
      <c r="C1373">
        <v>80</v>
      </c>
      <c r="D1373">
        <v>79.952140807999996</v>
      </c>
      <c r="E1373">
        <v>50</v>
      </c>
      <c r="F1373">
        <v>45.412059784</v>
      </c>
      <c r="G1373">
        <v>1378.3724365</v>
      </c>
      <c r="H1373">
        <v>1365.4957274999999</v>
      </c>
      <c r="I1373">
        <v>1280.5507812000001</v>
      </c>
      <c r="J1373">
        <v>1257.3309326000001</v>
      </c>
      <c r="K1373">
        <v>2400</v>
      </c>
      <c r="L1373">
        <v>0</v>
      </c>
      <c r="M1373">
        <v>0</v>
      </c>
      <c r="N1373">
        <v>2400</v>
      </c>
    </row>
    <row r="1374" spans="1:14" x14ac:dyDescent="0.25">
      <c r="A1374">
        <v>913.99510899999996</v>
      </c>
      <c r="B1374" s="1">
        <f>DATE(2012,10,30) + TIME(23,52,57)</f>
        <v>41212.995104166665</v>
      </c>
      <c r="C1374">
        <v>80</v>
      </c>
      <c r="D1374">
        <v>79.952209472999996</v>
      </c>
      <c r="E1374">
        <v>50</v>
      </c>
      <c r="F1374">
        <v>45.733333588000001</v>
      </c>
      <c r="G1374">
        <v>1378.3088379000001</v>
      </c>
      <c r="H1374">
        <v>1365.4353027</v>
      </c>
      <c r="I1374">
        <v>1280.5092772999999</v>
      </c>
      <c r="J1374">
        <v>1257.2835693</v>
      </c>
      <c r="K1374">
        <v>2400</v>
      </c>
      <c r="L1374">
        <v>0</v>
      </c>
      <c r="M1374">
        <v>0</v>
      </c>
      <c r="N1374">
        <v>2400</v>
      </c>
    </row>
    <row r="1375" spans="1:14" x14ac:dyDescent="0.25">
      <c r="A1375">
        <v>915</v>
      </c>
      <c r="B1375" s="1">
        <f>DATE(2012,11,1) + TIME(0,0,0)</f>
        <v>41214</v>
      </c>
      <c r="C1375">
        <v>80</v>
      </c>
      <c r="D1375">
        <v>79.952209472999996</v>
      </c>
      <c r="E1375">
        <v>50</v>
      </c>
      <c r="F1375">
        <v>45.980072020999998</v>
      </c>
      <c r="G1375">
        <v>1378.2651367000001</v>
      </c>
      <c r="H1375">
        <v>1365.3945312000001</v>
      </c>
      <c r="I1375">
        <v>1280.4893798999999</v>
      </c>
      <c r="J1375">
        <v>1257.2486572</v>
      </c>
      <c r="K1375">
        <v>2400</v>
      </c>
      <c r="L1375">
        <v>0</v>
      </c>
      <c r="M1375">
        <v>0</v>
      </c>
      <c r="N1375">
        <v>2400</v>
      </c>
    </row>
    <row r="1376" spans="1:14" x14ac:dyDescent="0.25">
      <c r="A1376">
        <v>915.000001</v>
      </c>
      <c r="B1376" s="1">
        <f>DATE(2012,11,1) + TIME(0,0,0)</f>
        <v>41214</v>
      </c>
      <c r="C1376">
        <v>80</v>
      </c>
      <c r="D1376">
        <v>79.952178954999994</v>
      </c>
      <c r="E1376">
        <v>50</v>
      </c>
      <c r="F1376">
        <v>45.980094909999998</v>
      </c>
      <c r="G1376">
        <v>1365.3845214999999</v>
      </c>
      <c r="H1376">
        <v>1352.9412841999999</v>
      </c>
      <c r="I1376">
        <v>1303.8422852000001</v>
      </c>
      <c r="J1376">
        <v>1280.5006103999999</v>
      </c>
      <c r="K1376">
        <v>0</v>
      </c>
      <c r="L1376">
        <v>2400</v>
      </c>
      <c r="M1376">
        <v>2400</v>
      </c>
      <c r="N1376">
        <v>0</v>
      </c>
    </row>
    <row r="1377" spans="1:14" x14ac:dyDescent="0.25">
      <c r="A1377">
        <v>915.00000399999999</v>
      </c>
      <c r="B1377" s="1">
        <f>DATE(2012,11,1) + TIME(0,0,0)</f>
        <v>41214</v>
      </c>
      <c r="C1377">
        <v>80</v>
      </c>
      <c r="D1377">
        <v>79.952087402000004</v>
      </c>
      <c r="E1377">
        <v>50</v>
      </c>
      <c r="F1377">
        <v>45.980159759999999</v>
      </c>
      <c r="G1377">
        <v>1365.3544922000001</v>
      </c>
      <c r="H1377">
        <v>1352.9112548999999</v>
      </c>
      <c r="I1377">
        <v>1303.8720702999999</v>
      </c>
      <c r="J1377">
        <v>1280.5340576000001</v>
      </c>
      <c r="K1377">
        <v>0</v>
      </c>
      <c r="L1377">
        <v>2400</v>
      </c>
      <c r="M1377">
        <v>2400</v>
      </c>
      <c r="N1377">
        <v>0</v>
      </c>
    </row>
    <row r="1378" spans="1:14" x14ac:dyDescent="0.25">
      <c r="A1378">
        <v>915.00001299999997</v>
      </c>
      <c r="B1378" s="1">
        <f>DATE(2012,11,1) + TIME(0,0,1)</f>
        <v>41214.000011574077</v>
      </c>
      <c r="C1378">
        <v>80</v>
      </c>
      <c r="D1378">
        <v>79.951797485</v>
      </c>
      <c r="E1378">
        <v>50</v>
      </c>
      <c r="F1378">
        <v>45.980358123999999</v>
      </c>
      <c r="G1378">
        <v>1365.2652588000001</v>
      </c>
      <c r="H1378">
        <v>1352.8218993999999</v>
      </c>
      <c r="I1378">
        <v>1303.9613036999999</v>
      </c>
      <c r="J1378">
        <v>1280.6339111</v>
      </c>
      <c r="K1378">
        <v>0</v>
      </c>
      <c r="L1378">
        <v>2400</v>
      </c>
      <c r="M1378">
        <v>2400</v>
      </c>
      <c r="N1378">
        <v>0</v>
      </c>
    </row>
    <row r="1379" spans="1:14" x14ac:dyDescent="0.25">
      <c r="A1379">
        <v>915.00004000000001</v>
      </c>
      <c r="B1379" s="1">
        <f>DATE(2012,11,1) + TIME(0,0,3)</f>
        <v>41214.000034722223</v>
      </c>
      <c r="C1379">
        <v>80</v>
      </c>
      <c r="D1379">
        <v>79.950958252000007</v>
      </c>
      <c r="E1379">
        <v>50</v>
      </c>
      <c r="F1379">
        <v>45.980941772000001</v>
      </c>
      <c r="G1379">
        <v>1365.0024414</v>
      </c>
      <c r="H1379">
        <v>1352.5588379000001</v>
      </c>
      <c r="I1379">
        <v>1304.2261963000001</v>
      </c>
      <c r="J1379">
        <v>1280.9301757999999</v>
      </c>
      <c r="K1379">
        <v>0</v>
      </c>
      <c r="L1379">
        <v>2400</v>
      </c>
      <c r="M1379">
        <v>2400</v>
      </c>
      <c r="N1379">
        <v>0</v>
      </c>
    </row>
    <row r="1380" spans="1:14" x14ac:dyDescent="0.25">
      <c r="A1380">
        <v>915.00012100000004</v>
      </c>
      <c r="B1380" s="1">
        <f>DATE(2012,11,1) + TIME(0,0,10)</f>
        <v>41214.000115740739</v>
      </c>
      <c r="C1380">
        <v>80</v>
      </c>
      <c r="D1380">
        <v>79.948562621999997</v>
      </c>
      <c r="E1380">
        <v>50</v>
      </c>
      <c r="F1380">
        <v>45.982654572000001</v>
      </c>
      <c r="G1380">
        <v>1364.2569579999999</v>
      </c>
      <c r="H1380">
        <v>1351.8125</v>
      </c>
      <c r="I1380">
        <v>1304.9962158000001</v>
      </c>
      <c r="J1380">
        <v>1281.7880858999999</v>
      </c>
      <c r="K1380">
        <v>0</v>
      </c>
      <c r="L1380">
        <v>2400</v>
      </c>
      <c r="M1380">
        <v>2400</v>
      </c>
      <c r="N1380">
        <v>0</v>
      </c>
    </row>
    <row r="1381" spans="1:14" x14ac:dyDescent="0.25">
      <c r="A1381">
        <v>915.00036399999999</v>
      </c>
      <c r="B1381" s="1">
        <f>DATE(2012,11,1) + TIME(0,0,31)</f>
        <v>41214.000358796293</v>
      </c>
      <c r="C1381">
        <v>80</v>
      </c>
      <c r="D1381">
        <v>79.942398071</v>
      </c>
      <c r="E1381">
        <v>50</v>
      </c>
      <c r="F1381">
        <v>45.987442016999999</v>
      </c>
      <c r="G1381">
        <v>1362.3348389</v>
      </c>
      <c r="H1381">
        <v>1349.8885498</v>
      </c>
      <c r="I1381">
        <v>1307.1109618999999</v>
      </c>
      <c r="J1381">
        <v>1284.1199951000001</v>
      </c>
      <c r="K1381">
        <v>0</v>
      </c>
      <c r="L1381">
        <v>2400</v>
      </c>
      <c r="M1381">
        <v>2400</v>
      </c>
      <c r="N1381">
        <v>0</v>
      </c>
    </row>
    <row r="1382" spans="1:14" x14ac:dyDescent="0.25">
      <c r="A1382">
        <v>915.00109299999997</v>
      </c>
      <c r="B1382" s="1">
        <f>DATE(2012,11,1) + TIME(0,1,34)</f>
        <v>41214.001087962963</v>
      </c>
      <c r="C1382">
        <v>80</v>
      </c>
      <c r="D1382">
        <v>79.929435729999994</v>
      </c>
      <c r="E1382">
        <v>50</v>
      </c>
      <c r="F1382">
        <v>45.999618529999999</v>
      </c>
      <c r="G1382">
        <v>1358.3012695</v>
      </c>
      <c r="H1382">
        <v>1345.8520507999999</v>
      </c>
      <c r="I1382">
        <v>1312.1689452999999</v>
      </c>
      <c r="J1382">
        <v>1289.5662841999999</v>
      </c>
      <c r="K1382">
        <v>0</v>
      </c>
      <c r="L1382">
        <v>2400</v>
      </c>
      <c r="M1382">
        <v>2400</v>
      </c>
      <c r="N1382">
        <v>0</v>
      </c>
    </row>
    <row r="1383" spans="1:14" x14ac:dyDescent="0.25">
      <c r="A1383">
        <v>915.00328000000002</v>
      </c>
      <c r="B1383" s="1">
        <f>DATE(2012,11,1) + TIME(0,4,43)</f>
        <v>41214.003275462965</v>
      </c>
      <c r="C1383">
        <v>80</v>
      </c>
      <c r="D1383">
        <v>79.909378051999994</v>
      </c>
      <c r="E1383">
        <v>50</v>
      </c>
      <c r="F1383">
        <v>46.025100707999997</v>
      </c>
      <c r="G1383">
        <v>1352.1171875</v>
      </c>
      <c r="H1383">
        <v>1339.6660156</v>
      </c>
      <c r="I1383">
        <v>1321.4798584</v>
      </c>
      <c r="J1383">
        <v>1299.1879882999999</v>
      </c>
      <c r="K1383">
        <v>0</v>
      </c>
      <c r="L1383">
        <v>2400</v>
      </c>
      <c r="M1383">
        <v>2400</v>
      </c>
      <c r="N1383">
        <v>0</v>
      </c>
    </row>
    <row r="1384" spans="1:14" x14ac:dyDescent="0.25">
      <c r="A1384">
        <v>915.00984100000005</v>
      </c>
      <c r="B1384" s="1">
        <f>DATE(2012,11,1) + TIME(0,14,10)</f>
        <v>41214.009837962964</v>
      </c>
      <c r="C1384">
        <v>80</v>
      </c>
      <c r="D1384">
        <v>79.885597228999998</v>
      </c>
      <c r="E1384">
        <v>50</v>
      </c>
      <c r="F1384">
        <v>46.077713013</v>
      </c>
      <c r="G1384">
        <v>1344.9986572</v>
      </c>
      <c r="H1384">
        <v>1332.546875</v>
      </c>
      <c r="I1384">
        <v>1333.9083252</v>
      </c>
      <c r="J1384">
        <v>1311.6351318</v>
      </c>
      <c r="K1384">
        <v>0</v>
      </c>
      <c r="L1384">
        <v>2400</v>
      </c>
      <c r="M1384">
        <v>2400</v>
      </c>
      <c r="N1384">
        <v>0</v>
      </c>
    </row>
    <row r="1385" spans="1:14" x14ac:dyDescent="0.25">
      <c r="A1385">
        <v>915.02952400000004</v>
      </c>
      <c r="B1385" s="1">
        <f>DATE(2012,11,1) + TIME(0,42,30)</f>
        <v>41214.029513888891</v>
      </c>
      <c r="C1385">
        <v>80</v>
      </c>
      <c r="D1385">
        <v>79.859420775999993</v>
      </c>
      <c r="E1385">
        <v>50</v>
      </c>
      <c r="F1385">
        <v>46.198284149000003</v>
      </c>
      <c r="G1385">
        <v>1337.7576904</v>
      </c>
      <c r="H1385">
        <v>1325.3017577999999</v>
      </c>
      <c r="I1385">
        <v>1347.2054443</v>
      </c>
      <c r="J1385">
        <v>1324.8547363</v>
      </c>
      <c r="K1385">
        <v>0</v>
      </c>
      <c r="L1385">
        <v>2400</v>
      </c>
      <c r="M1385">
        <v>2400</v>
      </c>
      <c r="N1385">
        <v>0</v>
      </c>
    </row>
    <row r="1386" spans="1:14" x14ac:dyDescent="0.25">
      <c r="A1386">
        <v>915.07644500000004</v>
      </c>
      <c r="B1386" s="1">
        <f>DATE(2012,11,1) + TIME(1,50,4)</f>
        <v>41214.076435185183</v>
      </c>
      <c r="C1386">
        <v>80</v>
      </c>
      <c r="D1386">
        <v>79.831672667999996</v>
      </c>
      <c r="E1386">
        <v>50</v>
      </c>
      <c r="F1386">
        <v>46.442501067999999</v>
      </c>
      <c r="G1386">
        <v>1331.2827147999999</v>
      </c>
      <c r="H1386">
        <v>1318.8029785000001</v>
      </c>
      <c r="I1386">
        <v>1358.9644774999999</v>
      </c>
      <c r="J1386">
        <v>1336.5963135</v>
      </c>
      <c r="K1386">
        <v>0</v>
      </c>
      <c r="L1386">
        <v>2400</v>
      </c>
      <c r="M1386">
        <v>2400</v>
      </c>
      <c r="N1386">
        <v>0</v>
      </c>
    </row>
    <row r="1387" spans="1:14" x14ac:dyDescent="0.25">
      <c r="A1387">
        <v>915.12657400000001</v>
      </c>
      <c r="B1387" s="1">
        <f>DATE(2012,11,1) + TIME(3,2,15)</f>
        <v>41214.126562500001</v>
      </c>
      <c r="C1387">
        <v>80</v>
      </c>
      <c r="D1387">
        <v>79.811485290999997</v>
      </c>
      <c r="E1387">
        <v>50</v>
      </c>
      <c r="F1387">
        <v>46.679027556999998</v>
      </c>
      <c r="G1387">
        <v>1327.4552002</v>
      </c>
      <c r="H1387">
        <v>1314.9483643000001</v>
      </c>
      <c r="I1387">
        <v>1365.7010498</v>
      </c>
      <c r="J1387">
        <v>1343.362793</v>
      </c>
      <c r="K1387">
        <v>0</v>
      </c>
      <c r="L1387">
        <v>2400</v>
      </c>
      <c r="M1387">
        <v>2400</v>
      </c>
      <c r="N1387">
        <v>0</v>
      </c>
    </row>
    <row r="1388" spans="1:14" x14ac:dyDescent="0.25">
      <c r="A1388">
        <v>915.17941699999994</v>
      </c>
      <c r="B1388" s="1">
        <f>DATE(2012,11,1) + TIME(4,18,21)</f>
        <v>41214.179409722223</v>
      </c>
      <c r="C1388">
        <v>80</v>
      </c>
      <c r="D1388">
        <v>79.794242858999993</v>
      </c>
      <c r="E1388">
        <v>50</v>
      </c>
      <c r="F1388">
        <v>46.908180237000003</v>
      </c>
      <c r="G1388">
        <v>1324.7315673999999</v>
      </c>
      <c r="H1388">
        <v>1312.2012939000001</v>
      </c>
      <c r="I1388">
        <v>1370.3031006000001</v>
      </c>
      <c r="J1388">
        <v>1348.0255127</v>
      </c>
      <c r="K1388">
        <v>0</v>
      </c>
      <c r="L1388">
        <v>2400</v>
      </c>
      <c r="M1388">
        <v>2400</v>
      </c>
      <c r="N1388">
        <v>0</v>
      </c>
    </row>
    <row r="1389" spans="1:14" x14ac:dyDescent="0.25">
      <c r="A1389">
        <v>915.23490000000004</v>
      </c>
      <c r="B1389" s="1">
        <f>DATE(2012,11,1) + TIME(5,38,15)</f>
        <v>41214.234895833331</v>
      </c>
      <c r="C1389">
        <v>80</v>
      </c>
      <c r="D1389">
        <v>79.778388977000006</v>
      </c>
      <c r="E1389">
        <v>50</v>
      </c>
      <c r="F1389">
        <v>47.129814148000001</v>
      </c>
      <c r="G1389">
        <v>1322.5894774999999</v>
      </c>
      <c r="H1389">
        <v>1310.0405272999999</v>
      </c>
      <c r="I1389">
        <v>1373.7733154</v>
      </c>
      <c r="J1389">
        <v>1351.5749512</v>
      </c>
      <c r="K1389">
        <v>0</v>
      </c>
      <c r="L1389">
        <v>2400</v>
      </c>
      <c r="M1389">
        <v>2400</v>
      </c>
      <c r="N1389">
        <v>0</v>
      </c>
    </row>
    <row r="1390" spans="1:14" x14ac:dyDescent="0.25">
      <c r="A1390">
        <v>915.29312500000003</v>
      </c>
      <c r="B1390" s="1">
        <f>DATE(2012,11,1) + TIME(7,2,5)</f>
        <v>41214.293113425927</v>
      </c>
      <c r="C1390">
        <v>80</v>
      </c>
      <c r="D1390">
        <v>79.763244628999999</v>
      </c>
      <c r="E1390">
        <v>50</v>
      </c>
      <c r="F1390">
        <v>47.343822479000004</v>
      </c>
      <c r="G1390">
        <v>1320.8066406</v>
      </c>
      <c r="H1390">
        <v>1308.2430420000001</v>
      </c>
      <c r="I1390">
        <v>1376.5493164</v>
      </c>
      <c r="J1390">
        <v>1354.4416504000001</v>
      </c>
      <c r="K1390">
        <v>0</v>
      </c>
      <c r="L1390">
        <v>2400</v>
      </c>
      <c r="M1390">
        <v>2400</v>
      </c>
      <c r="N1390">
        <v>0</v>
      </c>
    </row>
    <row r="1391" spans="1:14" x14ac:dyDescent="0.25">
      <c r="A1391">
        <v>915.35429599999998</v>
      </c>
      <c r="B1391" s="1">
        <f>DATE(2012,11,1) + TIME(8,30,11)</f>
        <v>41214.35429398148</v>
      </c>
      <c r="C1391">
        <v>80</v>
      </c>
      <c r="D1391">
        <v>79.748458862000007</v>
      </c>
      <c r="E1391">
        <v>50</v>
      </c>
      <c r="F1391">
        <v>47.550170897999998</v>
      </c>
      <c r="G1391">
        <v>1319.2702637</v>
      </c>
      <c r="H1391">
        <v>1306.6953125</v>
      </c>
      <c r="I1391">
        <v>1378.8568115</v>
      </c>
      <c r="J1391">
        <v>1356.8463135</v>
      </c>
      <c r="K1391">
        <v>0</v>
      </c>
      <c r="L1391">
        <v>2400</v>
      </c>
      <c r="M1391">
        <v>2400</v>
      </c>
      <c r="N1391">
        <v>0</v>
      </c>
    </row>
    <row r="1392" spans="1:14" x14ac:dyDescent="0.25">
      <c r="A1392">
        <v>915.41868299999999</v>
      </c>
      <c r="B1392" s="1">
        <f>DATE(2012,11,1) + TIME(10,2,54)</f>
        <v>41214.418680555558</v>
      </c>
      <c r="C1392">
        <v>80</v>
      </c>
      <c r="D1392">
        <v>79.733787536999998</v>
      </c>
      <c r="E1392">
        <v>50</v>
      </c>
      <c r="F1392">
        <v>47.748855591000002</v>
      </c>
      <c r="G1392">
        <v>1317.9154053</v>
      </c>
      <c r="H1392">
        <v>1305.331543</v>
      </c>
      <c r="I1392">
        <v>1380.8258057</v>
      </c>
      <c r="J1392">
        <v>1358.9162598</v>
      </c>
      <c r="K1392">
        <v>0</v>
      </c>
      <c r="L1392">
        <v>2400</v>
      </c>
      <c r="M1392">
        <v>2400</v>
      </c>
      <c r="N1392">
        <v>0</v>
      </c>
    </row>
    <row r="1393" spans="1:14" x14ac:dyDescent="0.25">
      <c r="A1393">
        <v>915.486625</v>
      </c>
      <c r="B1393" s="1">
        <f>DATE(2012,11,1) + TIME(11,40,44)</f>
        <v>41214.486620370371</v>
      </c>
      <c r="C1393">
        <v>80</v>
      </c>
      <c r="D1393">
        <v>79.719070435000006</v>
      </c>
      <c r="E1393">
        <v>50</v>
      </c>
      <c r="F1393">
        <v>47.939884186</v>
      </c>
      <c r="G1393">
        <v>1316.7009277</v>
      </c>
      <c r="H1393">
        <v>1304.1097411999999</v>
      </c>
      <c r="I1393">
        <v>1382.5389404</v>
      </c>
      <c r="J1393">
        <v>1360.7320557</v>
      </c>
      <c r="K1393">
        <v>0</v>
      </c>
      <c r="L1393">
        <v>2400</v>
      </c>
      <c r="M1393">
        <v>2400</v>
      </c>
      <c r="N1393">
        <v>0</v>
      </c>
    </row>
    <row r="1394" spans="1:14" x14ac:dyDescent="0.25">
      <c r="A1394">
        <v>915.558536</v>
      </c>
      <c r="B1394" s="1">
        <f>DATE(2012,11,1) + TIME(13,24,17)</f>
        <v>41214.558530092596</v>
      </c>
      <c r="C1394">
        <v>80</v>
      </c>
      <c r="D1394">
        <v>79.704185486</v>
      </c>
      <c r="E1394">
        <v>50</v>
      </c>
      <c r="F1394">
        <v>48.123260498</v>
      </c>
      <c r="G1394">
        <v>1315.5977783000001</v>
      </c>
      <c r="H1394">
        <v>1303.0008545000001</v>
      </c>
      <c r="I1394">
        <v>1384.0520019999999</v>
      </c>
      <c r="J1394">
        <v>1362.3479004000001</v>
      </c>
      <c r="K1394">
        <v>0</v>
      </c>
      <c r="L1394">
        <v>2400</v>
      </c>
      <c r="M1394">
        <v>2400</v>
      </c>
      <c r="N1394">
        <v>0</v>
      </c>
    </row>
    <row r="1395" spans="1:14" x14ac:dyDescent="0.25">
      <c r="A1395">
        <v>915.63492099999996</v>
      </c>
      <c r="B1395" s="1">
        <f>DATE(2012,11,1) + TIME(15,14,17)</f>
        <v>41214.634918981479</v>
      </c>
      <c r="C1395">
        <v>80</v>
      </c>
      <c r="D1395">
        <v>79.688987732000001</v>
      </c>
      <c r="E1395">
        <v>50</v>
      </c>
      <c r="F1395">
        <v>48.299003601000003</v>
      </c>
      <c r="G1395">
        <v>1314.5852050999999</v>
      </c>
      <c r="H1395">
        <v>1301.9833983999999</v>
      </c>
      <c r="I1395">
        <v>1385.4045410000001</v>
      </c>
      <c r="J1395">
        <v>1363.8027344</v>
      </c>
      <c r="K1395">
        <v>0</v>
      </c>
      <c r="L1395">
        <v>2400</v>
      </c>
      <c r="M1395">
        <v>2400</v>
      </c>
      <c r="N1395">
        <v>0</v>
      </c>
    </row>
    <row r="1396" spans="1:14" x14ac:dyDescent="0.25">
      <c r="A1396">
        <v>915.71639500000003</v>
      </c>
      <c r="B1396" s="1">
        <f>DATE(2012,11,1) + TIME(17,11,36)</f>
        <v>41214.71638888889</v>
      </c>
      <c r="C1396">
        <v>80</v>
      </c>
      <c r="D1396">
        <v>79.673370360999996</v>
      </c>
      <c r="E1396">
        <v>50</v>
      </c>
      <c r="F1396">
        <v>48.467117309999999</v>
      </c>
      <c r="G1396">
        <v>1313.6469727000001</v>
      </c>
      <c r="H1396">
        <v>1301.0413818</v>
      </c>
      <c r="I1396">
        <v>1386.6260986</v>
      </c>
      <c r="J1396">
        <v>1365.1254882999999</v>
      </c>
      <c r="K1396">
        <v>0</v>
      </c>
      <c r="L1396">
        <v>2400</v>
      </c>
      <c r="M1396">
        <v>2400</v>
      </c>
      <c r="N1396">
        <v>0</v>
      </c>
    </row>
    <row r="1397" spans="1:14" x14ac:dyDescent="0.25">
      <c r="A1397">
        <v>915.80371300000002</v>
      </c>
      <c r="B1397" s="1">
        <f>DATE(2012,11,1) + TIME(19,17,20)</f>
        <v>41214.803703703707</v>
      </c>
      <c r="C1397">
        <v>80</v>
      </c>
      <c r="D1397">
        <v>79.657196045000006</v>
      </c>
      <c r="E1397">
        <v>50</v>
      </c>
      <c r="F1397">
        <v>48.627609253000003</v>
      </c>
      <c r="G1397">
        <v>1312.7706298999999</v>
      </c>
      <c r="H1397">
        <v>1300.1616211</v>
      </c>
      <c r="I1397">
        <v>1387.7393798999999</v>
      </c>
      <c r="J1397">
        <v>1366.3382568</v>
      </c>
      <c r="K1397">
        <v>0</v>
      </c>
      <c r="L1397">
        <v>2400</v>
      </c>
      <c r="M1397">
        <v>2400</v>
      </c>
      <c r="N1397">
        <v>0</v>
      </c>
    </row>
    <row r="1398" spans="1:14" x14ac:dyDescent="0.25">
      <c r="A1398">
        <v>915.89781300000004</v>
      </c>
      <c r="B1398" s="1">
        <f>DATE(2012,11,1) + TIME(21,32,51)</f>
        <v>41214.897812499999</v>
      </c>
      <c r="C1398">
        <v>80</v>
      </c>
      <c r="D1398">
        <v>79.640327454000001</v>
      </c>
      <c r="E1398">
        <v>50</v>
      </c>
      <c r="F1398">
        <v>48.780448913999997</v>
      </c>
      <c r="G1398">
        <v>1311.9456786999999</v>
      </c>
      <c r="H1398">
        <v>1299.3337402</v>
      </c>
      <c r="I1398">
        <v>1388.7620850000001</v>
      </c>
      <c r="J1398">
        <v>1367.4586182</v>
      </c>
      <c r="K1398">
        <v>0</v>
      </c>
      <c r="L1398">
        <v>2400</v>
      </c>
      <c r="M1398">
        <v>2400</v>
      </c>
      <c r="N1398">
        <v>0</v>
      </c>
    </row>
    <row r="1399" spans="1:14" x14ac:dyDescent="0.25">
      <c r="A1399">
        <v>915.99987599999997</v>
      </c>
      <c r="B1399" s="1">
        <f>DATE(2012,11,1) + TIME(23,59,49)</f>
        <v>41214.999872685185</v>
      </c>
      <c r="C1399">
        <v>80</v>
      </c>
      <c r="D1399">
        <v>79.622589110999996</v>
      </c>
      <c r="E1399">
        <v>50</v>
      </c>
      <c r="F1399">
        <v>48.925594330000003</v>
      </c>
      <c r="G1399">
        <v>1311.1632079999999</v>
      </c>
      <c r="H1399">
        <v>1298.5489502</v>
      </c>
      <c r="I1399">
        <v>1389.7086182</v>
      </c>
      <c r="J1399">
        <v>1368.5007324000001</v>
      </c>
      <c r="K1399">
        <v>0</v>
      </c>
      <c r="L1399">
        <v>2400</v>
      </c>
      <c r="M1399">
        <v>2400</v>
      </c>
      <c r="N1399">
        <v>0</v>
      </c>
    </row>
    <row r="1400" spans="1:14" x14ac:dyDescent="0.25">
      <c r="A1400">
        <v>916.11138800000003</v>
      </c>
      <c r="B1400" s="1">
        <f>DATE(2012,11,2) + TIME(2,40,23)</f>
        <v>41215.111377314817</v>
      </c>
      <c r="C1400">
        <v>80</v>
      </c>
      <c r="D1400">
        <v>79.603797912999994</v>
      </c>
      <c r="E1400">
        <v>50</v>
      </c>
      <c r="F1400">
        <v>49.062938690000003</v>
      </c>
      <c r="G1400">
        <v>1310.4161377</v>
      </c>
      <c r="H1400">
        <v>1297.7995605000001</v>
      </c>
      <c r="I1400">
        <v>1390.5906981999999</v>
      </c>
      <c r="J1400">
        <v>1369.4761963000001</v>
      </c>
      <c r="K1400">
        <v>0</v>
      </c>
      <c r="L1400">
        <v>2400</v>
      </c>
      <c r="M1400">
        <v>2400</v>
      </c>
      <c r="N1400">
        <v>0</v>
      </c>
    </row>
    <row r="1401" spans="1:14" x14ac:dyDescent="0.25">
      <c r="A1401">
        <v>916.234328</v>
      </c>
      <c r="B1401" s="1">
        <f>DATE(2012,11,2) + TIME(5,37,25)</f>
        <v>41215.234317129631</v>
      </c>
      <c r="C1401">
        <v>80</v>
      </c>
      <c r="D1401">
        <v>79.583694457999997</v>
      </c>
      <c r="E1401">
        <v>50</v>
      </c>
      <c r="F1401">
        <v>49.192382811999998</v>
      </c>
      <c r="G1401">
        <v>1309.6976318</v>
      </c>
      <c r="H1401">
        <v>1297.0791016000001</v>
      </c>
      <c r="I1401">
        <v>1391.4183350000001</v>
      </c>
      <c r="J1401">
        <v>1370.3948975000001</v>
      </c>
      <c r="K1401">
        <v>0</v>
      </c>
      <c r="L1401">
        <v>2400</v>
      </c>
      <c r="M1401">
        <v>2400</v>
      </c>
      <c r="N1401">
        <v>0</v>
      </c>
    </row>
    <row r="1402" spans="1:14" x14ac:dyDescent="0.25">
      <c r="A1402">
        <v>916.37132599999995</v>
      </c>
      <c r="B1402" s="1">
        <f>DATE(2012,11,2) + TIME(8,54,42)</f>
        <v>41215.371319444443</v>
      </c>
      <c r="C1402">
        <v>80</v>
      </c>
      <c r="D1402">
        <v>79.561981200999995</v>
      </c>
      <c r="E1402">
        <v>50</v>
      </c>
      <c r="F1402">
        <v>49.313766479000002</v>
      </c>
      <c r="G1402">
        <v>1309.0015868999999</v>
      </c>
      <c r="H1402">
        <v>1296.3813477000001</v>
      </c>
      <c r="I1402">
        <v>1392.2000731999999</v>
      </c>
      <c r="J1402">
        <v>1371.2655029</v>
      </c>
      <c r="K1402">
        <v>0</v>
      </c>
      <c r="L1402">
        <v>2400</v>
      </c>
      <c r="M1402">
        <v>2400</v>
      </c>
      <c r="N1402">
        <v>0</v>
      </c>
    </row>
    <row r="1403" spans="1:14" x14ac:dyDescent="0.25">
      <c r="A1403">
        <v>916.525983</v>
      </c>
      <c r="B1403" s="1">
        <f>DATE(2012,11,2) + TIME(12,37,24)</f>
        <v>41215.525972222225</v>
      </c>
      <c r="C1403">
        <v>80</v>
      </c>
      <c r="D1403">
        <v>79.538238524999997</v>
      </c>
      <c r="E1403">
        <v>50</v>
      </c>
      <c r="F1403">
        <v>49.426845551</v>
      </c>
      <c r="G1403">
        <v>1308.3226318</v>
      </c>
      <c r="H1403">
        <v>1295.7006836</v>
      </c>
      <c r="I1403">
        <v>1392.9429932</v>
      </c>
      <c r="J1403">
        <v>1372.0950928</v>
      </c>
      <c r="K1403">
        <v>0</v>
      </c>
      <c r="L1403">
        <v>2400</v>
      </c>
      <c r="M1403">
        <v>2400</v>
      </c>
      <c r="N1403">
        <v>0</v>
      </c>
    </row>
    <row r="1404" spans="1:14" x14ac:dyDescent="0.25">
      <c r="A1404">
        <v>916.70340399999998</v>
      </c>
      <c r="B1404" s="1">
        <f>DATE(2012,11,2) + TIME(16,52,54)</f>
        <v>41215.703402777777</v>
      </c>
      <c r="C1404">
        <v>80</v>
      </c>
      <c r="D1404">
        <v>79.511909485000004</v>
      </c>
      <c r="E1404">
        <v>50</v>
      </c>
      <c r="F1404">
        <v>49.531299591</v>
      </c>
      <c r="G1404">
        <v>1307.6555175999999</v>
      </c>
      <c r="H1404">
        <v>1295.0319824000001</v>
      </c>
      <c r="I1404">
        <v>1393.6530762</v>
      </c>
      <c r="J1404">
        <v>1372.8896483999999</v>
      </c>
      <c r="K1404">
        <v>0</v>
      </c>
      <c r="L1404">
        <v>2400</v>
      </c>
      <c r="M1404">
        <v>2400</v>
      </c>
      <c r="N1404">
        <v>0</v>
      </c>
    </row>
    <row r="1405" spans="1:14" x14ac:dyDescent="0.25">
      <c r="A1405">
        <v>916.80480599999999</v>
      </c>
      <c r="B1405" s="1">
        <f>DATE(2012,11,2) + TIME(19,18,55)</f>
        <v>41215.804803240739</v>
      </c>
      <c r="C1405">
        <v>80</v>
      </c>
      <c r="D1405">
        <v>79.495582580999994</v>
      </c>
      <c r="E1405">
        <v>50</v>
      </c>
      <c r="F1405">
        <v>49.583740233999997</v>
      </c>
      <c r="G1405">
        <v>1307.3043213000001</v>
      </c>
      <c r="H1405">
        <v>1294.6800536999999</v>
      </c>
      <c r="I1405">
        <v>1394.0039062000001</v>
      </c>
      <c r="J1405">
        <v>1373.2872314000001</v>
      </c>
      <c r="K1405">
        <v>0</v>
      </c>
      <c r="L1405">
        <v>2400</v>
      </c>
      <c r="M1405">
        <v>2400</v>
      </c>
      <c r="N1405">
        <v>0</v>
      </c>
    </row>
    <row r="1406" spans="1:14" x14ac:dyDescent="0.25">
      <c r="A1406">
        <v>917.00761</v>
      </c>
      <c r="B1406" s="1">
        <f>DATE(2012,11,3) + TIME(0,10,57)</f>
        <v>41216.007604166669</v>
      </c>
      <c r="C1406">
        <v>80</v>
      </c>
      <c r="D1406">
        <v>79.466812133999994</v>
      </c>
      <c r="E1406">
        <v>50</v>
      </c>
      <c r="F1406">
        <v>49.666065216</v>
      </c>
      <c r="G1406">
        <v>1306.7098389</v>
      </c>
      <c r="H1406">
        <v>1294.0838623</v>
      </c>
      <c r="I1406">
        <v>1394.6203613</v>
      </c>
      <c r="J1406">
        <v>1373.9752197</v>
      </c>
      <c r="K1406">
        <v>0</v>
      </c>
      <c r="L1406">
        <v>2400</v>
      </c>
      <c r="M1406">
        <v>2400</v>
      </c>
      <c r="N1406">
        <v>0</v>
      </c>
    </row>
    <row r="1407" spans="1:14" x14ac:dyDescent="0.25">
      <c r="A1407">
        <v>917.21102099999996</v>
      </c>
      <c r="B1407" s="1">
        <f>DATE(2012,11,3) + TIME(5,3,52)</f>
        <v>41216.211018518516</v>
      </c>
      <c r="C1407">
        <v>80</v>
      </c>
      <c r="D1407">
        <v>79.437942504999995</v>
      </c>
      <c r="E1407">
        <v>50</v>
      </c>
      <c r="F1407">
        <v>49.730831146</v>
      </c>
      <c r="G1407">
        <v>1306.1959228999999</v>
      </c>
      <c r="H1407">
        <v>1293.5687256000001</v>
      </c>
      <c r="I1407">
        <v>1395.1223144999999</v>
      </c>
      <c r="J1407">
        <v>1374.5407714999999</v>
      </c>
      <c r="K1407">
        <v>0</v>
      </c>
      <c r="L1407">
        <v>2400</v>
      </c>
      <c r="M1407">
        <v>2400</v>
      </c>
      <c r="N1407">
        <v>0</v>
      </c>
    </row>
    <row r="1408" spans="1:14" x14ac:dyDescent="0.25">
      <c r="A1408">
        <v>917.41918099999998</v>
      </c>
      <c r="B1408" s="1">
        <f>DATE(2012,11,3) + TIME(10,3,37)</f>
        <v>41216.419178240743</v>
      </c>
      <c r="C1408">
        <v>80</v>
      </c>
      <c r="D1408">
        <v>79.408576964999995</v>
      </c>
      <c r="E1408">
        <v>50</v>
      </c>
      <c r="F1408">
        <v>49.782604218000003</v>
      </c>
      <c r="G1408">
        <v>1305.7425536999999</v>
      </c>
      <c r="H1408">
        <v>1293.1140137</v>
      </c>
      <c r="I1408">
        <v>1395.5491943</v>
      </c>
      <c r="J1408">
        <v>1375.0236815999999</v>
      </c>
      <c r="K1408">
        <v>0</v>
      </c>
      <c r="L1408">
        <v>2400</v>
      </c>
      <c r="M1408">
        <v>2400</v>
      </c>
      <c r="N1408">
        <v>0</v>
      </c>
    </row>
    <row r="1409" spans="1:14" x14ac:dyDescent="0.25">
      <c r="A1409">
        <v>917.63371400000005</v>
      </c>
      <c r="B1409" s="1">
        <f>DATE(2012,11,3) + TIME(15,12,32)</f>
        <v>41216.633703703701</v>
      </c>
      <c r="C1409">
        <v>80</v>
      </c>
      <c r="D1409">
        <v>79.378585814999994</v>
      </c>
      <c r="E1409">
        <v>50</v>
      </c>
      <c r="F1409">
        <v>49.824043273999997</v>
      </c>
      <c r="G1409">
        <v>1305.3393555</v>
      </c>
      <c r="H1409">
        <v>1292.7095947</v>
      </c>
      <c r="I1409">
        <v>1395.9150391000001</v>
      </c>
      <c r="J1409">
        <v>1375.4389647999999</v>
      </c>
      <c r="K1409">
        <v>0</v>
      </c>
      <c r="L1409">
        <v>2400</v>
      </c>
      <c r="M1409">
        <v>2400</v>
      </c>
      <c r="N1409">
        <v>0</v>
      </c>
    </row>
    <row r="1410" spans="1:14" x14ac:dyDescent="0.25">
      <c r="A1410">
        <v>917.85650099999998</v>
      </c>
      <c r="B1410" s="1">
        <f>DATE(2012,11,3) + TIME(20,33,21)</f>
        <v>41216.856493055559</v>
      </c>
      <c r="C1410">
        <v>80</v>
      </c>
      <c r="D1410">
        <v>79.347763061999999</v>
      </c>
      <c r="E1410">
        <v>50</v>
      </c>
      <c r="F1410">
        <v>49.857196807999998</v>
      </c>
      <c r="G1410">
        <v>1304.9782714999999</v>
      </c>
      <c r="H1410">
        <v>1292.347168</v>
      </c>
      <c r="I1410">
        <v>1396.2294922000001</v>
      </c>
      <c r="J1410">
        <v>1375.7977295000001</v>
      </c>
      <c r="K1410">
        <v>0</v>
      </c>
      <c r="L1410">
        <v>2400</v>
      </c>
      <c r="M1410">
        <v>2400</v>
      </c>
      <c r="N1410">
        <v>0</v>
      </c>
    </row>
    <row r="1411" spans="1:14" x14ac:dyDescent="0.25">
      <c r="A1411">
        <v>918.08957199999998</v>
      </c>
      <c r="B1411" s="1">
        <f>DATE(2012,11,4) + TIME(2,8,59)</f>
        <v>41217.089571759258</v>
      </c>
      <c r="C1411">
        <v>80</v>
      </c>
      <c r="D1411">
        <v>79.315925598000007</v>
      </c>
      <c r="E1411">
        <v>50</v>
      </c>
      <c r="F1411">
        <v>49.883666992000002</v>
      </c>
      <c r="G1411">
        <v>1304.6531981999999</v>
      </c>
      <c r="H1411">
        <v>1292.0207519999999</v>
      </c>
      <c r="I1411">
        <v>1396.4997559000001</v>
      </c>
      <c r="J1411">
        <v>1376.1079102000001</v>
      </c>
      <c r="K1411">
        <v>0</v>
      </c>
      <c r="L1411">
        <v>2400</v>
      </c>
      <c r="M1411">
        <v>2400</v>
      </c>
      <c r="N1411">
        <v>0</v>
      </c>
    </row>
    <row r="1412" spans="1:14" x14ac:dyDescent="0.25">
      <c r="A1412">
        <v>918.33523400000001</v>
      </c>
      <c r="B1412" s="1">
        <f>DATE(2012,11,4) + TIME(8,2,44)</f>
        <v>41217.335231481484</v>
      </c>
      <c r="C1412">
        <v>80</v>
      </c>
      <c r="D1412">
        <v>79.282829285000005</v>
      </c>
      <c r="E1412">
        <v>50</v>
      </c>
      <c r="F1412">
        <v>49.904701232999997</v>
      </c>
      <c r="G1412">
        <v>1304.3594971</v>
      </c>
      <c r="H1412">
        <v>1291.7257079999999</v>
      </c>
      <c r="I1412">
        <v>1396.7308350000001</v>
      </c>
      <c r="J1412">
        <v>1376.3754882999999</v>
      </c>
      <c r="K1412">
        <v>0</v>
      </c>
      <c r="L1412">
        <v>2400</v>
      </c>
      <c r="M1412">
        <v>2400</v>
      </c>
      <c r="N1412">
        <v>0</v>
      </c>
    </row>
    <row r="1413" spans="1:14" x14ac:dyDescent="0.25">
      <c r="A1413">
        <v>918.59619599999996</v>
      </c>
      <c r="B1413" s="1">
        <f>DATE(2012,11,4) + TIME(14,18,31)</f>
        <v>41217.596192129633</v>
      </c>
      <c r="C1413">
        <v>80</v>
      </c>
      <c r="D1413">
        <v>79.248199463000006</v>
      </c>
      <c r="E1413">
        <v>50</v>
      </c>
      <c r="F1413">
        <v>49.921310425000001</v>
      </c>
      <c r="G1413">
        <v>1304.0932617000001</v>
      </c>
      <c r="H1413">
        <v>1291.4580077999999</v>
      </c>
      <c r="I1413">
        <v>1396.9267577999999</v>
      </c>
      <c r="J1413">
        <v>1376.6051024999999</v>
      </c>
      <c r="K1413">
        <v>0</v>
      </c>
      <c r="L1413">
        <v>2400</v>
      </c>
      <c r="M1413">
        <v>2400</v>
      </c>
      <c r="N1413">
        <v>0</v>
      </c>
    </row>
    <row r="1414" spans="1:14" x14ac:dyDescent="0.25">
      <c r="A1414">
        <v>918.875721</v>
      </c>
      <c r="B1414" s="1">
        <f>DATE(2012,11,4) + TIME(21,1,2)</f>
        <v>41217.875717592593</v>
      </c>
      <c r="C1414">
        <v>80</v>
      </c>
      <c r="D1414">
        <v>79.211730957</v>
      </c>
      <c r="E1414">
        <v>50</v>
      </c>
      <c r="F1414">
        <v>49.934314727999997</v>
      </c>
      <c r="G1414">
        <v>1303.8516846</v>
      </c>
      <c r="H1414">
        <v>1291.2149658000001</v>
      </c>
      <c r="I1414">
        <v>1397.0904541</v>
      </c>
      <c r="J1414">
        <v>1376.800293</v>
      </c>
      <c r="K1414">
        <v>0</v>
      </c>
      <c r="L1414">
        <v>2400</v>
      </c>
      <c r="M1414">
        <v>2400</v>
      </c>
      <c r="N1414">
        <v>0</v>
      </c>
    </row>
    <row r="1415" spans="1:14" x14ac:dyDescent="0.25">
      <c r="A1415">
        <v>919.17787399999997</v>
      </c>
      <c r="B1415" s="1">
        <f>DATE(2012,11,5) + TIME(4,16,8)</f>
        <v>41218.177870370368</v>
      </c>
      <c r="C1415">
        <v>80</v>
      </c>
      <c r="D1415">
        <v>79.173004149999997</v>
      </c>
      <c r="E1415">
        <v>50</v>
      </c>
      <c r="F1415">
        <v>49.944381714000002</v>
      </c>
      <c r="G1415">
        <v>1303.6320800999999</v>
      </c>
      <c r="H1415">
        <v>1290.9937743999999</v>
      </c>
      <c r="I1415">
        <v>1397.2238769999999</v>
      </c>
      <c r="J1415">
        <v>1376.9636230000001</v>
      </c>
      <c r="K1415">
        <v>0</v>
      </c>
      <c r="L1415">
        <v>2400</v>
      </c>
      <c r="M1415">
        <v>2400</v>
      </c>
      <c r="N1415">
        <v>0</v>
      </c>
    </row>
    <row r="1416" spans="1:14" x14ac:dyDescent="0.25">
      <c r="A1416">
        <v>919.50767800000006</v>
      </c>
      <c r="B1416" s="1">
        <f>DATE(2012,11,5) + TIME(12,11,3)</f>
        <v>41218.507673611108</v>
      </c>
      <c r="C1416">
        <v>80</v>
      </c>
      <c r="D1416">
        <v>79.131561278999996</v>
      </c>
      <c r="E1416">
        <v>50</v>
      </c>
      <c r="F1416">
        <v>49.952068328999999</v>
      </c>
      <c r="G1416">
        <v>1303.4326172000001</v>
      </c>
      <c r="H1416">
        <v>1290.7926024999999</v>
      </c>
      <c r="I1416">
        <v>1397.3287353999999</v>
      </c>
      <c r="J1416">
        <v>1377.0972899999999</v>
      </c>
      <c r="K1416">
        <v>0</v>
      </c>
      <c r="L1416">
        <v>2400</v>
      </c>
      <c r="M1416">
        <v>2400</v>
      </c>
      <c r="N1416">
        <v>0</v>
      </c>
    </row>
    <row r="1417" spans="1:14" x14ac:dyDescent="0.25">
      <c r="A1417">
        <v>919.86429999999996</v>
      </c>
      <c r="B1417" s="1">
        <f>DATE(2012,11,5) + TIME(20,44,35)</f>
        <v>41218.864293981482</v>
      </c>
      <c r="C1417">
        <v>80</v>
      </c>
      <c r="D1417">
        <v>79.087394713999998</v>
      </c>
      <c r="E1417">
        <v>50</v>
      </c>
      <c r="F1417">
        <v>49.957756042</v>
      </c>
      <c r="G1417">
        <v>1303.2542725000001</v>
      </c>
      <c r="H1417">
        <v>1290.6124268000001</v>
      </c>
      <c r="I1417">
        <v>1397.4038086</v>
      </c>
      <c r="J1417">
        <v>1377.2001952999999</v>
      </c>
      <c r="K1417">
        <v>0</v>
      </c>
      <c r="L1417">
        <v>2400</v>
      </c>
      <c r="M1417">
        <v>2400</v>
      </c>
      <c r="N1417">
        <v>0</v>
      </c>
    </row>
    <row r="1418" spans="1:14" x14ac:dyDescent="0.25">
      <c r="A1418">
        <v>920.25430900000003</v>
      </c>
      <c r="B1418" s="1">
        <f>DATE(2012,11,6) + TIME(6,6,12)</f>
        <v>41219.254305555558</v>
      </c>
      <c r="C1418">
        <v>80</v>
      </c>
      <c r="D1418">
        <v>79.039939880000006</v>
      </c>
      <c r="E1418">
        <v>50</v>
      </c>
      <c r="F1418">
        <v>49.961906433000003</v>
      </c>
      <c r="G1418">
        <v>1303.0946045000001</v>
      </c>
      <c r="H1418">
        <v>1290.4508057</v>
      </c>
      <c r="I1418">
        <v>1397.4521483999999</v>
      </c>
      <c r="J1418">
        <v>1377.2757568</v>
      </c>
      <c r="K1418">
        <v>0</v>
      </c>
      <c r="L1418">
        <v>2400</v>
      </c>
      <c r="M1418">
        <v>2400</v>
      </c>
      <c r="N1418">
        <v>0</v>
      </c>
    </row>
    <row r="1419" spans="1:14" x14ac:dyDescent="0.25">
      <c r="A1419">
        <v>920.66721700000005</v>
      </c>
      <c r="B1419" s="1">
        <f>DATE(2012,11,6) + TIME(16,0,47)</f>
        <v>41219.667210648149</v>
      </c>
      <c r="C1419">
        <v>80</v>
      </c>
      <c r="D1419">
        <v>78.989944457999997</v>
      </c>
      <c r="E1419">
        <v>50</v>
      </c>
      <c r="F1419">
        <v>49.964794159</v>
      </c>
      <c r="G1419">
        <v>1302.9560547000001</v>
      </c>
      <c r="H1419">
        <v>1290.3101807</v>
      </c>
      <c r="I1419">
        <v>1397.4725341999999</v>
      </c>
      <c r="J1419">
        <v>1377.3229980000001</v>
      </c>
      <c r="K1419">
        <v>0</v>
      </c>
      <c r="L1419">
        <v>2400</v>
      </c>
      <c r="M1419">
        <v>2400</v>
      </c>
      <c r="N1419">
        <v>0</v>
      </c>
    </row>
    <row r="1420" spans="1:14" x14ac:dyDescent="0.25">
      <c r="A1420">
        <v>921.08351400000004</v>
      </c>
      <c r="B1420" s="1">
        <f>DATE(2012,11,7) + TIME(2,0,15)</f>
        <v>41220.083506944444</v>
      </c>
      <c r="C1420">
        <v>80</v>
      </c>
      <c r="D1420">
        <v>78.939018250000004</v>
      </c>
      <c r="E1420">
        <v>50</v>
      </c>
      <c r="F1420">
        <v>49.966709137000002</v>
      </c>
      <c r="G1420">
        <v>1302.840332</v>
      </c>
      <c r="H1420">
        <v>1290.1921387</v>
      </c>
      <c r="I1420">
        <v>1397.4683838000001</v>
      </c>
      <c r="J1420">
        <v>1377.3449707</v>
      </c>
      <c r="K1420">
        <v>0</v>
      </c>
      <c r="L1420">
        <v>2400</v>
      </c>
      <c r="M1420">
        <v>2400</v>
      </c>
      <c r="N1420">
        <v>0</v>
      </c>
    </row>
    <row r="1421" spans="1:14" x14ac:dyDescent="0.25">
      <c r="A1421">
        <v>921.50818100000004</v>
      </c>
      <c r="B1421" s="1">
        <f>DATE(2012,11,7) + TIME(12,11,46)</f>
        <v>41220.508171296293</v>
      </c>
      <c r="C1421">
        <v>80</v>
      </c>
      <c r="D1421">
        <v>78.887130737000007</v>
      </c>
      <c r="E1421">
        <v>50</v>
      </c>
      <c r="F1421">
        <v>49.967994689999998</v>
      </c>
      <c r="G1421">
        <v>1302.7420654</v>
      </c>
      <c r="H1421">
        <v>1290.0916748</v>
      </c>
      <c r="I1421">
        <v>1397.4493408000001</v>
      </c>
      <c r="J1421">
        <v>1377.3499756000001</v>
      </c>
      <c r="K1421">
        <v>0</v>
      </c>
      <c r="L1421">
        <v>2400</v>
      </c>
      <c r="M1421">
        <v>2400</v>
      </c>
      <c r="N1421">
        <v>0</v>
      </c>
    </row>
    <row r="1422" spans="1:14" x14ac:dyDescent="0.25">
      <c r="A1422">
        <v>921.945921</v>
      </c>
      <c r="B1422" s="1">
        <f>DATE(2012,11,7) + TIME(22,42,7)</f>
        <v>41220.945914351854</v>
      </c>
      <c r="C1422">
        <v>80</v>
      </c>
      <c r="D1422">
        <v>78.834060668999996</v>
      </c>
      <c r="E1422">
        <v>50</v>
      </c>
      <c r="F1422">
        <v>49.968872070000003</v>
      </c>
      <c r="G1422">
        <v>1302.6573486</v>
      </c>
      <c r="H1422">
        <v>1290.0045166</v>
      </c>
      <c r="I1422">
        <v>1397.4185791</v>
      </c>
      <c r="J1422">
        <v>1377.3420410000001</v>
      </c>
      <c r="K1422">
        <v>0</v>
      </c>
      <c r="L1422">
        <v>2400</v>
      </c>
      <c r="M1422">
        <v>2400</v>
      </c>
      <c r="N1422">
        <v>0</v>
      </c>
    </row>
    <row r="1423" spans="1:14" x14ac:dyDescent="0.25">
      <c r="A1423">
        <v>922.40149699999995</v>
      </c>
      <c r="B1423" s="1">
        <f>DATE(2012,11,8) + TIME(9,38,9)</f>
        <v>41221.401493055557</v>
      </c>
      <c r="C1423">
        <v>80</v>
      </c>
      <c r="D1423">
        <v>78.779510497999993</v>
      </c>
      <c r="E1423">
        <v>50</v>
      </c>
      <c r="F1423">
        <v>49.969470977999997</v>
      </c>
      <c r="G1423">
        <v>1302.5831298999999</v>
      </c>
      <c r="H1423">
        <v>1289.9277344</v>
      </c>
      <c r="I1423">
        <v>1397.3785399999999</v>
      </c>
      <c r="J1423">
        <v>1377.3239745999999</v>
      </c>
      <c r="K1423">
        <v>0</v>
      </c>
      <c r="L1423">
        <v>2400</v>
      </c>
      <c r="M1423">
        <v>2400</v>
      </c>
      <c r="N1423">
        <v>0</v>
      </c>
    </row>
    <row r="1424" spans="1:14" x14ac:dyDescent="0.25">
      <c r="A1424">
        <v>922.88013899999999</v>
      </c>
      <c r="B1424" s="1">
        <f>DATE(2012,11,8) + TIME(21,7,23)</f>
        <v>41221.880127314813</v>
      </c>
      <c r="C1424">
        <v>80</v>
      </c>
      <c r="D1424">
        <v>78.723060607999997</v>
      </c>
      <c r="E1424">
        <v>50</v>
      </c>
      <c r="F1424">
        <v>49.969882964999996</v>
      </c>
      <c r="G1424">
        <v>1302.5169678</v>
      </c>
      <c r="H1424">
        <v>1289.8587646000001</v>
      </c>
      <c r="I1424">
        <v>1397.3309326000001</v>
      </c>
      <c r="J1424">
        <v>1377.2977295000001</v>
      </c>
      <c r="K1424">
        <v>0</v>
      </c>
      <c r="L1424">
        <v>2400</v>
      </c>
      <c r="M1424">
        <v>2400</v>
      </c>
      <c r="N1424">
        <v>0</v>
      </c>
    </row>
    <row r="1425" spans="1:14" x14ac:dyDescent="0.25">
      <c r="A1425">
        <v>923.38559199999997</v>
      </c>
      <c r="B1425" s="1">
        <f>DATE(2012,11,9) + TIME(9,15,15)</f>
        <v>41222.38559027778</v>
      </c>
      <c r="C1425">
        <v>80</v>
      </c>
      <c r="D1425">
        <v>78.664367675999998</v>
      </c>
      <c r="E1425">
        <v>50</v>
      </c>
      <c r="F1425">
        <v>49.970172882</v>
      </c>
      <c r="G1425">
        <v>1302.4571533000001</v>
      </c>
      <c r="H1425">
        <v>1289.7960204999999</v>
      </c>
      <c r="I1425">
        <v>1397.2768555</v>
      </c>
      <c r="J1425">
        <v>1377.2647704999999</v>
      </c>
      <c r="K1425">
        <v>0</v>
      </c>
      <c r="L1425">
        <v>2400</v>
      </c>
      <c r="M1425">
        <v>2400</v>
      </c>
      <c r="N1425">
        <v>0</v>
      </c>
    </row>
    <row r="1426" spans="1:14" x14ac:dyDescent="0.25">
      <c r="A1426">
        <v>923.91497500000003</v>
      </c>
      <c r="B1426" s="1">
        <f>DATE(2012,11,9) + TIME(21,57,33)</f>
        <v>41222.914965277778</v>
      </c>
      <c r="C1426">
        <v>80</v>
      </c>
      <c r="D1426">
        <v>78.603538513000004</v>
      </c>
      <c r="E1426">
        <v>50</v>
      </c>
      <c r="F1426">
        <v>49.970371245999999</v>
      </c>
      <c r="G1426">
        <v>1302.4027100000001</v>
      </c>
      <c r="H1426">
        <v>1289.7385254000001</v>
      </c>
      <c r="I1426">
        <v>1397.2176514</v>
      </c>
      <c r="J1426">
        <v>1377.2264404</v>
      </c>
      <c r="K1426">
        <v>0</v>
      </c>
      <c r="L1426">
        <v>2400</v>
      </c>
      <c r="M1426">
        <v>2400</v>
      </c>
      <c r="N1426">
        <v>0</v>
      </c>
    </row>
    <row r="1427" spans="1:14" x14ac:dyDescent="0.25">
      <c r="A1427">
        <v>924.47427800000003</v>
      </c>
      <c r="B1427" s="1">
        <f>DATE(2012,11,10) + TIME(11,22,57)</f>
        <v>41223.474270833336</v>
      </c>
      <c r="C1427">
        <v>80</v>
      </c>
      <c r="D1427">
        <v>78.540184021000002</v>
      </c>
      <c r="E1427">
        <v>50</v>
      </c>
      <c r="F1427">
        <v>49.970508574999997</v>
      </c>
      <c r="G1427">
        <v>1302.3522949000001</v>
      </c>
      <c r="H1427">
        <v>1289.6845702999999</v>
      </c>
      <c r="I1427">
        <v>1397.1550293</v>
      </c>
      <c r="J1427">
        <v>1377.1844481999999</v>
      </c>
      <c r="K1427">
        <v>0</v>
      </c>
      <c r="L1427">
        <v>2400</v>
      </c>
      <c r="M1427">
        <v>2400</v>
      </c>
      <c r="N1427">
        <v>0</v>
      </c>
    </row>
    <row r="1428" spans="1:14" x14ac:dyDescent="0.25">
      <c r="A1428">
        <v>925.07025699999997</v>
      </c>
      <c r="B1428" s="1">
        <f>DATE(2012,11,11) + TIME(1,41,10)</f>
        <v>41224.070254629631</v>
      </c>
      <c r="C1428">
        <v>80</v>
      </c>
      <c r="D1428">
        <v>78.473793029999996</v>
      </c>
      <c r="E1428">
        <v>50</v>
      </c>
      <c r="F1428">
        <v>49.970611572000003</v>
      </c>
      <c r="G1428">
        <v>1302.3045654</v>
      </c>
      <c r="H1428">
        <v>1289.6331786999999</v>
      </c>
      <c r="I1428">
        <v>1397.0895995999999</v>
      </c>
      <c r="J1428">
        <v>1377.1392822</v>
      </c>
      <c r="K1428">
        <v>0</v>
      </c>
      <c r="L1428">
        <v>2400</v>
      </c>
      <c r="M1428">
        <v>2400</v>
      </c>
      <c r="N1428">
        <v>0</v>
      </c>
    </row>
    <row r="1429" spans="1:14" x14ac:dyDescent="0.25">
      <c r="A1429">
        <v>925.71148300000004</v>
      </c>
      <c r="B1429" s="1">
        <f>DATE(2012,11,11) + TIME(17,4,32)</f>
        <v>41224.711481481485</v>
      </c>
      <c r="C1429">
        <v>80</v>
      </c>
      <c r="D1429">
        <v>78.403709411999998</v>
      </c>
      <c r="E1429">
        <v>50</v>
      </c>
      <c r="F1429">
        <v>49.970684052000003</v>
      </c>
      <c r="G1429">
        <v>1302.2585449000001</v>
      </c>
      <c r="H1429">
        <v>1289.5831298999999</v>
      </c>
      <c r="I1429">
        <v>1397.0214844</v>
      </c>
      <c r="J1429">
        <v>1377.0916748</v>
      </c>
      <c r="K1429">
        <v>0</v>
      </c>
      <c r="L1429">
        <v>2400</v>
      </c>
      <c r="M1429">
        <v>2400</v>
      </c>
      <c r="N1429">
        <v>0</v>
      </c>
    </row>
    <row r="1430" spans="1:14" x14ac:dyDescent="0.25">
      <c r="A1430">
        <v>926.37180000000001</v>
      </c>
      <c r="B1430" s="1">
        <f>DATE(2012,11,12) + TIME(8,55,23)</f>
        <v>41225.371793981481</v>
      </c>
      <c r="C1430">
        <v>80</v>
      </c>
      <c r="D1430">
        <v>78.331245421999995</v>
      </c>
      <c r="E1430">
        <v>50</v>
      </c>
      <c r="F1430">
        <v>49.970733643000003</v>
      </c>
      <c r="G1430">
        <v>1302.2141113</v>
      </c>
      <c r="H1430">
        <v>1289.5344238</v>
      </c>
      <c r="I1430">
        <v>1396.9514160000001</v>
      </c>
      <c r="J1430">
        <v>1377.0422363</v>
      </c>
      <c r="K1430">
        <v>0</v>
      </c>
      <c r="L1430">
        <v>2400</v>
      </c>
      <c r="M1430">
        <v>2400</v>
      </c>
      <c r="N1430">
        <v>0</v>
      </c>
    </row>
    <row r="1431" spans="1:14" x14ac:dyDescent="0.25">
      <c r="A1431">
        <v>927.04159700000002</v>
      </c>
      <c r="B1431" s="1">
        <f>DATE(2012,11,13) + TIME(0,59,53)</f>
        <v>41226.041585648149</v>
      </c>
      <c r="C1431">
        <v>80</v>
      </c>
      <c r="D1431">
        <v>78.257446289000001</v>
      </c>
      <c r="E1431">
        <v>50</v>
      </c>
      <c r="F1431">
        <v>49.970771790000001</v>
      </c>
      <c r="G1431">
        <v>1302.1716309000001</v>
      </c>
      <c r="H1431">
        <v>1289.4871826000001</v>
      </c>
      <c r="I1431">
        <v>1396.8825684000001</v>
      </c>
      <c r="J1431">
        <v>1376.9931641000001</v>
      </c>
      <c r="K1431">
        <v>0</v>
      </c>
      <c r="L1431">
        <v>2400</v>
      </c>
      <c r="M1431">
        <v>2400</v>
      </c>
      <c r="N1431">
        <v>0</v>
      </c>
    </row>
    <row r="1432" spans="1:14" x14ac:dyDescent="0.25">
      <c r="A1432">
        <v>927.72809400000006</v>
      </c>
      <c r="B1432" s="1">
        <f>DATE(2012,11,13) + TIME(17,28,27)</f>
        <v>41226.728090277778</v>
      </c>
      <c r="C1432">
        <v>80</v>
      </c>
      <c r="D1432">
        <v>78.182418823000006</v>
      </c>
      <c r="E1432">
        <v>50</v>
      </c>
      <c r="F1432">
        <v>49.970794677999997</v>
      </c>
      <c r="G1432">
        <v>1302.1304932</v>
      </c>
      <c r="H1432">
        <v>1289.4410399999999</v>
      </c>
      <c r="I1432">
        <v>1396.8161620999999</v>
      </c>
      <c r="J1432">
        <v>1376.9456786999999</v>
      </c>
      <c r="K1432">
        <v>0</v>
      </c>
      <c r="L1432">
        <v>2400</v>
      </c>
      <c r="M1432">
        <v>2400</v>
      </c>
      <c r="N1432">
        <v>0</v>
      </c>
    </row>
    <row r="1433" spans="1:14" x14ac:dyDescent="0.25">
      <c r="A1433">
        <v>928.438489</v>
      </c>
      <c r="B1433" s="1">
        <f>DATE(2012,11,14) + TIME(10,31,25)</f>
        <v>41227.438483796293</v>
      </c>
      <c r="C1433">
        <v>80</v>
      </c>
      <c r="D1433">
        <v>78.105873107999997</v>
      </c>
      <c r="E1433">
        <v>50</v>
      </c>
      <c r="F1433">
        <v>49.970813751000001</v>
      </c>
      <c r="G1433">
        <v>1302.0898437999999</v>
      </c>
      <c r="H1433">
        <v>1289.3950195</v>
      </c>
      <c r="I1433">
        <v>1396.7515868999999</v>
      </c>
      <c r="J1433">
        <v>1376.8994141000001</v>
      </c>
      <c r="K1433">
        <v>0</v>
      </c>
      <c r="L1433">
        <v>2400</v>
      </c>
      <c r="M1433">
        <v>2400</v>
      </c>
      <c r="N1433">
        <v>0</v>
      </c>
    </row>
    <row r="1434" spans="1:14" x14ac:dyDescent="0.25">
      <c r="A1434">
        <v>929.18055500000003</v>
      </c>
      <c r="B1434" s="1">
        <f>DATE(2012,11,15) + TIME(4,19,59)</f>
        <v>41228.180543981478</v>
      </c>
      <c r="C1434">
        <v>80</v>
      </c>
      <c r="D1434">
        <v>78.027320861999996</v>
      </c>
      <c r="E1434">
        <v>50</v>
      </c>
      <c r="F1434">
        <v>49.970829010000003</v>
      </c>
      <c r="G1434">
        <v>1302.0490723</v>
      </c>
      <c r="H1434">
        <v>1289.3483887</v>
      </c>
      <c r="I1434">
        <v>1396.6882324000001</v>
      </c>
      <c r="J1434">
        <v>1376.8537598</v>
      </c>
      <c r="K1434">
        <v>0</v>
      </c>
      <c r="L1434">
        <v>2400</v>
      </c>
      <c r="M1434">
        <v>2400</v>
      </c>
      <c r="N1434">
        <v>0</v>
      </c>
    </row>
    <row r="1435" spans="1:14" x14ac:dyDescent="0.25">
      <c r="A1435">
        <v>929.96318399999996</v>
      </c>
      <c r="B1435" s="1">
        <f>DATE(2012,11,15) + TIME(23,6,59)</f>
        <v>41228.963182870371</v>
      </c>
      <c r="C1435">
        <v>80</v>
      </c>
      <c r="D1435">
        <v>77.946098328000005</v>
      </c>
      <c r="E1435">
        <v>50</v>
      </c>
      <c r="F1435">
        <v>49.970844268999997</v>
      </c>
      <c r="G1435">
        <v>1302.0075684000001</v>
      </c>
      <c r="H1435">
        <v>1289.3004149999999</v>
      </c>
      <c r="I1435">
        <v>1396.6256103999999</v>
      </c>
      <c r="J1435">
        <v>1376.8087158000001</v>
      </c>
      <c r="K1435">
        <v>0</v>
      </c>
      <c r="L1435">
        <v>2400</v>
      </c>
      <c r="M1435">
        <v>2400</v>
      </c>
      <c r="N1435">
        <v>0</v>
      </c>
    </row>
    <row r="1436" spans="1:14" x14ac:dyDescent="0.25">
      <c r="A1436">
        <v>930.77240200000006</v>
      </c>
      <c r="B1436" s="1">
        <f>DATE(2012,11,16) + TIME(18,32,15)</f>
        <v>41229.77239583333</v>
      </c>
      <c r="C1436">
        <v>80</v>
      </c>
      <c r="D1436">
        <v>77.86265564</v>
      </c>
      <c r="E1436">
        <v>50</v>
      </c>
      <c r="F1436">
        <v>49.970851897999999</v>
      </c>
      <c r="G1436">
        <v>1301.9648437999999</v>
      </c>
      <c r="H1436">
        <v>1289.2507324000001</v>
      </c>
      <c r="I1436">
        <v>1396.5632324000001</v>
      </c>
      <c r="J1436">
        <v>1376.7637939000001</v>
      </c>
      <c r="K1436">
        <v>0</v>
      </c>
      <c r="L1436">
        <v>2400</v>
      </c>
      <c r="M1436">
        <v>2400</v>
      </c>
      <c r="N1436">
        <v>0</v>
      </c>
    </row>
    <row r="1437" spans="1:14" x14ac:dyDescent="0.25">
      <c r="A1437">
        <v>931.61427100000003</v>
      </c>
      <c r="B1437" s="1">
        <f>DATE(2012,11,17) + TIME(14,44,33)</f>
        <v>41230.614270833335</v>
      </c>
      <c r="C1437">
        <v>80</v>
      </c>
      <c r="D1437">
        <v>77.776931762999993</v>
      </c>
      <c r="E1437">
        <v>50</v>
      </c>
      <c r="F1437">
        <v>49.970859527999998</v>
      </c>
      <c r="G1437">
        <v>1301.9210204999999</v>
      </c>
      <c r="H1437">
        <v>1289.1993408000001</v>
      </c>
      <c r="I1437">
        <v>1396.5023193</v>
      </c>
      <c r="J1437">
        <v>1376.7198486</v>
      </c>
      <c r="K1437">
        <v>0</v>
      </c>
      <c r="L1437">
        <v>2400</v>
      </c>
      <c r="M1437">
        <v>2400</v>
      </c>
      <c r="N1437">
        <v>0</v>
      </c>
    </row>
    <row r="1438" spans="1:14" x14ac:dyDescent="0.25">
      <c r="A1438">
        <v>932.49749999999995</v>
      </c>
      <c r="B1438" s="1">
        <f>DATE(2012,11,18) + TIME(11,56,24)</f>
        <v>41231.497499999998</v>
      </c>
      <c r="C1438">
        <v>80</v>
      </c>
      <c r="D1438">
        <v>77.688537597999996</v>
      </c>
      <c r="E1438">
        <v>50</v>
      </c>
      <c r="F1438">
        <v>49.970863342000001</v>
      </c>
      <c r="G1438">
        <v>1301.8756103999999</v>
      </c>
      <c r="H1438">
        <v>1289.1456298999999</v>
      </c>
      <c r="I1438">
        <v>1396.4422606999999</v>
      </c>
      <c r="J1438">
        <v>1376.6763916</v>
      </c>
      <c r="K1438">
        <v>0</v>
      </c>
      <c r="L1438">
        <v>2400</v>
      </c>
      <c r="M1438">
        <v>2400</v>
      </c>
      <c r="N1438">
        <v>0</v>
      </c>
    </row>
    <row r="1439" spans="1:14" x14ac:dyDescent="0.25">
      <c r="A1439">
        <v>933.403415</v>
      </c>
      <c r="B1439" s="1">
        <f>DATE(2012,11,19) + TIME(9,40,55)</f>
        <v>41232.403414351851</v>
      </c>
      <c r="C1439">
        <v>80</v>
      </c>
      <c r="D1439">
        <v>77.598144531000003</v>
      </c>
      <c r="E1439">
        <v>50</v>
      </c>
      <c r="F1439">
        <v>49.970870972</v>
      </c>
      <c r="G1439">
        <v>1301.8283690999999</v>
      </c>
      <c r="H1439">
        <v>1289.0893555</v>
      </c>
      <c r="I1439">
        <v>1396.3828125</v>
      </c>
      <c r="J1439">
        <v>1376.6334228999999</v>
      </c>
      <c r="K1439">
        <v>0</v>
      </c>
      <c r="L1439">
        <v>2400</v>
      </c>
      <c r="M1439">
        <v>2400</v>
      </c>
      <c r="N1439">
        <v>0</v>
      </c>
    </row>
    <row r="1440" spans="1:14" x14ac:dyDescent="0.25">
      <c r="A1440">
        <v>934.32922199999996</v>
      </c>
      <c r="B1440" s="1">
        <f>DATE(2012,11,20) + TIME(7,54,4)</f>
        <v>41233.329212962963</v>
      </c>
      <c r="C1440">
        <v>80</v>
      </c>
      <c r="D1440">
        <v>77.506370544000006</v>
      </c>
      <c r="E1440">
        <v>50</v>
      </c>
      <c r="F1440">
        <v>49.970874786000003</v>
      </c>
      <c r="G1440">
        <v>1301.7796631000001</v>
      </c>
      <c r="H1440">
        <v>1289.0310059000001</v>
      </c>
      <c r="I1440">
        <v>1396.3249512</v>
      </c>
      <c r="J1440">
        <v>1376.5914307</v>
      </c>
      <c r="K1440">
        <v>0</v>
      </c>
      <c r="L1440">
        <v>2400</v>
      </c>
      <c r="M1440">
        <v>2400</v>
      </c>
      <c r="N1440">
        <v>0</v>
      </c>
    </row>
    <row r="1441" spans="1:14" x14ac:dyDescent="0.25">
      <c r="A1441">
        <v>935.28520600000002</v>
      </c>
      <c r="B1441" s="1">
        <f>DATE(2012,11,21) + TIME(6,50,41)</f>
        <v>41234.285196759258</v>
      </c>
      <c r="C1441">
        <v>80</v>
      </c>
      <c r="D1441">
        <v>77.413070679</v>
      </c>
      <c r="E1441">
        <v>50</v>
      </c>
      <c r="F1441">
        <v>49.970878601000003</v>
      </c>
      <c r="G1441">
        <v>1301.7294922000001</v>
      </c>
      <c r="H1441">
        <v>1288.9702147999999</v>
      </c>
      <c r="I1441">
        <v>1396.2686768000001</v>
      </c>
      <c r="J1441">
        <v>1376.5505370999999</v>
      </c>
      <c r="K1441">
        <v>0</v>
      </c>
      <c r="L1441">
        <v>2400</v>
      </c>
      <c r="M1441">
        <v>2400</v>
      </c>
      <c r="N1441">
        <v>0</v>
      </c>
    </row>
    <row r="1442" spans="1:14" x14ac:dyDescent="0.25">
      <c r="A1442">
        <v>936.28238399999998</v>
      </c>
      <c r="B1442" s="1">
        <f>DATE(2012,11,22) + TIME(6,46,37)</f>
        <v>41235.282372685186</v>
      </c>
      <c r="C1442">
        <v>80</v>
      </c>
      <c r="D1442">
        <v>77.317695618000002</v>
      </c>
      <c r="E1442">
        <v>50</v>
      </c>
      <c r="F1442">
        <v>49.970886229999998</v>
      </c>
      <c r="G1442">
        <v>1301.677124</v>
      </c>
      <c r="H1442">
        <v>1288.9063721</v>
      </c>
      <c r="I1442">
        <v>1396.2133789</v>
      </c>
      <c r="J1442">
        <v>1376.510376</v>
      </c>
      <c r="K1442">
        <v>0</v>
      </c>
      <c r="L1442">
        <v>2400</v>
      </c>
      <c r="M1442">
        <v>2400</v>
      </c>
      <c r="N1442">
        <v>0</v>
      </c>
    </row>
    <row r="1443" spans="1:14" x14ac:dyDescent="0.25">
      <c r="A1443">
        <v>937.333347</v>
      </c>
      <c r="B1443" s="1">
        <f>DATE(2012,11,23) + TIME(8,0,1)</f>
        <v>41236.333344907405</v>
      </c>
      <c r="C1443">
        <v>80</v>
      </c>
      <c r="D1443">
        <v>77.219398498999993</v>
      </c>
      <c r="E1443">
        <v>50</v>
      </c>
      <c r="F1443">
        <v>49.970893859999997</v>
      </c>
      <c r="G1443">
        <v>1301.6218262</v>
      </c>
      <c r="H1443">
        <v>1288.8386230000001</v>
      </c>
      <c r="I1443">
        <v>1396.1585693</v>
      </c>
      <c r="J1443">
        <v>1376.4702147999999</v>
      </c>
      <c r="K1443">
        <v>0</v>
      </c>
      <c r="L1443">
        <v>2400</v>
      </c>
      <c r="M1443">
        <v>2400</v>
      </c>
      <c r="N1443">
        <v>0</v>
      </c>
    </row>
    <row r="1444" spans="1:14" x14ac:dyDescent="0.25">
      <c r="A1444">
        <v>938.43805999999995</v>
      </c>
      <c r="B1444" s="1">
        <f>DATE(2012,11,24) + TIME(10,30,48)</f>
        <v>41237.438055555554</v>
      </c>
      <c r="C1444">
        <v>80</v>
      </c>
      <c r="D1444">
        <v>77.117752074999999</v>
      </c>
      <c r="E1444">
        <v>50</v>
      </c>
      <c r="F1444">
        <v>49.970901488999999</v>
      </c>
      <c r="G1444">
        <v>1301.5631103999999</v>
      </c>
      <c r="H1444">
        <v>1288.7659911999999</v>
      </c>
      <c r="I1444">
        <v>1396.1033935999999</v>
      </c>
      <c r="J1444">
        <v>1376.4298096</v>
      </c>
      <c r="K1444">
        <v>0</v>
      </c>
      <c r="L1444">
        <v>2400</v>
      </c>
      <c r="M1444">
        <v>2400</v>
      </c>
      <c r="N1444">
        <v>0</v>
      </c>
    </row>
    <row r="1445" spans="1:14" x14ac:dyDescent="0.25">
      <c r="A1445">
        <v>939.56855900000005</v>
      </c>
      <c r="B1445" s="1">
        <f>DATE(2012,11,25) + TIME(13,38,43)</f>
        <v>41238.568553240744</v>
      </c>
      <c r="C1445">
        <v>80</v>
      </c>
      <c r="D1445">
        <v>77.013671875</v>
      </c>
      <c r="E1445">
        <v>50</v>
      </c>
      <c r="F1445">
        <v>49.970912933000001</v>
      </c>
      <c r="G1445">
        <v>1301.5007324000001</v>
      </c>
      <c r="H1445">
        <v>1288.6884766000001</v>
      </c>
      <c r="I1445">
        <v>1396.0483397999999</v>
      </c>
      <c r="J1445">
        <v>1376.3892822</v>
      </c>
      <c r="K1445">
        <v>0</v>
      </c>
      <c r="L1445">
        <v>2400</v>
      </c>
      <c r="M1445">
        <v>2400</v>
      </c>
      <c r="N1445">
        <v>0</v>
      </c>
    </row>
    <row r="1446" spans="1:14" x14ac:dyDescent="0.25">
      <c r="A1446">
        <v>940.73576400000002</v>
      </c>
      <c r="B1446" s="1">
        <f>DATE(2012,11,26) + TIME(17,39,30)</f>
        <v>41239.735763888886</v>
      </c>
      <c r="C1446">
        <v>80</v>
      </c>
      <c r="D1446">
        <v>76.907653808999996</v>
      </c>
      <c r="E1446">
        <v>50</v>
      </c>
      <c r="F1446">
        <v>49.970920563</v>
      </c>
      <c r="G1446">
        <v>1301.4356689000001</v>
      </c>
      <c r="H1446">
        <v>1288.6069336</v>
      </c>
      <c r="I1446">
        <v>1395.9943848</v>
      </c>
      <c r="J1446">
        <v>1376.3494873</v>
      </c>
      <c r="K1446">
        <v>0</v>
      </c>
      <c r="L1446">
        <v>2400</v>
      </c>
      <c r="M1446">
        <v>2400</v>
      </c>
      <c r="N1446">
        <v>0</v>
      </c>
    </row>
    <row r="1447" spans="1:14" x14ac:dyDescent="0.25">
      <c r="A1447">
        <v>941.93614000000002</v>
      </c>
      <c r="B1447" s="1">
        <f>DATE(2012,11,27) + TIME(22,28,2)</f>
        <v>41240.93613425926</v>
      </c>
      <c r="C1447">
        <v>80</v>
      </c>
      <c r="D1447">
        <v>76.799880981000001</v>
      </c>
      <c r="E1447">
        <v>50</v>
      </c>
      <c r="F1447">
        <v>49.970935822000001</v>
      </c>
      <c r="G1447">
        <v>1301.3674315999999</v>
      </c>
      <c r="H1447">
        <v>1288.520874</v>
      </c>
      <c r="I1447">
        <v>1395.9412841999999</v>
      </c>
      <c r="J1447">
        <v>1376.3100586</v>
      </c>
      <c r="K1447">
        <v>0</v>
      </c>
      <c r="L1447">
        <v>2400</v>
      </c>
      <c r="M1447">
        <v>2400</v>
      </c>
      <c r="N1447">
        <v>0</v>
      </c>
    </row>
    <row r="1448" spans="1:14" x14ac:dyDescent="0.25">
      <c r="A1448">
        <v>943.16788299999996</v>
      </c>
      <c r="B1448" s="1">
        <f>DATE(2012,11,29) + TIME(4,1,45)</f>
        <v>41242.167881944442</v>
      </c>
      <c r="C1448">
        <v>80</v>
      </c>
      <c r="D1448">
        <v>76.690612793</v>
      </c>
      <c r="E1448">
        <v>50</v>
      </c>
      <c r="F1448">
        <v>49.970947266000003</v>
      </c>
      <c r="G1448">
        <v>1301.2958983999999</v>
      </c>
      <c r="H1448">
        <v>1288.4300536999999</v>
      </c>
      <c r="I1448">
        <v>1395.8889160000001</v>
      </c>
      <c r="J1448">
        <v>1376.2711182</v>
      </c>
      <c r="K1448">
        <v>0</v>
      </c>
      <c r="L1448">
        <v>2400</v>
      </c>
      <c r="M1448">
        <v>2400</v>
      </c>
      <c r="N1448">
        <v>0</v>
      </c>
    </row>
    <row r="1449" spans="1:14" x14ac:dyDescent="0.25">
      <c r="A1449">
        <v>944.43856100000005</v>
      </c>
      <c r="B1449" s="1">
        <f>DATE(2012,11,30) + TIME(10,31,31)</f>
        <v>41243.43855324074</v>
      </c>
      <c r="C1449">
        <v>80</v>
      </c>
      <c r="D1449">
        <v>76.579772949000002</v>
      </c>
      <c r="E1449">
        <v>50</v>
      </c>
      <c r="F1449">
        <v>49.970962524000001</v>
      </c>
      <c r="G1449">
        <v>1301.2211914</v>
      </c>
      <c r="H1449">
        <v>1288.3345947</v>
      </c>
      <c r="I1449">
        <v>1395.8375243999999</v>
      </c>
      <c r="J1449">
        <v>1376.2326660000001</v>
      </c>
      <c r="K1449">
        <v>0</v>
      </c>
      <c r="L1449">
        <v>2400</v>
      </c>
      <c r="M1449">
        <v>2400</v>
      </c>
      <c r="N1449">
        <v>0</v>
      </c>
    </row>
    <row r="1450" spans="1:14" x14ac:dyDescent="0.25">
      <c r="A1450">
        <v>945</v>
      </c>
      <c r="B1450" s="1">
        <f>DATE(2012,12,1) + TIME(0,0,0)</f>
        <v>41244</v>
      </c>
      <c r="C1450">
        <v>80</v>
      </c>
      <c r="D1450">
        <v>76.504943847999996</v>
      </c>
      <c r="E1450">
        <v>50</v>
      </c>
      <c r="F1450">
        <v>49.970947266000003</v>
      </c>
      <c r="G1450">
        <v>1301.1535644999999</v>
      </c>
      <c r="H1450">
        <v>1288.2497559000001</v>
      </c>
      <c r="I1450">
        <v>1395.7906493999999</v>
      </c>
      <c r="J1450">
        <v>1376.197876</v>
      </c>
      <c r="K1450">
        <v>0</v>
      </c>
      <c r="L1450">
        <v>2400</v>
      </c>
      <c r="M1450">
        <v>2400</v>
      </c>
      <c r="N1450">
        <v>0</v>
      </c>
    </row>
    <row r="1451" spans="1:14" x14ac:dyDescent="0.25">
      <c r="A1451">
        <v>946.30469800000003</v>
      </c>
      <c r="B1451" s="1">
        <f>DATE(2012,12,2) + TIME(7,18,45)</f>
        <v>41245.3046875</v>
      </c>
      <c r="C1451">
        <v>80</v>
      </c>
      <c r="D1451">
        <v>76.408760071000003</v>
      </c>
      <c r="E1451">
        <v>50</v>
      </c>
      <c r="F1451">
        <v>49.970985413000001</v>
      </c>
      <c r="G1451">
        <v>1301.1037598</v>
      </c>
      <c r="H1451">
        <v>1288.182251</v>
      </c>
      <c r="I1451">
        <v>1395.7637939000001</v>
      </c>
      <c r="J1451">
        <v>1376.1770019999999</v>
      </c>
      <c r="K1451">
        <v>0</v>
      </c>
      <c r="L1451">
        <v>2400</v>
      </c>
      <c r="M1451">
        <v>2400</v>
      </c>
      <c r="N1451">
        <v>0</v>
      </c>
    </row>
    <row r="1452" spans="1:14" x14ac:dyDescent="0.25">
      <c r="A1452">
        <v>947.64923199999998</v>
      </c>
      <c r="B1452" s="1">
        <f>DATE(2012,12,3) + TIME(15,34,53)</f>
        <v>41246.649224537039</v>
      </c>
      <c r="C1452">
        <v>80</v>
      </c>
      <c r="D1452">
        <v>76.301422118999994</v>
      </c>
      <c r="E1452">
        <v>50</v>
      </c>
      <c r="F1452">
        <v>49.971000670999999</v>
      </c>
      <c r="G1452">
        <v>1301.0233154</v>
      </c>
      <c r="H1452">
        <v>1288.0786132999999</v>
      </c>
      <c r="I1452">
        <v>1395.7158202999999</v>
      </c>
      <c r="J1452">
        <v>1376.1408690999999</v>
      </c>
      <c r="K1452">
        <v>0</v>
      </c>
      <c r="L1452">
        <v>2400</v>
      </c>
      <c r="M1452">
        <v>2400</v>
      </c>
      <c r="N1452">
        <v>0</v>
      </c>
    </row>
    <row r="1453" spans="1:14" x14ac:dyDescent="0.25">
      <c r="A1453">
        <v>949.02534200000002</v>
      </c>
      <c r="B1453" s="1">
        <f>DATE(2012,12,5) + TIME(0,36,29)</f>
        <v>41248.025335648148</v>
      </c>
      <c r="C1453">
        <v>80</v>
      </c>
      <c r="D1453">
        <v>76.188949585000003</v>
      </c>
      <c r="E1453">
        <v>50</v>
      </c>
      <c r="F1453">
        <v>49.971019745</v>
      </c>
      <c r="G1453">
        <v>1300.9371338000001</v>
      </c>
      <c r="H1453">
        <v>1287.9665527</v>
      </c>
      <c r="I1453">
        <v>1395.6672363</v>
      </c>
      <c r="J1453">
        <v>1376.1038818</v>
      </c>
      <c r="K1453">
        <v>0</v>
      </c>
      <c r="L1453">
        <v>2400</v>
      </c>
      <c r="M1453">
        <v>2400</v>
      </c>
      <c r="N1453">
        <v>0</v>
      </c>
    </row>
    <row r="1454" spans="1:14" x14ac:dyDescent="0.25">
      <c r="A1454">
        <v>950.43340000000001</v>
      </c>
      <c r="B1454" s="1">
        <f>DATE(2012,12,6) + TIME(10,24,5)</f>
        <v>41249.433391203704</v>
      </c>
      <c r="C1454">
        <v>80</v>
      </c>
      <c r="D1454">
        <v>76.073898314999994</v>
      </c>
      <c r="E1454">
        <v>50</v>
      </c>
      <c r="F1454">
        <v>49.971038817999997</v>
      </c>
      <c r="G1454">
        <v>1300.8468018000001</v>
      </c>
      <c r="H1454">
        <v>1287.8482666</v>
      </c>
      <c r="I1454">
        <v>1395.6192627</v>
      </c>
      <c r="J1454">
        <v>1376.0672606999999</v>
      </c>
      <c r="K1454">
        <v>0</v>
      </c>
      <c r="L1454">
        <v>2400</v>
      </c>
      <c r="M1454">
        <v>2400</v>
      </c>
      <c r="N1454">
        <v>0</v>
      </c>
    </row>
    <row r="1455" spans="1:14" x14ac:dyDescent="0.25">
      <c r="A1455">
        <v>951.86319100000003</v>
      </c>
      <c r="B1455" s="1">
        <f>DATE(2012,12,7) + TIME(20,42,59)</f>
        <v>41250.863182870373</v>
      </c>
      <c r="C1455">
        <v>80</v>
      </c>
      <c r="D1455">
        <v>75.957572936999995</v>
      </c>
      <c r="E1455">
        <v>50</v>
      </c>
      <c r="F1455">
        <v>49.971057891999997</v>
      </c>
      <c r="G1455">
        <v>1300.7525635</v>
      </c>
      <c r="H1455">
        <v>1287.7241211</v>
      </c>
      <c r="I1455">
        <v>1395.5720214999999</v>
      </c>
      <c r="J1455">
        <v>1376.0311279</v>
      </c>
      <c r="K1455">
        <v>0</v>
      </c>
      <c r="L1455">
        <v>2400</v>
      </c>
      <c r="M1455">
        <v>2400</v>
      </c>
      <c r="N1455">
        <v>0</v>
      </c>
    </row>
    <row r="1456" spans="1:14" x14ac:dyDescent="0.25">
      <c r="A1456">
        <v>953.31895399999996</v>
      </c>
      <c r="B1456" s="1">
        <f>DATE(2012,12,9) + TIME(7,39,17)</f>
        <v>41252.31894675926</v>
      </c>
      <c r="C1456">
        <v>80</v>
      </c>
      <c r="D1456">
        <v>75.840560913000004</v>
      </c>
      <c r="E1456">
        <v>50</v>
      </c>
      <c r="F1456">
        <v>49.971080780000001</v>
      </c>
      <c r="G1456">
        <v>1300.6549072</v>
      </c>
      <c r="H1456">
        <v>1287.5947266000001</v>
      </c>
      <c r="I1456">
        <v>1395.5258789</v>
      </c>
      <c r="J1456">
        <v>1375.9954834</v>
      </c>
      <c r="K1456">
        <v>0</v>
      </c>
      <c r="L1456">
        <v>2400</v>
      </c>
      <c r="M1456">
        <v>2400</v>
      </c>
      <c r="N1456">
        <v>0</v>
      </c>
    </row>
    <row r="1457" spans="1:14" x14ac:dyDescent="0.25">
      <c r="A1457">
        <v>954.80412200000001</v>
      </c>
      <c r="B1457" s="1">
        <f>DATE(2012,12,10) + TIME(19,17,56)</f>
        <v>41253.804120370369</v>
      </c>
      <c r="C1457">
        <v>80</v>
      </c>
      <c r="D1457">
        <v>75.722915649000001</v>
      </c>
      <c r="E1457">
        <v>50</v>
      </c>
      <c r="F1457">
        <v>49.971103667999998</v>
      </c>
      <c r="G1457">
        <v>1300.5537108999999</v>
      </c>
      <c r="H1457">
        <v>1287.4599608999999</v>
      </c>
      <c r="I1457">
        <v>1395.4805908000001</v>
      </c>
      <c r="J1457">
        <v>1375.9604492000001</v>
      </c>
      <c r="K1457">
        <v>0</v>
      </c>
      <c r="L1457">
        <v>2400</v>
      </c>
      <c r="M1457">
        <v>2400</v>
      </c>
      <c r="N1457">
        <v>0</v>
      </c>
    </row>
    <row r="1458" spans="1:14" x14ac:dyDescent="0.25">
      <c r="A1458">
        <v>956.32211500000005</v>
      </c>
      <c r="B1458" s="1">
        <f>DATE(2012,12,12) + TIME(7,43,50)</f>
        <v>41255.322106481479</v>
      </c>
      <c r="C1458">
        <v>80</v>
      </c>
      <c r="D1458">
        <v>75.604469299000002</v>
      </c>
      <c r="E1458">
        <v>50</v>
      </c>
      <c r="F1458">
        <v>49.971126556000002</v>
      </c>
      <c r="G1458">
        <v>1300.4486084</v>
      </c>
      <c r="H1458">
        <v>1287.3193358999999</v>
      </c>
      <c r="I1458">
        <v>1395.4359131000001</v>
      </c>
      <c r="J1458">
        <v>1375.9256591999999</v>
      </c>
      <c r="K1458">
        <v>0</v>
      </c>
      <c r="L1458">
        <v>2400</v>
      </c>
      <c r="M1458">
        <v>2400</v>
      </c>
      <c r="N1458">
        <v>0</v>
      </c>
    </row>
    <row r="1459" spans="1:14" x14ac:dyDescent="0.25">
      <c r="A1459">
        <v>957.87636399999997</v>
      </c>
      <c r="B1459" s="1">
        <f>DATE(2012,12,13) + TIME(21,1,57)</f>
        <v>41256.876354166663</v>
      </c>
      <c r="C1459">
        <v>80</v>
      </c>
      <c r="D1459">
        <v>75.485023498999993</v>
      </c>
      <c r="E1459">
        <v>50</v>
      </c>
      <c r="F1459">
        <v>49.971153258999998</v>
      </c>
      <c r="G1459">
        <v>1300.3393555</v>
      </c>
      <c r="H1459">
        <v>1287.1726074000001</v>
      </c>
      <c r="I1459">
        <v>1395.3918457</v>
      </c>
      <c r="J1459">
        <v>1375.8912353999999</v>
      </c>
      <c r="K1459">
        <v>0</v>
      </c>
      <c r="L1459">
        <v>2400</v>
      </c>
      <c r="M1459">
        <v>2400</v>
      </c>
      <c r="N1459">
        <v>0</v>
      </c>
    </row>
    <row r="1460" spans="1:14" x14ac:dyDescent="0.25">
      <c r="A1460">
        <v>959.46888100000001</v>
      </c>
      <c r="B1460" s="1">
        <f>DATE(2012,12,15) + TIME(11,15,11)</f>
        <v>41258.468877314815</v>
      </c>
      <c r="C1460">
        <v>80</v>
      </c>
      <c r="D1460">
        <v>75.364379882999998</v>
      </c>
      <c r="E1460">
        <v>50</v>
      </c>
      <c r="F1460">
        <v>49.971176147000001</v>
      </c>
      <c r="G1460">
        <v>1300.2255858999999</v>
      </c>
      <c r="H1460">
        <v>1287.0191649999999</v>
      </c>
      <c r="I1460">
        <v>1395.3482666</v>
      </c>
      <c r="J1460">
        <v>1375.8570557</v>
      </c>
      <c r="K1460">
        <v>0</v>
      </c>
      <c r="L1460">
        <v>2400</v>
      </c>
      <c r="M1460">
        <v>2400</v>
      </c>
      <c r="N1460">
        <v>0</v>
      </c>
    </row>
    <row r="1461" spans="1:14" x14ac:dyDescent="0.25">
      <c r="A1461">
        <v>961.09321599999998</v>
      </c>
      <c r="B1461" s="1">
        <f>DATE(2012,12,17) + TIME(2,14,13)</f>
        <v>41260.093206018515</v>
      </c>
      <c r="C1461">
        <v>80</v>
      </c>
      <c r="D1461">
        <v>75.242614746000001</v>
      </c>
      <c r="E1461">
        <v>50</v>
      </c>
      <c r="F1461">
        <v>49.971206664999997</v>
      </c>
      <c r="G1461">
        <v>1300.1071777</v>
      </c>
      <c r="H1461">
        <v>1286.8588867000001</v>
      </c>
      <c r="I1461">
        <v>1395.3050536999999</v>
      </c>
      <c r="J1461">
        <v>1375.8229980000001</v>
      </c>
      <c r="K1461">
        <v>0</v>
      </c>
      <c r="L1461">
        <v>2400</v>
      </c>
      <c r="M1461">
        <v>2400</v>
      </c>
      <c r="N1461">
        <v>0</v>
      </c>
    </row>
    <row r="1462" spans="1:14" x14ac:dyDescent="0.25">
      <c r="A1462">
        <v>962.74749199999997</v>
      </c>
      <c r="B1462" s="1">
        <f>DATE(2012,12,18) + TIME(17,56,23)</f>
        <v>41261.747488425928</v>
      </c>
      <c r="C1462">
        <v>80</v>
      </c>
      <c r="D1462">
        <v>75.119949340999995</v>
      </c>
      <c r="E1462">
        <v>50</v>
      </c>
      <c r="F1462">
        <v>49.971233368</v>
      </c>
      <c r="G1462">
        <v>1299.984375</v>
      </c>
      <c r="H1462">
        <v>1286.6920166</v>
      </c>
      <c r="I1462">
        <v>1395.2624512</v>
      </c>
      <c r="J1462">
        <v>1375.7891846</v>
      </c>
      <c r="K1462">
        <v>0</v>
      </c>
      <c r="L1462">
        <v>2400</v>
      </c>
      <c r="M1462">
        <v>2400</v>
      </c>
      <c r="N1462">
        <v>0</v>
      </c>
    </row>
    <row r="1463" spans="1:14" x14ac:dyDescent="0.25">
      <c r="A1463">
        <v>964.43301399999996</v>
      </c>
      <c r="B1463" s="1">
        <f>DATE(2012,12,20) + TIME(10,23,32)</f>
        <v>41263.433009259257</v>
      </c>
      <c r="C1463">
        <v>80</v>
      </c>
      <c r="D1463">
        <v>74.996551514000004</v>
      </c>
      <c r="E1463">
        <v>50</v>
      </c>
      <c r="F1463">
        <v>49.971263884999999</v>
      </c>
      <c r="G1463">
        <v>1299.8574219</v>
      </c>
      <c r="H1463">
        <v>1286.5187988</v>
      </c>
      <c r="I1463">
        <v>1395.2204589999999</v>
      </c>
      <c r="J1463">
        <v>1375.7558594</v>
      </c>
      <c r="K1463">
        <v>0</v>
      </c>
      <c r="L1463">
        <v>2400</v>
      </c>
      <c r="M1463">
        <v>2400</v>
      </c>
      <c r="N1463">
        <v>0</v>
      </c>
    </row>
    <row r="1464" spans="1:14" x14ac:dyDescent="0.25">
      <c r="A1464">
        <v>966.15375800000004</v>
      </c>
      <c r="B1464" s="1">
        <f>DATE(2012,12,22) + TIME(3,41,24)</f>
        <v>41265.153749999998</v>
      </c>
      <c r="C1464">
        <v>80</v>
      </c>
      <c r="D1464">
        <v>74.872177124000004</v>
      </c>
      <c r="E1464">
        <v>50</v>
      </c>
      <c r="F1464">
        <v>49.971294403000002</v>
      </c>
      <c r="G1464">
        <v>1299.7259521000001</v>
      </c>
      <c r="H1464">
        <v>1286.3388672000001</v>
      </c>
      <c r="I1464">
        <v>1395.1789550999999</v>
      </c>
      <c r="J1464">
        <v>1375.7226562000001</v>
      </c>
      <c r="K1464">
        <v>0</v>
      </c>
      <c r="L1464">
        <v>2400</v>
      </c>
      <c r="M1464">
        <v>2400</v>
      </c>
      <c r="N1464">
        <v>0</v>
      </c>
    </row>
    <row r="1465" spans="1:14" x14ac:dyDescent="0.25">
      <c r="A1465">
        <v>967.91360599999996</v>
      </c>
      <c r="B1465" s="1">
        <f>DATE(2012,12,23) + TIME(21,55,35)</f>
        <v>41266.913599537038</v>
      </c>
      <c r="C1465">
        <v>80</v>
      </c>
      <c r="D1465">
        <v>74.746696471999996</v>
      </c>
      <c r="E1465">
        <v>50</v>
      </c>
      <c r="F1465">
        <v>49.971324920999997</v>
      </c>
      <c r="G1465">
        <v>1299.5898437999999</v>
      </c>
      <c r="H1465">
        <v>1286.1518555</v>
      </c>
      <c r="I1465">
        <v>1395.1379394999999</v>
      </c>
      <c r="J1465">
        <v>1375.6896973</v>
      </c>
      <c r="K1465">
        <v>0</v>
      </c>
      <c r="L1465">
        <v>2400</v>
      </c>
      <c r="M1465">
        <v>2400</v>
      </c>
      <c r="N1465">
        <v>0</v>
      </c>
    </row>
    <row r="1466" spans="1:14" x14ac:dyDescent="0.25">
      <c r="A1466">
        <v>969.71645999999998</v>
      </c>
      <c r="B1466" s="1">
        <f>DATE(2012,12,25) + TIME(17,11,42)</f>
        <v>41268.716458333336</v>
      </c>
      <c r="C1466">
        <v>80</v>
      </c>
      <c r="D1466">
        <v>74.619819641000007</v>
      </c>
      <c r="E1466">
        <v>50</v>
      </c>
      <c r="F1466">
        <v>49.971355438000003</v>
      </c>
      <c r="G1466">
        <v>1299.4486084</v>
      </c>
      <c r="H1466">
        <v>1285.9572754000001</v>
      </c>
      <c r="I1466">
        <v>1395.0972899999999</v>
      </c>
      <c r="J1466">
        <v>1375.6568603999999</v>
      </c>
      <c r="K1466">
        <v>0</v>
      </c>
      <c r="L1466">
        <v>2400</v>
      </c>
      <c r="M1466">
        <v>2400</v>
      </c>
      <c r="N1466">
        <v>0</v>
      </c>
    </row>
    <row r="1467" spans="1:14" x14ac:dyDescent="0.25">
      <c r="A1467">
        <v>971.56638699999996</v>
      </c>
      <c r="B1467" s="1">
        <f>DATE(2012,12,27) + TIME(13,35,35)</f>
        <v>41270.566377314812</v>
      </c>
      <c r="C1467">
        <v>80</v>
      </c>
      <c r="D1467">
        <v>74.491271972999996</v>
      </c>
      <c r="E1467">
        <v>50</v>
      </c>
      <c r="F1467">
        <v>49.971389770999998</v>
      </c>
      <c r="G1467">
        <v>1299.3020019999999</v>
      </c>
      <c r="H1467">
        <v>1285.7546387</v>
      </c>
      <c r="I1467">
        <v>1395.0567627</v>
      </c>
      <c r="J1467">
        <v>1375.6240233999999</v>
      </c>
      <c r="K1467">
        <v>0</v>
      </c>
      <c r="L1467">
        <v>2400</v>
      </c>
      <c r="M1467">
        <v>2400</v>
      </c>
      <c r="N1467">
        <v>0</v>
      </c>
    </row>
    <row r="1468" spans="1:14" x14ac:dyDescent="0.25">
      <c r="A1468">
        <v>973.46751700000004</v>
      </c>
      <c r="B1468" s="1">
        <f>DATE(2012,12,29) + TIME(11,13,13)</f>
        <v>41272.467511574076</v>
      </c>
      <c r="C1468">
        <v>80</v>
      </c>
      <c r="D1468">
        <v>74.360755920000003</v>
      </c>
      <c r="E1468">
        <v>50</v>
      </c>
      <c r="F1468">
        <v>49.971427917</v>
      </c>
      <c r="G1468">
        <v>1299.1495361</v>
      </c>
      <c r="H1468">
        <v>1285.543457</v>
      </c>
      <c r="I1468">
        <v>1395.0164795000001</v>
      </c>
      <c r="J1468">
        <v>1375.5911865</v>
      </c>
      <c r="K1468">
        <v>0</v>
      </c>
      <c r="L1468">
        <v>2400</v>
      </c>
      <c r="M1468">
        <v>2400</v>
      </c>
      <c r="N1468">
        <v>0</v>
      </c>
    </row>
    <row r="1469" spans="1:14" x14ac:dyDescent="0.25">
      <c r="A1469">
        <v>975.42421000000002</v>
      </c>
      <c r="B1469" s="1">
        <f>DATE(2012,12,31) + TIME(10,10,51)</f>
        <v>41274.424201388887</v>
      </c>
      <c r="C1469">
        <v>80</v>
      </c>
      <c r="D1469">
        <v>74.227981567</v>
      </c>
      <c r="E1469">
        <v>50</v>
      </c>
      <c r="F1469">
        <v>49.971462250000002</v>
      </c>
      <c r="G1469">
        <v>1298.9908447</v>
      </c>
      <c r="H1469">
        <v>1285.322876</v>
      </c>
      <c r="I1469">
        <v>1394.9761963000001</v>
      </c>
      <c r="J1469">
        <v>1375.5583495999999</v>
      </c>
      <c r="K1469">
        <v>0</v>
      </c>
      <c r="L1469">
        <v>2400</v>
      </c>
      <c r="M1469">
        <v>2400</v>
      </c>
      <c r="N1469">
        <v>0</v>
      </c>
    </row>
    <row r="1470" spans="1:14" x14ac:dyDescent="0.25">
      <c r="A1470">
        <v>976</v>
      </c>
      <c r="B1470" s="1">
        <f>DATE(2013,1,1) + TIME(0,0,0)</f>
        <v>41275</v>
      </c>
      <c r="C1470">
        <v>80</v>
      </c>
      <c r="D1470">
        <v>74.148086547999995</v>
      </c>
      <c r="E1470">
        <v>50</v>
      </c>
      <c r="F1470">
        <v>49.971454620000003</v>
      </c>
      <c r="G1470">
        <v>1298.8522949000001</v>
      </c>
      <c r="H1470">
        <v>1285.1352539</v>
      </c>
      <c r="I1470">
        <v>1394.9418945</v>
      </c>
      <c r="J1470">
        <v>1375.5307617000001</v>
      </c>
      <c r="K1470">
        <v>0</v>
      </c>
      <c r="L1470">
        <v>2400</v>
      </c>
      <c r="M1470">
        <v>2400</v>
      </c>
      <c r="N1470">
        <v>0</v>
      </c>
    </row>
    <row r="1471" spans="1:14" x14ac:dyDescent="0.25">
      <c r="A1471">
        <v>978.00674300000003</v>
      </c>
      <c r="B1471" s="1">
        <f>DATE(2013,1,3) + TIME(0,9,42)</f>
        <v>41277.006736111114</v>
      </c>
      <c r="C1471">
        <v>80</v>
      </c>
      <c r="D1471">
        <v>74.042015075999998</v>
      </c>
      <c r="E1471">
        <v>50</v>
      </c>
      <c r="F1471">
        <v>49.971511841000002</v>
      </c>
      <c r="G1471">
        <v>1298.7670897999999</v>
      </c>
      <c r="H1471">
        <v>1285.0081786999999</v>
      </c>
      <c r="I1471">
        <v>1394.9229736</v>
      </c>
      <c r="J1471">
        <v>1375.5145264</v>
      </c>
      <c r="K1471">
        <v>0</v>
      </c>
      <c r="L1471">
        <v>2400</v>
      </c>
      <c r="M1471">
        <v>2400</v>
      </c>
      <c r="N1471">
        <v>0</v>
      </c>
    </row>
    <row r="1472" spans="1:14" x14ac:dyDescent="0.25">
      <c r="A1472">
        <v>980.05298900000003</v>
      </c>
      <c r="B1472" s="1">
        <f>DATE(2013,1,5) + TIME(1,16,18)</f>
        <v>41279.052986111114</v>
      </c>
      <c r="C1472">
        <v>80</v>
      </c>
      <c r="D1472">
        <v>73.913238524999997</v>
      </c>
      <c r="E1472">
        <v>50</v>
      </c>
      <c r="F1472">
        <v>49.971549988</v>
      </c>
      <c r="G1472">
        <v>1298.6015625</v>
      </c>
      <c r="H1472">
        <v>1284.7788086</v>
      </c>
      <c r="I1472">
        <v>1394.8843993999999</v>
      </c>
      <c r="J1472">
        <v>1375.4827881000001</v>
      </c>
      <c r="K1472">
        <v>0</v>
      </c>
      <c r="L1472">
        <v>2400</v>
      </c>
      <c r="M1472">
        <v>2400</v>
      </c>
      <c r="N1472">
        <v>0</v>
      </c>
    </row>
    <row r="1473" spans="1:14" x14ac:dyDescent="0.25">
      <c r="A1473">
        <v>982.13908600000002</v>
      </c>
      <c r="B1473" s="1">
        <f>DATE(2013,1,7) + TIME(3,20,17)</f>
        <v>41281.139085648145</v>
      </c>
      <c r="C1473">
        <v>80</v>
      </c>
      <c r="D1473">
        <v>73.776802063000005</v>
      </c>
      <c r="E1473">
        <v>50</v>
      </c>
      <c r="F1473">
        <v>49.971591949</v>
      </c>
      <c r="G1473">
        <v>1298.4254149999999</v>
      </c>
      <c r="H1473">
        <v>1284.5327147999999</v>
      </c>
      <c r="I1473">
        <v>1394.8450928</v>
      </c>
      <c r="J1473">
        <v>1375.4500731999999</v>
      </c>
      <c r="K1473">
        <v>0</v>
      </c>
      <c r="L1473">
        <v>2400</v>
      </c>
      <c r="M1473">
        <v>2400</v>
      </c>
      <c r="N1473">
        <v>0</v>
      </c>
    </row>
    <row r="1474" spans="1:14" x14ac:dyDescent="0.25">
      <c r="A1474">
        <v>984.26714600000003</v>
      </c>
      <c r="B1474" s="1">
        <f>DATE(2013,1,9) + TIME(6,24,41)</f>
        <v>41283.267141203702</v>
      </c>
      <c r="C1474">
        <v>80</v>
      </c>
      <c r="D1474">
        <v>73.636955260999997</v>
      </c>
      <c r="E1474">
        <v>50</v>
      </c>
      <c r="F1474">
        <v>49.971630095999998</v>
      </c>
      <c r="G1474">
        <v>1298.2425536999999</v>
      </c>
      <c r="H1474">
        <v>1284.2762451000001</v>
      </c>
      <c r="I1474">
        <v>1394.8059082</v>
      </c>
      <c r="J1474">
        <v>1375.4174805</v>
      </c>
      <c r="K1474">
        <v>0</v>
      </c>
      <c r="L1474">
        <v>2400</v>
      </c>
      <c r="M1474">
        <v>2400</v>
      </c>
      <c r="N1474">
        <v>0</v>
      </c>
    </row>
    <row r="1475" spans="1:14" x14ac:dyDescent="0.25">
      <c r="A1475">
        <v>986.44057199999997</v>
      </c>
      <c r="B1475" s="1">
        <f>DATE(2013,1,11) + TIME(10,34,25)</f>
        <v>41285.440567129626</v>
      </c>
      <c r="C1475">
        <v>80</v>
      </c>
      <c r="D1475">
        <v>73.494689941000004</v>
      </c>
      <c r="E1475">
        <v>50</v>
      </c>
      <c r="F1475">
        <v>49.971672058000003</v>
      </c>
      <c r="G1475">
        <v>1298.0535889</v>
      </c>
      <c r="H1475">
        <v>1284.010376</v>
      </c>
      <c r="I1475">
        <v>1394.7669678</v>
      </c>
      <c r="J1475">
        <v>1375.3848877</v>
      </c>
      <c r="K1475">
        <v>0</v>
      </c>
      <c r="L1475">
        <v>2400</v>
      </c>
      <c r="M1475">
        <v>2400</v>
      </c>
      <c r="N1475">
        <v>0</v>
      </c>
    </row>
    <row r="1476" spans="1:14" x14ac:dyDescent="0.25">
      <c r="A1476">
        <v>988.66324199999997</v>
      </c>
      <c r="B1476" s="1">
        <f>DATE(2013,1,13) + TIME(15,55,4)</f>
        <v>41287.663240740738</v>
      </c>
      <c r="C1476">
        <v>80</v>
      </c>
      <c r="D1476">
        <v>73.350044249999996</v>
      </c>
      <c r="E1476">
        <v>50</v>
      </c>
      <c r="F1476">
        <v>49.971717834000003</v>
      </c>
      <c r="G1476">
        <v>1297.8583983999999</v>
      </c>
      <c r="H1476">
        <v>1283.7353516000001</v>
      </c>
      <c r="I1476">
        <v>1394.7282714999999</v>
      </c>
      <c r="J1476">
        <v>1375.3524170000001</v>
      </c>
      <c r="K1476">
        <v>0</v>
      </c>
      <c r="L1476">
        <v>2400</v>
      </c>
      <c r="M1476">
        <v>2400</v>
      </c>
      <c r="N1476">
        <v>0</v>
      </c>
    </row>
    <row r="1477" spans="1:14" x14ac:dyDescent="0.25">
      <c r="A1477">
        <v>990.93917699999997</v>
      </c>
      <c r="B1477" s="1">
        <f>DATE(2013,1,15) + TIME(22,32,24)</f>
        <v>41289.939166666663</v>
      </c>
      <c r="C1477">
        <v>80</v>
      </c>
      <c r="D1477">
        <v>73.202751160000005</v>
      </c>
      <c r="E1477">
        <v>50</v>
      </c>
      <c r="F1477">
        <v>49.971759796000001</v>
      </c>
      <c r="G1477">
        <v>1297.6567382999999</v>
      </c>
      <c r="H1477">
        <v>1283.4505615</v>
      </c>
      <c r="I1477">
        <v>1394.6896973</v>
      </c>
      <c r="J1477">
        <v>1375.3198242000001</v>
      </c>
      <c r="K1477">
        <v>0</v>
      </c>
      <c r="L1477">
        <v>2400</v>
      </c>
      <c r="M1477">
        <v>2400</v>
      </c>
      <c r="N1477">
        <v>0</v>
      </c>
    </row>
    <row r="1478" spans="1:14" x14ac:dyDescent="0.25">
      <c r="A1478">
        <v>993.25543700000003</v>
      </c>
      <c r="B1478" s="1">
        <f>DATE(2013,1,18) + TIME(6,7,49)</f>
        <v>41292.255428240744</v>
      </c>
      <c r="C1478">
        <v>80</v>
      </c>
      <c r="D1478">
        <v>73.052703856999997</v>
      </c>
      <c r="E1478">
        <v>50</v>
      </c>
      <c r="F1478">
        <v>49.971805572999997</v>
      </c>
      <c r="G1478">
        <v>1297.4484863</v>
      </c>
      <c r="H1478">
        <v>1283.1558838000001</v>
      </c>
      <c r="I1478">
        <v>1394.6511230000001</v>
      </c>
      <c r="J1478">
        <v>1375.2871094</v>
      </c>
      <c r="K1478">
        <v>0</v>
      </c>
      <c r="L1478">
        <v>2400</v>
      </c>
      <c r="M1478">
        <v>2400</v>
      </c>
      <c r="N1478">
        <v>0</v>
      </c>
    </row>
    <row r="1479" spans="1:14" x14ac:dyDescent="0.25">
      <c r="A1479">
        <v>995.60872500000005</v>
      </c>
      <c r="B1479" s="1">
        <f>DATE(2013,1,20) + TIME(14,36,33)</f>
        <v>41294.608715277776</v>
      </c>
      <c r="C1479">
        <v>80</v>
      </c>
      <c r="D1479">
        <v>72.900245666999993</v>
      </c>
      <c r="E1479">
        <v>50</v>
      </c>
      <c r="F1479">
        <v>49.971851348999998</v>
      </c>
      <c r="G1479">
        <v>1297.2342529</v>
      </c>
      <c r="H1479">
        <v>1282.8522949000001</v>
      </c>
      <c r="I1479">
        <v>1394.612793</v>
      </c>
      <c r="J1479">
        <v>1375.2545166</v>
      </c>
      <c r="K1479">
        <v>0</v>
      </c>
      <c r="L1479">
        <v>2400</v>
      </c>
      <c r="M1479">
        <v>2400</v>
      </c>
      <c r="N1479">
        <v>0</v>
      </c>
    </row>
    <row r="1480" spans="1:14" x14ac:dyDescent="0.25">
      <c r="A1480">
        <v>998.00362500000006</v>
      </c>
      <c r="B1480" s="1">
        <f>DATE(2013,1,23) + TIME(0,5,13)</f>
        <v>41297.003622685188</v>
      </c>
      <c r="C1480">
        <v>80</v>
      </c>
      <c r="D1480">
        <v>72.745376586999996</v>
      </c>
      <c r="E1480">
        <v>50</v>
      </c>
      <c r="F1480">
        <v>49.971897124999998</v>
      </c>
      <c r="G1480">
        <v>1297.0145264</v>
      </c>
      <c r="H1480">
        <v>1282.5402832</v>
      </c>
      <c r="I1480">
        <v>1394.574707</v>
      </c>
      <c r="J1480">
        <v>1375.2220459</v>
      </c>
      <c r="K1480">
        <v>0</v>
      </c>
      <c r="L1480">
        <v>2400</v>
      </c>
      <c r="M1480">
        <v>2400</v>
      </c>
      <c r="N1480">
        <v>0</v>
      </c>
    </row>
    <row r="1481" spans="1:14" x14ac:dyDescent="0.25">
      <c r="A1481">
        <v>1000.444631</v>
      </c>
      <c r="B1481" s="1">
        <f>DATE(2013,1,25) + TIME(10,40,16)</f>
        <v>41299.44462962963</v>
      </c>
      <c r="C1481">
        <v>80</v>
      </c>
      <c r="D1481">
        <v>72.587715149000005</v>
      </c>
      <c r="E1481">
        <v>50</v>
      </c>
      <c r="F1481">
        <v>49.971946715999998</v>
      </c>
      <c r="G1481">
        <v>1296.7890625</v>
      </c>
      <c r="H1481">
        <v>1282.2193603999999</v>
      </c>
      <c r="I1481">
        <v>1394.5368652</v>
      </c>
      <c r="J1481">
        <v>1375.1895752</v>
      </c>
      <c r="K1481">
        <v>0</v>
      </c>
      <c r="L1481">
        <v>2400</v>
      </c>
      <c r="M1481">
        <v>2400</v>
      </c>
      <c r="N1481">
        <v>0</v>
      </c>
    </row>
    <row r="1482" spans="1:14" x14ac:dyDescent="0.25">
      <c r="A1482">
        <v>1002.936296</v>
      </c>
      <c r="B1482" s="1">
        <f>DATE(2013,1,27) + TIME(22,28,15)</f>
        <v>41301.936284722222</v>
      </c>
      <c r="C1482">
        <v>80</v>
      </c>
      <c r="D1482">
        <v>72.426780700999998</v>
      </c>
      <c r="E1482">
        <v>50</v>
      </c>
      <c r="F1482">
        <v>49.971996306999998</v>
      </c>
      <c r="G1482">
        <v>1296.5571289</v>
      </c>
      <c r="H1482">
        <v>1281.8891602000001</v>
      </c>
      <c r="I1482">
        <v>1394.4991454999999</v>
      </c>
      <c r="J1482">
        <v>1375.1569824000001</v>
      </c>
      <c r="K1482">
        <v>0</v>
      </c>
      <c r="L1482">
        <v>2400</v>
      </c>
      <c r="M1482">
        <v>2400</v>
      </c>
      <c r="N1482">
        <v>0</v>
      </c>
    </row>
    <row r="1483" spans="1:14" x14ac:dyDescent="0.25">
      <c r="A1483">
        <v>1005.483143</v>
      </c>
      <c r="B1483" s="1">
        <f>DATE(2013,1,30) + TIME(11,35,43)</f>
        <v>41304.483136574076</v>
      </c>
      <c r="C1483">
        <v>80</v>
      </c>
      <c r="D1483">
        <v>72.262062072999996</v>
      </c>
      <c r="E1483">
        <v>50</v>
      </c>
      <c r="F1483">
        <v>49.972045897999998</v>
      </c>
      <c r="G1483">
        <v>1296.3186035000001</v>
      </c>
      <c r="H1483">
        <v>1281.5487060999999</v>
      </c>
      <c r="I1483">
        <v>1394.4614257999999</v>
      </c>
      <c r="J1483">
        <v>1375.1243896000001</v>
      </c>
      <c r="K1483">
        <v>0</v>
      </c>
      <c r="L1483">
        <v>2400</v>
      </c>
      <c r="M1483">
        <v>2400</v>
      </c>
      <c r="N1483">
        <v>0</v>
      </c>
    </row>
    <row r="1484" spans="1:14" x14ac:dyDescent="0.25">
      <c r="A1484">
        <v>1007</v>
      </c>
      <c r="B1484" s="1">
        <f>DATE(2013,2,1) + TIME(0,0,0)</f>
        <v>41306</v>
      </c>
      <c r="C1484">
        <v>80</v>
      </c>
      <c r="D1484">
        <v>72.116050720000004</v>
      </c>
      <c r="E1484">
        <v>50</v>
      </c>
      <c r="F1484">
        <v>49.972068786999998</v>
      </c>
      <c r="G1484">
        <v>1296.0861815999999</v>
      </c>
      <c r="H1484">
        <v>1281.2203368999999</v>
      </c>
      <c r="I1484">
        <v>1394.4261475000001</v>
      </c>
      <c r="J1484">
        <v>1375.0939940999999</v>
      </c>
      <c r="K1484">
        <v>0</v>
      </c>
      <c r="L1484">
        <v>2400</v>
      </c>
      <c r="M1484">
        <v>2400</v>
      </c>
      <c r="N1484">
        <v>0</v>
      </c>
    </row>
    <row r="1485" spans="1:14" x14ac:dyDescent="0.25">
      <c r="A1485">
        <v>1009.593228</v>
      </c>
      <c r="B1485" s="1">
        <f>DATE(2013,2,3) + TIME(14,14,14)</f>
        <v>41308.593217592592</v>
      </c>
      <c r="C1485">
        <v>80</v>
      </c>
      <c r="D1485">
        <v>71.981658936000002</v>
      </c>
      <c r="E1485">
        <v>50</v>
      </c>
      <c r="F1485">
        <v>49.972126007</v>
      </c>
      <c r="G1485">
        <v>1295.9144286999999</v>
      </c>
      <c r="H1485">
        <v>1280.9663086</v>
      </c>
      <c r="I1485">
        <v>1394.4006348</v>
      </c>
      <c r="J1485">
        <v>1375.0714111</v>
      </c>
      <c r="K1485">
        <v>0</v>
      </c>
      <c r="L1485">
        <v>2400</v>
      </c>
      <c r="M1485">
        <v>2400</v>
      </c>
      <c r="N1485">
        <v>0</v>
      </c>
    </row>
    <row r="1486" spans="1:14" x14ac:dyDescent="0.25">
      <c r="A1486">
        <v>1012.267023</v>
      </c>
      <c r="B1486" s="1">
        <f>DATE(2013,2,6) + TIME(6,24,30)</f>
        <v>41311.267013888886</v>
      </c>
      <c r="C1486">
        <v>80</v>
      </c>
      <c r="D1486">
        <v>71.815521239999995</v>
      </c>
      <c r="E1486">
        <v>50</v>
      </c>
      <c r="F1486">
        <v>49.972179412999999</v>
      </c>
      <c r="G1486">
        <v>1295.6691894999999</v>
      </c>
      <c r="H1486">
        <v>1280.6184082</v>
      </c>
      <c r="I1486">
        <v>1394.3641356999999</v>
      </c>
      <c r="J1486">
        <v>1375.0395507999999</v>
      </c>
      <c r="K1486">
        <v>0</v>
      </c>
      <c r="L1486">
        <v>2400</v>
      </c>
      <c r="M1486">
        <v>2400</v>
      </c>
      <c r="N1486">
        <v>0</v>
      </c>
    </row>
    <row r="1487" spans="1:14" x14ac:dyDescent="0.25">
      <c r="A1487">
        <v>1014.999135</v>
      </c>
      <c r="B1487" s="1">
        <f>DATE(2013,2,8) + TIME(23,58,45)</f>
        <v>41313.999131944445</v>
      </c>
      <c r="C1487">
        <v>80</v>
      </c>
      <c r="D1487">
        <v>71.636863708000007</v>
      </c>
      <c r="E1487">
        <v>50</v>
      </c>
      <c r="F1487">
        <v>49.972232818999998</v>
      </c>
      <c r="G1487">
        <v>1295.4084473</v>
      </c>
      <c r="H1487">
        <v>1280.2453613</v>
      </c>
      <c r="I1487">
        <v>1394.3265381000001</v>
      </c>
      <c r="J1487">
        <v>1375.0065918</v>
      </c>
      <c r="K1487">
        <v>0</v>
      </c>
      <c r="L1487">
        <v>2400</v>
      </c>
      <c r="M1487">
        <v>2400</v>
      </c>
      <c r="N1487">
        <v>0</v>
      </c>
    </row>
    <row r="1488" spans="1:14" x14ac:dyDescent="0.25">
      <c r="A1488">
        <v>1017.79399</v>
      </c>
      <c r="B1488" s="1">
        <f>DATE(2013,2,11) + TIME(19,3,20)</f>
        <v>41316.793981481482</v>
      </c>
      <c r="C1488">
        <v>80</v>
      </c>
      <c r="D1488">
        <v>71.450851439999994</v>
      </c>
      <c r="E1488">
        <v>50</v>
      </c>
      <c r="F1488">
        <v>49.972286224000001</v>
      </c>
      <c r="G1488">
        <v>1295.1384277</v>
      </c>
      <c r="H1488">
        <v>1279.8577881000001</v>
      </c>
      <c r="I1488">
        <v>1394.2888184000001</v>
      </c>
      <c r="J1488">
        <v>1374.9733887</v>
      </c>
      <c r="K1488">
        <v>0</v>
      </c>
      <c r="L1488">
        <v>2400</v>
      </c>
      <c r="M1488">
        <v>2400</v>
      </c>
      <c r="N1488">
        <v>0</v>
      </c>
    </row>
    <row r="1489" spans="1:14" x14ac:dyDescent="0.25">
      <c r="A1489">
        <v>1020.657205</v>
      </c>
      <c r="B1489" s="1">
        <f>DATE(2013,2,14) + TIME(15,46,22)</f>
        <v>41319.657199074078</v>
      </c>
      <c r="C1489">
        <v>80</v>
      </c>
      <c r="D1489">
        <v>71.258049010999997</v>
      </c>
      <c r="E1489">
        <v>50</v>
      </c>
      <c r="F1489">
        <v>49.972343445</v>
      </c>
      <c r="G1489">
        <v>1294.8599853999999</v>
      </c>
      <c r="H1489">
        <v>1279.4572754000001</v>
      </c>
      <c r="I1489">
        <v>1394.2508545000001</v>
      </c>
      <c r="J1489">
        <v>1374.9398193</v>
      </c>
      <c r="K1489">
        <v>0</v>
      </c>
      <c r="L1489">
        <v>2400</v>
      </c>
      <c r="M1489">
        <v>2400</v>
      </c>
      <c r="N1489">
        <v>0</v>
      </c>
    </row>
    <row r="1490" spans="1:14" x14ac:dyDescent="0.25">
      <c r="A1490">
        <v>1023.594047</v>
      </c>
      <c r="B1490" s="1">
        <f>DATE(2013,2,17) + TIME(14,15,25)</f>
        <v>41322.594039351854</v>
      </c>
      <c r="C1490">
        <v>80</v>
      </c>
      <c r="D1490">
        <v>71.057891846000004</v>
      </c>
      <c r="E1490">
        <v>50</v>
      </c>
      <c r="F1490">
        <v>49.972400665000002</v>
      </c>
      <c r="G1490">
        <v>1294.572876</v>
      </c>
      <c r="H1490">
        <v>1279.0435791</v>
      </c>
      <c r="I1490">
        <v>1394.2126464999999</v>
      </c>
      <c r="J1490">
        <v>1374.9058838000001</v>
      </c>
      <c r="K1490">
        <v>0</v>
      </c>
      <c r="L1490">
        <v>2400</v>
      </c>
      <c r="M1490">
        <v>2400</v>
      </c>
      <c r="N1490">
        <v>0</v>
      </c>
    </row>
    <row r="1491" spans="1:14" x14ac:dyDescent="0.25">
      <c r="A1491">
        <v>1026.583568</v>
      </c>
      <c r="B1491" s="1">
        <f>DATE(2013,2,20) + TIME(14,0,20)</f>
        <v>41325.583564814813</v>
      </c>
      <c r="C1491">
        <v>80</v>
      </c>
      <c r="D1491">
        <v>70.849884032999995</v>
      </c>
      <c r="E1491">
        <v>50</v>
      </c>
      <c r="F1491">
        <v>49.972457886000001</v>
      </c>
      <c r="G1491">
        <v>1294.2764893000001</v>
      </c>
      <c r="H1491">
        <v>1278.6162108999999</v>
      </c>
      <c r="I1491">
        <v>1394.1741943</v>
      </c>
      <c r="J1491">
        <v>1374.871582</v>
      </c>
      <c r="K1491">
        <v>0</v>
      </c>
      <c r="L1491">
        <v>2400</v>
      </c>
      <c r="M1491">
        <v>2400</v>
      </c>
      <c r="N1491">
        <v>0</v>
      </c>
    </row>
    <row r="1492" spans="1:14" x14ac:dyDescent="0.25">
      <c r="A1492">
        <v>1029.6280879999999</v>
      </c>
      <c r="B1492" s="1">
        <f>DATE(2013,2,23) + TIME(15,4,26)</f>
        <v>41328.628078703703</v>
      </c>
      <c r="C1492">
        <v>80</v>
      </c>
      <c r="D1492">
        <v>70.634346007999994</v>
      </c>
      <c r="E1492">
        <v>50</v>
      </c>
      <c r="F1492">
        <v>49.972515106000003</v>
      </c>
      <c r="G1492">
        <v>1293.9727783000001</v>
      </c>
      <c r="H1492">
        <v>1278.177124</v>
      </c>
      <c r="I1492">
        <v>1394.1356201000001</v>
      </c>
      <c r="J1492">
        <v>1374.8371582</v>
      </c>
      <c r="K1492">
        <v>0</v>
      </c>
      <c r="L1492">
        <v>2400</v>
      </c>
      <c r="M1492">
        <v>2400</v>
      </c>
      <c r="N1492">
        <v>0</v>
      </c>
    </row>
    <row r="1493" spans="1:14" x14ac:dyDescent="0.25">
      <c r="A1493">
        <v>1032.7334080000001</v>
      </c>
      <c r="B1493" s="1">
        <f>DATE(2013,2,26) + TIME(17,36,6)</f>
        <v>41331.733402777776</v>
      </c>
      <c r="C1493">
        <v>80</v>
      </c>
      <c r="D1493">
        <v>70.410713196000003</v>
      </c>
      <c r="E1493">
        <v>50</v>
      </c>
      <c r="F1493">
        <v>49.972576140999998</v>
      </c>
      <c r="G1493">
        <v>1293.661499</v>
      </c>
      <c r="H1493">
        <v>1277.7265625</v>
      </c>
      <c r="I1493">
        <v>1394.0969238</v>
      </c>
      <c r="J1493">
        <v>1374.8023682</v>
      </c>
      <c r="K1493">
        <v>0</v>
      </c>
      <c r="L1493">
        <v>2400</v>
      </c>
      <c r="M1493">
        <v>2400</v>
      </c>
      <c r="N1493">
        <v>0</v>
      </c>
    </row>
    <row r="1494" spans="1:14" x14ac:dyDescent="0.25">
      <c r="A1494">
        <v>1035</v>
      </c>
      <c r="B1494" s="1">
        <f>DATE(2013,3,1) + TIME(0,0,0)</f>
        <v>41334</v>
      </c>
      <c r="C1494">
        <v>80</v>
      </c>
      <c r="D1494">
        <v>70.193656920999999</v>
      </c>
      <c r="E1494">
        <v>50</v>
      </c>
      <c r="F1494">
        <v>49.972614288000003</v>
      </c>
      <c r="G1494">
        <v>1293.3508300999999</v>
      </c>
      <c r="H1494">
        <v>1277.2794189000001</v>
      </c>
      <c r="I1494">
        <v>1394.0599365</v>
      </c>
      <c r="J1494">
        <v>1374.7691649999999</v>
      </c>
      <c r="K1494">
        <v>0</v>
      </c>
      <c r="L1494">
        <v>2400</v>
      </c>
      <c r="M1494">
        <v>2400</v>
      </c>
      <c r="N1494">
        <v>0</v>
      </c>
    </row>
    <row r="1495" spans="1:14" x14ac:dyDescent="0.25">
      <c r="A1495">
        <v>1038.1721600000001</v>
      </c>
      <c r="B1495" s="1">
        <f>DATE(2013,3,4) + TIME(4,7,54)</f>
        <v>41337.172152777777</v>
      </c>
      <c r="C1495">
        <v>80</v>
      </c>
      <c r="D1495">
        <v>69.995979309000006</v>
      </c>
      <c r="E1495">
        <v>50</v>
      </c>
      <c r="F1495">
        <v>49.972679137999997</v>
      </c>
      <c r="G1495">
        <v>1293.0980225000001</v>
      </c>
      <c r="H1495">
        <v>1276.9041748</v>
      </c>
      <c r="I1495">
        <v>1394.0291748</v>
      </c>
      <c r="J1495">
        <v>1374.7410889</v>
      </c>
      <c r="K1495">
        <v>0</v>
      </c>
      <c r="L1495">
        <v>2400</v>
      </c>
      <c r="M1495">
        <v>2400</v>
      </c>
      <c r="N1495">
        <v>0</v>
      </c>
    </row>
    <row r="1496" spans="1:14" x14ac:dyDescent="0.25">
      <c r="A1496">
        <v>1041.4723839999999</v>
      </c>
      <c r="B1496" s="1">
        <f>DATE(2013,3,7) + TIME(11,20,13)</f>
        <v>41340.472372685188</v>
      </c>
      <c r="C1496">
        <v>80</v>
      </c>
      <c r="D1496">
        <v>69.755889893000003</v>
      </c>
      <c r="E1496">
        <v>50</v>
      </c>
      <c r="F1496">
        <v>49.972743987999998</v>
      </c>
      <c r="G1496">
        <v>1292.7763672000001</v>
      </c>
      <c r="H1496">
        <v>1276.4399414</v>
      </c>
      <c r="I1496">
        <v>1393.9908447</v>
      </c>
      <c r="J1496">
        <v>1374.7062988</v>
      </c>
      <c r="K1496">
        <v>0</v>
      </c>
      <c r="L1496">
        <v>2400</v>
      </c>
      <c r="M1496">
        <v>2400</v>
      </c>
      <c r="N1496">
        <v>0</v>
      </c>
    </row>
    <row r="1497" spans="1:14" x14ac:dyDescent="0.25">
      <c r="A1497">
        <v>1044.8583410000001</v>
      </c>
      <c r="B1497" s="1">
        <f>DATE(2013,3,10) + TIME(20,36,0)</f>
        <v>41343.85833333333</v>
      </c>
      <c r="C1497">
        <v>80</v>
      </c>
      <c r="D1497">
        <v>69.494445800999998</v>
      </c>
      <c r="E1497">
        <v>50</v>
      </c>
      <c r="F1497">
        <v>49.972805022999999</v>
      </c>
      <c r="G1497">
        <v>1292.4345702999999</v>
      </c>
      <c r="H1497">
        <v>1275.9433594</v>
      </c>
      <c r="I1497">
        <v>1393.9510498</v>
      </c>
      <c r="J1497">
        <v>1374.6701660000001</v>
      </c>
      <c r="K1497">
        <v>0</v>
      </c>
      <c r="L1497">
        <v>2400</v>
      </c>
      <c r="M1497">
        <v>2400</v>
      </c>
      <c r="N1497">
        <v>0</v>
      </c>
    </row>
    <row r="1498" spans="1:14" x14ac:dyDescent="0.25">
      <c r="A1498">
        <v>1048.307331</v>
      </c>
      <c r="B1498" s="1">
        <f>DATE(2013,3,14) + TIME(7,22,33)</f>
        <v>41347.307326388887</v>
      </c>
      <c r="C1498">
        <v>80</v>
      </c>
      <c r="D1498">
        <v>69.21812439</v>
      </c>
      <c r="E1498">
        <v>50</v>
      </c>
      <c r="F1498">
        <v>49.972869873</v>
      </c>
      <c r="G1498">
        <v>1292.0810547000001</v>
      </c>
      <c r="H1498">
        <v>1275.4276123</v>
      </c>
      <c r="I1498">
        <v>1393.9107666</v>
      </c>
      <c r="J1498">
        <v>1374.6334228999999</v>
      </c>
      <c r="K1498">
        <v>0</v>
      </c>
      <c r="L1498">
        <v>2400</v>
      </c>
      <c r="M1498">
        <v>2400</v>
      </c>
      <c r="N1498">
        <v>0</v>
      </c>
    </row>
    <row r="1499" spans="1:14" x14ac:dyDescent="0.25">
      <c r="A1499">
        <v>1051.82296</v>
      </c>
      <c r="B1499" s="1">
        <f>DATE(2013,3,17) + TIME(19,45,3)</f>
        <v>41350.822951388887</v>
      </c>
      <c r="C1499">
        <v>80</v>
      </c>
      <c r="D1499">
        <v>68.928115844999994</v>
      </c>
      <c r="E1499">
        <v>50</v>
      </c>
      <c r="F1499">
        <v>49.972938538000001</v>
      </c>
      <c r="G1499">
        <v>1291.7186279</v>
      </c>
      <c r="H1499">
        <v>1274.8978271000001</v>
      </c>
      <c r="I1499">
        <v>1393.8699951000001</v>
      </c>
      <c r="J1499">
        <v>1374.5960693</v>
      </c>
      <c r="K1499">
        <v>0</v>
      </c>
      <c r="L1499">
        <v>2400</v>
      </c>
      <c r="M1499">
        <v>2400</v>
      </c>
      <c r="N1499">
        <v>0</v>
      </c>
    </row>
    <row r="1500" spans="1:14" x14ac:dyDescent="0.25">
      <c r="A1500">
        <v>1055.412736</v>
      </c>
      <c r="B1500" s="1">
        <f>DATE(2013,3,21) + TIME(9,54,20)</f>
        <v>41354.412731481483</v>
      </c>
      <c r="C1500">
        <v>80</v>
      </c>
      <c r="D1500">
        <v>68.623847960999996</v>
      </c>
      <c r="E1500">
        <v>50</v>
      </c>
      <c r="F1500">
        <v>49.973003386999999</v>
      </c>
      <c r="G1500">
        <v>1291.3479004000001</v>
      </c>
      <c r="H1500">
        <v>1274.3543701000001</v>
      </c>
      <c r="I1500">
        <v>1393.8289795000001</v>
      </c>
      <c r="J1500">
        <v>1374.5583495999999</v>
      </c>
      <c r="K1500">
        <v>0</v>
      </c>
      <c r="L1500">
        <v>2400</v>
      </c>
      <c r="M1500">
        <v>2400</v>
      </c>
      <c r="N1500">
        <v>0</v>
      </c>
    </row>
    <row r="1501" spans="1:14" x14ac:dyDescent="0.25">
      <c r="A1501">
        <v>1059.08539</v>
      </c>
      <c r="B1501" s="1">
        <f>DATE(2013,3,25) + TIME(2,2,57)</f>
        <v>41358.085381944446</v>
      </c>
      <c r="C1501">
        <v>80</v>
      </c>
      <c r="D1501">
        <v>68.303733825999998</v>
      </c>
      <c r="E1501">
        <v>50</v>
      </c>
      <c r="F1501">
        <v>49.973072051999999</v>
      </c>
      <c r="G1501">
        <v>1290.9680175999999</v>
      </c>
      <c r="H1501">
        <v>1273.7965088000001</v>
      </c>
      <c r="I1501">
        <v>1393.7873535000001</v>
      </c>
      <c r="J1501">
        <v>1374.5200195</v>
      </c>
      <c r="K1501">
        <v>0</v>
      </c>
      <c r="L1501">
        <v>2400</v>
      </c>
      <c r="M1501">
        <v>2400</v>
      </c>
      <c r="N1501">
        <v>0</v>
      </c>
    </row>
    <row r="1502" spans="1:14" x14ac:dyDescent="0.25">
      <c r="A1502">
        <v>1062.8502370000001</v>
      </c>
      <c r="B1502" s="1">
        <f>DATE(2013,3,28) + TIME(20,24,20)</f>
        <v>41361.850231481483</v>
      </c>
      <c r="C1502">
        <v>80</v>
      </c>
      <c r="D1502">
        <v>67.966140746999997</v>
      </c>
      <c r="E1502">
        <v>50</v>
      </c>
      <c r="F1502">
        <v>49.973140717</v>
      </c>
      <c r="G1502">
        <v>1290.5784911999999</v>
      </c>
      <c r="H1502">
        <v>1273.2230225000001</v>
      </c>
      <c r="I1502">
        <v>1393.7452393000001</v>
      </c>
      <c r="J1502">
        <v>1374.480957</v>
      </c>
      <c r="K1502">
        <v>0</v>
      </c>
      <c r="L1502">
        <v>2400</v>
      </c>
      <c r="M1502">
        <v>2400</v>
      </c>
      <c r="N1502">
        <v>0</v>
      </c>
    </row>
    <row r="1503" spans="1:14" x14ac:dyDescent="0.25">
      <c r="A1503">
        <v>1066</v>
      </c>
      <c r="B1503" s="1">
        <f>DATE(2013,4,1) + TIME(0,0,0)</f>
        <v>41365</v>
      </c>
      <c r="C1503">
        <v>80</v>
      </c>
      <c r="D1503">
        <v>67.620651245000005</v>
      </c>
      <c r="E1503">
        <v>50</v>
      </c>
      <c r="F1503">
        <v>49.973194122000002</v>
      </c>
      <c r="G1503">
        <v>1290.1838379000001</v>
      </c>
      <c r="H1503">
        <v>1272.6431885</v>
      </c>
      <c r="I1503">
        <v>1393.7037353999999</v>
      </c>
      <c r="J1503">
        <v>1374.4425048999999</v>
      </c>
      <c r="K1503">
        <v>0</v>
      </c>
      <c r="L1503">
        <v>2400</v>
      </c>
      <c r="M1503">
        <v>2400</v>
      </c>
      <c r="N1503">
        <v>0</v>
      </c>
    </row>
    <row r="1504" spans="1:14" x14ac:dyDescent="0.25">
      <c r="A1504">
        <v>1069.8373790000001</v>
      </c>
      <c r="B1504" s="1">
        <f>DATE(2013,4,4) + TIME(20,5,49)</f>
        <v>41368.837372685186</v>
      </c>
      <c r="C1504">
        <v>80</v>
      </c>
      <c r="D1504">
        <v>67.294151306000003</v>
      </c>
      <c r="E1504">
        <v>50</v>
      </c>
      <c r="F1504">
        <v>49.973270415999998</v>
      </c>
      <c r="G1504">
        <v>1289.8366699000001</v>
      </c>
      <c r="H1504">
        <v>1272.1226807</v>
      </c>
      <c r="I1504">
        <v>1393.6660156</v>
      </c>
      <c r="J1504">
        <v>1374.4072266000001</v>
      </c>
      <c r="K1504">
        <v>0</v>
      </c>
      <c r="L1504">
        <v>2400</v>
      </c>
      <c r="M1504">
        <v>2400</v>
      </c>
      <c r="N1504">
        <v>0</v>
      </c>
    </row>
    <row r="1505" spans="1:14" x14ac:dyDescent="0.25">
      <c r="A1505">
        <v>1073.817464</v>
      </c>
      <c r="B1505" s="1">
        <f>DATE(2013,4,8) + TIME(19,37,8)</f>
        <v>41372.817453703705</v>
      </c>
      <c r="C1505">
        <v>80</v>
      </c>
      <c r="D1505">
        <v>66.914833068999997</v>
      </c>
      <c r="E1505">
        <v>50</v>
      </c>
      <c r="F1505">
        <v>49.973339080999999</v>
      </c>
      <c r="G1505">
        <v>1289.434082</v>
      </c>
      <c r="H1505">
        <v>1271.5288086</v>
      </c>
      <c r="I1505">
        <v>1393.6230469</v>
      </c>
      <c r="J1505">
        <v>1374.3671875</v>
      </c>
      <c r="K1505">
        <v>0</v>
      </c>
      <c r="L1505">
        <v>2400</v>
      </c>
      <c r="M1505">
        <v>2400</v>
      </c>
      <c r="N1505">
        <v>0</v>
      </c>
    </row>
    <row r="1506" spans="1:14" x14ac:dyDescent="0.25">
      <c r="A1506">
        <v>1077.897277</v>
      </c>
      <c r="B1506" s="1">
        <f>DATE(2013,4,12) + TIME(21,32,4)</f>
        <v>41376.897268518522</v>
      </c>
      <c r="C1506">
        <v>80</v>
      </c>
      <c r="D1506">
        <v>66.504257202000005</v>
      </c>
      <c r="E1506">
        <v>50</v>
      </c>
      <c r="F1506">
        <v>49.973411560000002</v>
      </c>
      <c r="G1506">
        <v>1289.0130615</v>
      </c>
      <c r="H1506">
        <v>1270.9036865</v>
      </c>
      <c r="I1506">
        <v>1393.5786132999999</v>
      </c>
      <c r="J1506">
        <v>1374.3254394999999</v>
      </c>
      <c r="K1506">
        <v>0</v>
      </c>
      <c r="L1506">
        <v>2400</v>
      </c>
      <c r="M1506">
        <v>2400</v>
      </c>
      <c r="N1506">
        <v>0</v>
      </c>
    </row>
    <row r="1507" spans="1:14" x14ac:dyDescent="0.25">
      <c r="A1507">
        <v>1082.068305</v>
      </c>
      <c r="B1507" s="1">
        <f>DATE(2013,4,17) + TIME(1,38,21)</f>
        <v>41381.068298611113</v>
      </c>
      <c r="C1507">
        <v>80</v>
      </c>
      <c r="D1507">
        <v>66.070602417000003</v>
      </c>
      <c r="E1507">
        <v>50</v>
      </c>
      <c r="F1507">
        <v>49.973487853999998</v>
      </c>
      <c r="G1507">
        <v>1288.5812988</v>
      </c>
      <c r="H1507">
        <v>1270.2600098</v>
      </c>
      <c r="I1507">
        <v>1393.5330810999999</v>
      </c>
      <c r="J1507">
        <v>1374.2827147999999</v>
      </c>
      <c r="K1507">
        <v>0</v>
      </c>
      <c r="L1507">
        <v>2400</v>
      </c>
      <c r="M1507">
        <v>2400</v>
      </c>
      <c r="N1507">
        <v>0</v>
      </c>
    </row>
    <row r="1508" spans="1:14" x14ac:dyDescent="0.25">
      <c r="A1508">
        <v>1086.3098379999999</v>
      </c>
      <c r="B1508" s="1">
        <f>DATE(2013,4,21) + TIME(7,26,9)</f>
        <v>41385.30982638889</v>
      </c>
      <c r="C1508">
        <v>80</v>
      </c>
      <c r="D1508">
        <v>65.613052367999998</v>
      </c>
      <c r="E1508">
        <v>50</v>
      </c>
      <c r="F1508">
        <v>49.973560333000002</v>
      </c>
      <c r="G1508">
        <v>1288.1412353999999</v>
      </c>
      <c r="H1508">
        <v>1269.6018065999999</v>
      </c>
      <c r="I1508">
        <v>1393.4868164</v>
      </c>
      <c r="J1508">
        <v>1374.2390137</v>
      </c>
      <c r="K1508">
        <v>0</v>
      </c>
      <c r="L1508">
        <v>2400</v>
      </c>
      <c r="M1508">
        <v>2400</v>
      </c>
      <c r="N1508">
        <v>0</v>
      </c>
    </row>
    <row r="1509" spans="1:14" x14ac:dyDescent="0.25">
      <c r="A1509">
        <v>1090.6109839999999</v>
      </c>
      <c r="B1509" s="1">
        <f>DATE(2013,4,25) + TIME(14,39,48)</f>
        <v>41389.610972222225</v>
      </c>
      <c r="C1509">
        <v>80</v>
      </c>
      <c r="D1509">
        <v>65.136009216000005</v>
      </c>
      <c r="E1509">
        <v>50</v>
      </c>
      <c r="F1509">
        <v>49.973636626999998</v>
      </c>
      <c r="G1509">
        <v>1287.6958007999999</v>
      </c>
      <c r="H1509">
        <v>1268.9332274999999</v>
      </c>
      <c r="I1509">
        <v>1393.4396973</v>
      </c>
      <c r="J1509">
        <v>1374.1945800999999</v>
      </c>
      <c r="K1509">
        <v>0</v>
      </c>
      <c r="L1509">
        <v>2400</v>
      </c>
      <c r="M1509">
        <v>2400</v>
      </c>
      <c r="N1509">
        <v>0</v>
      </c>
    </row>
    <row r="1510" spans="1:14" x14ac:dyDescent="0.25">
      <c r="A1510">
        <v>1094.9599989999999</v>
      </c>
      <c r="B1510" s="1">
        <f>DATE(2013,4,29) + TIME(23,2,23)</f>
        <v>41393.959988425922</v>
      </c>
      <c r="C1510">
        <v>80</v>
      </c>
      <c r="D1510">
        <v>64.638435364000003</v>
      </c>
      <c r="E1510">
        <v>50</v>
      </c>
      <c r="F1510">
        <v>49.973712921000001</v>
      </c>
      <c r="G1510">
        <v>1287.2468262</v>
      </c>
      <c r="H1510">
        <v>1268.2573242000001</v>
      </c>
      <c r="I1510">
        <v>1393.3919678</v>
      </c>
      <c r="J1510">
        <v>1374.1492920000001</v>
      </c>
      <c r="K1510">
        <v>0</v>
      </c>
      <c r="L1510">
        <v>2400</v>
      </c>
      <c r="M1510">
        <v>2400</v>
      </c>
      <c r="N1510">
        <v>0</v>
      </c>
    </row>
    <row r="1511" spans="1:14" x14ac:dyDescent="0.25">
      <c r="A1511">
        <v>1096</v>
      </c>
      <c r="B1511" s="1">
        <f>DATE(2013,5,1) + TIME(0,0,0)</f>
        <v>41395</v>
      </c>
      <c r="C1511">
        <v>80</v>
      </c>
      <c r="D1511">
        <v>64.273269653</v>
      </c>
      <c r="E1511">
        <v>50</v>
      </c>
      <c r="F1511">
        <v>49.973716736</v>
      </c>
      <c r="G1511">
        <v>1286.838501</v>
      </c>
      <c r="H1511">
        <v>1267.6778564000001</v>
      </c>
      <c r="I1511">
        <v>1393.3591309000001</v>
      </c>
      <c r="J1511">
        <v>1374.1187743999999</v>
      </c>
      <c r="K1511">
        <v>0</v>
      </c>
      <c r="L1511">
        <v>2400</v>
      </c>
      <c r="M1511">
        <v>2400</v>
      </c>
      <c r="N1511">
        <v>0</v>
      </c>
    </row>
    <row r="1512" spans="1:14" x14ac:dyDescent="0.25">
      <c r="A1512">
        <v>1096.0000010000001</v>
      </c>
      <c r="B1512" s="1">
        <f>DATE(2013,5,1) + TIME(0,0,0)</f>
        <v>41395</v>
      </c>
      <c r="C1512">
        <v>80</v>
      </c>
      <c r="D1512">
        <v>64.273323059000006</v>
      </c>
      <c r="E1512">
        <v>50</v>
      </c>
      <c r="F1512">
        <v>49.973701476999999</v>
      </c>
      <c r="G1512">
        <v>1306.1094971</v>
      </c>
      <c r="H1512">
        <v>1286.8508300999999</v>
      </c>
      <c r="I1512">
        <v>1374.1088867000001</v>
      </c>
      <c r="J1512">
        <v>1355.0085449000001</v>
      </c>
      <c r="K1512">
        <v>2400</v>
      </c>
      <c r="L1512">
        <v>0</v>
      </c>
      <c r="M1512">
        <v>0</v>
      </c>
      <c r="N1512">
        <v>2400</v>
      </c>
    </row>
    <row r="1513" spans="1:14" x14ac:dyDescent="0.25">
      <c r="A1513">
        <v>1096.000004</v>
      </c>
      <c r="B1513" s="1">
        <f>DATE(2013,5,1) + TIME(0,0,0)</f>
        <v>41395</v>
      </c>
      <c r="C1513">
        <v>80</v>
      </c>
      <c r="D1513">
        <v>64.273483275999993</v>
      </c>
      <c r="E1513">
        <v>50</v>
      </c>
      <c r="F1513">
        <v>49.973651885999999</v>
      </c>
      <c r="G1513">
        <v>1306.1405029</v>
      </c>
      <c r="H1513">
        <v>1286.8876952999999</v>
      </c>
      <c r="I1513">
        <v>1374.0794678</v>
      </c>
      <c r="J1513">
        <v>1354.9790039</v>
      </c>
      <c r="K1513">
        <v>2400</v>
      </c>
      <c r="L1513">
        <v>0</v>
      </c>
      <c r="M1513">
        <v>0</v>
      </c>
      <c r="N1513">
        <v>2400</v>
      </c>
    </row>
    <row r="1514" spans="1:14" x14ac:dyDescent="0.25">
      <c r="A1514">
        <v>1096.0000130000001</v>
      </c>
      <c r="B1514" s="1">
        <f>DATE(2013,5,1) + TIME(0,0,1)</f>
        <v>41395.000011574077</v>
      </c>
      <c r="C1514">
        <v>80</v>
      </c>
      <c r="D1514">
        <v>64.273956299000005</v>
      </c>
      <c r="E1514">
        <v>50</v>
      </c>
      <c r="F1514">
        <v>49.973514557000001</v>
      </c>
      <c r="G1514">
        <v>1306.2332764</v>
      </c>
      <c r="H1514">
        <v>1286.9976807</v>
      </c>
      <c r="I1514">
        <v>1373.9915771000001</v>
      </c>
      <c r="J1514">
        <v>1354.8909911999999</v>
      </c>
      <c r="K1514">
        <v>2400</v>
      </c>
      <c r="L1514">
        <v>0</v>
      </c>
      <c r="M1514">
        <v>0</v>
      </c>
      <c r="N1514">
        <v>2400</v>
      </c>
    </row>
    <row r="1515" spans="1:14" x14ac:dyDescent="0.25">
      <c r="A1515">
        <v>1096.0000399999999</v>
      </c>
      <c r="B1515" s="1">
        <f>DATE(2013,5,1) + TIME(0,0,3)</f>
        <v>41395.000034722223</v>
      </c>
      <c r="C1515">
        <v>80</v>
      </c>
      <c r="D1515">
        <v>64.275375366000006</v>
      </c>
      <c r="E1515">
        <v>50</v>
      </c>
      <c r="F1515">
        <v>49.973102570000002</v>
      </c>
      <c r="G1515">
        <v>1306.5076904</v>
      </c>
      <c r="H1515">
        <v>1287.3220214999999</v>
      </c>
      <c r="I1515">
        <v>1373.7310791</v>
      </c>
      <c r="J1515">
        <v>1354.6303711</v>
      </c>
      <c r="K1515">
        <v>2400</v>
      </c>
      <c r="L1515">
        <v>0</v>
      </c>
      <c r="M1515">
        <v>0</v>
      </c>
      <c r="N1515">
        <v>2400</v>
      </c>
    </row>
    <row r="1516" spans="1:14" x14ac:dyDescent="0.25">
      <c r="A1516">
        <v>1096.000121</v>
      </c>
      <c r="B1516" s="1">
        <f>DATE(2013,5,1) + TIME(0,0,10)</f>
        <v>41395.000115740739</v>
      </c>
      <c r="C1516">
        <v>80</v>
      </c>
      <c r="D1516">
        <v>64.279518127000003</v>
      </c>
      <c r="E1516">
        <v>50</v>
      </c>
      <c r="F1516">
        <v>49.971908569</v>
      </c>
      <c r="G1516">
        <v>1307.2979736</v>
      </c>
      <c r="H1516">
        <v>1288.2495117000001</v>
      </c>
      <c r="I1516">
        <v>1372.9780272999999</v>
      </c>
      <c r="J1516">
        <v>1353.8767089999999</v>
      </c>
      <c r="K1516">
        <v>2400</v>
      </c>
      <c r="L1516">
        <v>0</v>
      </c>
      <c r="M1516">
        <v>0</v>
      </c>
      <c r="N1516">
        <v>2400</v>
      </c>
    </row>
    <row r="1517" spans="1:14" x14ac:dyDescent="0.25">
      <c r="A1517">
        <v>1096.000364</v>
      </c>
      <c r="B1517" s="1">
        <f>DATE(2013,5,1) + TIME(0,0,31)</f>
        <v>41395.000358796293</v>
      </c>
      <c r="C1517">
        <v>80</v>
      </c>
      <c r="D1517">
        <v>64.291061400999993</v>
      </c>
      <c r="E1517">
        <v>50</v>
      </c>
      <c r="F1517">
        <v>49.968677520999996</v>
      </c>
      <c r="G1517">
        <v>1309.4154053</v>
      </c>
      <c r="H1517">
        <v>1290.6862793</v>
      </c>
      <c r="I1517">
        <v>1370.9404297000001</v>
      </c>
      <c r="J1517">
        <v>1351.8375243999999</v>
      </c>
      <c r="K1517">
        <v>2400</v>
      </c>
      <c r="L1517">
        <v>0</v>
      </c>
      <c r="M1517">
        <v>0</v>
      </c>
      <c r="N1517">
        <v>2400</v>
      </c>
    </row>
    <row r="1518" spans="1:14" x14ac:dyDescent="0.25">
      <c r="A1518">
        <v>1096.0010930000001</v>
      </c>
      <c r="B1518" s="1">
        <f>DATE(2013,5,1) + TIME(0,1,34)</f>
        <v>41395.001087962963</v>
      </c>
      <c r="C1518">
        <v>80</v>
      </c>
      <c r="D1518">
        <v>64.320648192999997</v>
      </c>
      <c r="E1518">
        <v>50</v>
      </c>
      <c r="F1518">
        <v>49.961200714</v>
      </c>
      <c r="G1518">
        <v>1314.2318115</v>
      </c>
      <c r="H1518">
        <v>1295.9937743999999</v>
      </c>
      <c r="I1518">
        <v>1366.2293701000001</v>
      </c>
      <c r="J1518">
        <v>1347.1232910000001</v>
      </c>
      <c r="K1518">
        <v>2400</v>
      </c>
      <c r="L1518">
        <v>0</v>
      </c>
      <c r="M1518">
        <v>0</v>
      </c>
      <c r="N1518">
        <v>2400</v>
      </c>
    </row>
    <row r="1519" spans="1:14" x14ac:dyDescent="0.25">
      <c r="A1519">
        <v>1096.0032799999999</v>
      </c>
      <c r="B1519" s="1">
        <f>DATE(2013,5,1) + TIME(0,4,43)</f>
        <v>41395.003275462965</v>
      </c>
      <c r="C1519">
        <v>80</v>
      </c>
      <c r="D1519">
        <v>64.391464232999994</v>
      </c>
      <c r="E1519">
        <v>50</v>
      </c>
      <c r="F1519">
        <v>49.948066711000003</v>
      </c>
      <c r="G1519">
        <v>1322.5167236</v>
      </c>
      <c r="H1519">
        <v>1304.5761719</v>
      </c>
      <c r="I1519">
        <v>1357.9960937999999</v>
      </c>
      <c r="J1519">
        <v>1338.8865966999999</v>
      </c>
      <c r="K1519">
        <v>2400</v>
      </c>
      <c r="L1519">
        <v>0</v>
      </c>
      <c r="M1519">
        <v>0</v>
      </c>
      <c r="N1519">
        <v>2400</v>
      </c>
    </row>
    <row r="1520" spans="1:14" x14ac:dyDescent="0.25">
      <c r="A1520">
        <v>1096.0098410000001</v>
      </c>
      <c r="B1520" s="1">
        <f>DATE(2013,5,1) + TIME(0,14,10)</f>
        <v>41395.009837962964</v>
      </c>
      <c r="C1520">
        <v>80</v>
      </c>
      <c r="D1520">
        <v>64.566772460999999</v>
      </c>
      <c r="E1520">
        <v>50</v>
      </c>
      <c r="F1520">
        <v>49.931083678999997</v>
      </c>
      <c r="G1520">
        <v>1332.9577637</v>
      </c>
      <c r="H1520">
        <v>1314.9394531</v>
      </c>
      <c r="I1520">
        <v>1347.5452881000001</v>
      </c>
      <c r="J1520">
        <v>1328.4339600000001</v>
      </c>
      <c r="K1520">
        <v>2400</v>
      </c>
      <c r="L1520">
        <v>0</v>
      </c>
      <c r="M1520">
        <v>0</v>
      </c>
      <c r="N1520">
        <v>2400</v>
      </c>
    </row>
    <row r="1521" spans="1:14" x14ac:dyDescent="0.25">
      <c r="A1521">
        <v>1096.029524</v>
      </c>
      <c r="B1521" s="1">
        <f>DATE(2013,5,1) + TIME(0,42,30)</f>
        <v>41395.029513888891</v>
      </c>
      <c r="C1521">
        <v>80</v>
      </c>
      <c r="D1521">
        <v>65.036254882999998</v>
      </c>
      <c r="E1521">
        <v>50</v>
      </c>
      <c r="F1521">
        <v>49.912418365000001</v>
      </c>
      <c r="G1521">
        <v>1343.8000488</v>
      </c>
      <c r="H1521">
        <v>1325.6472168</v>
      </c>
      <c r="I1521">
        <v>1336.6085204999999</v>
      </c>
      <c r="J1521">
        <v>1317.4963379000001</v>
      </c>
      <c r="K1521">
        <v>2400</v>
      </c>
      <c r="L1521">
        <v>0</v>
      </c>
      <c r="M1521">
        <v>0</v>
      </c>
      <c r="N1521">
        <v>2400</v>
      </c>
    </row>
    <row r="1522" spans="1:14" x14ac:dyDescent="0.25">
      <c r="A1522">
        <v>1096.0532760000001</v>
      </c>
      <c r="B1522" s="1">
        <f>DATE(2013,5,1) + TIME(1,16,43)</f>
        <v>41395.05327546296</v>
      </c>
      <c r="C1522">
        <v>80</v>
      </c>
      <c r="D1522">
        <v>65.572006225999999</v>
      </c>
      <c r="E1522">
        <v>50</v>
      </c>
      <c r="F1522">
        <v>49.900386810000001</v>
      </c>
      <c r="G1522">
        <v>1350.1594238</v>
      </c>
      <c r="H1522">
        <v>1331.9718018000001</v>
      </c>
      <c r="I1522">
        <v>1330.1326904</v>
      </c>
      <c r="J1522">
        <v>1311.0192870999999</v>
      </c>
      <c r="K1522">
        <v>2400</v>
      </c>
      <c r="L1522">
        <v>0</v>
      </c>
      <c r="M1522">
        <v>0</v>
      </c>
      <c r="N1522">
        <v>2400</v>
      </c>
    </row>
    <row r="1523" spans="1:14" x14ac:dyDescent="0.25">
      <c r="A1523">
        <v>1096.078019</v>
      </c>
      <c r="B1523" s="1">
        <f>DATE(2013,5,1) + TIME(1,52,20)</f>
        <v>41395.078009259261</v>
      </c>
      <c r="C1523">
        <v>80</v>
      </c>
      <c r="D1523">
        <v>66.106964110999996</v>
      </c>
      <c r="E1523">
        <v>50</v>
      </c>
      <c r="F1523">
        <v>49.891777038999997</v>
      </c>
      <c r="G1523">
        <v>1354.2536620999999</v>
      </c>
      <c r="H1523">
        <v>1336.0845947</v>
      </c>
      <c r="I1523">
        <v>1325.9201660000001</v>
      </c>
      <c r="J1523">
        <v>1306.8052978999999</v>
      </c>
      <c r="K1523">
        <v>2400</v>
      </c>
      <c r="L1523">
        <v>0</v>
      </c>
      <c r="M1523">
        <v>0</v>
      </c>
      <c r="N1523">
        <v>2400</v>
      </c>
    </row>
    <row r="1524" spans="1:14" x14ac:dyDescent="0.25">
      <c r="A1524">
        <v>1096.103552</v>
      </c>
      <c r="B1524" s="1">
        <f>DATE(2013,5,1) + TIME(2,29,6)</f>
        <v>41395.103541666664</v>
      </c>
      <c r="C1524">
        <v>80</v>
      </c>
      <c r="D1524">
        <v>66.637550353999998</v>
      </c>
      <c r="E1524">
        <v>50</v>
      </c>
      <c r="F1524">
        <v>49.884830475000001</v>
      </c>
      <c r="G1524">
        <v>1357.2297363</v>
      </c>
      <c r="H1524">
        <v>1339.1102295000001</v>
      </c>
      <c r="I1524">
        <v>1322.8258057</v>
      </c>
      <c r="J1524">
        <v>1303.7087402</v>
      </c>
      <c r="K1524">
        <v>2400</v>
      </c>
      <c r="L1524">
        <v>0</v>
      </c>
      <c r="M1524">
        <v>0</v>
      </c>
      <c r="N1524">
        <v>2400</v>
      </c>
    </row>
    <row r="1525" spans="1:14" x14ac:dyDescent="0.25">
      <c r="A1525">
        <v>1096.1297930000001</v>
      </c>
      <c r="B1525" s="1">
        <f>DATE(2013,5,1) + TIME(3,6,54)</f>
        <v>41395.129791666666</v>
      </c>
      <c r="C1525">
        <v>80</v>
      </c>
      <c r="D1525">
        <v>67.161651610999996</v>
      </c>
      <c r="E1525">
        <v>50</v>
      </c>
      <c r="F1525">
        <v>49.878822327000002</v>
      </c>
      <c r="G1525">
        <v>1359.5588379000001</v>
      </c>
      <c r="H1525">
        <v>1341.5079346</v>
      </c>
      <c r="I1525">
        <v>1320.3798827999999</v>
      </c>
      <c r="J1525">
        <v>1301.2601318</v>
      </c>
      <c r="K1525">
        <v>2400</v>
      </c>
      <c r="L1525">
        <v>0</v>
      </c>
      <c r="M1525">
        <v>0</v>
      </c>
      <c r="N1525">
        <v>2400</v>
      </c>
    </row>
    <row r="1526" spans="1:14" x14ac:dyDescent="0.25">
      <c r="A1526">
        <v>1096.156706</v>
      </c>
      <c r="B1526" s="1">
        <f>DATE(2013,5,1) + TIME(3,45,39)</f>
        <v>41395.156701388885</v>
      </c>
      <c r="C1526">
        <v>80</v>
      </c>
      <c r="D1526">
        <v>67.677879333000007</v>
      </c>
      <c r="E1526">
        <v>50</v>
      </c>
      <c r="F1526">
        <v>49.873409271</v>
      </c>
      <c r="G1526">
        <v>1361.4711914</v>
      </c>
      <c r="H1526">
        <v>1343.5012207</v>
      </c>
      <c r="I1526">
        <v>1318.3515625</v>
      </c>
      <c r="J1526">
        <v>1299.2286377</v>
      </c>
      <c r="K1526">
        <v>2400</v>
      </c>
      <c r="L1526">
        <v>0</v>
      </c>
      <c r="M1526">
        <v>0</v>
      </c>
      <c r="N1526">
        <v>2400</v>
      </c>
    </row>
    <row r="1527" spans="1:14" x14ac:dyDescent="0.25">
      <c r="A1527">
        <v>1096.1842750000001</v>
      </c>
      <c r="B1527" s="1">
        <f>DATE(2013,5,1) + TIME(4,25,21)</f>
        <v>41395.184270833335</v>
      </c>
      <c r="C1527">
        <v>80</v>
      </c>
      <c r="D1527">
        <v>68.185226439999994</v>
      </c>
      <c r="E1527">
        <v>50</v>
      </c>
      <c r="F1527">
        <v>49.868389129999997</v>
      </c>
      <c r="G1527">
        <v>1363.0944824000001</v>
      </c>
      <c r="H1527">
        <v>1345.2133789</v>
      </c>
      <c r="I1527">
        <v>1316.6124268000001</v>
      </c>
      <c r="J1527">
        <v>1297.4862060999999</v>
      </c>
      <c r="K1527">
        <v>2400</v>
      </c>
      <c r="L1527">
        <v>0</v>
      </c>
      <c r="M1527">
        <v>0</v>
      </c>
      <c r="N1527">
        <v>2400</v>
      </c>
    </row>
    <row r="1528" spans="1:14" x14ac:dyDescent="0.25">
      <c r="A1528">
        <v>1096.2124960000001</v>
      </c>
      <c r="B1528" s="1">
        <f>DATE(2013,5,1) + TIME(5,5,59)</f>
        <v>41395.212488425925</v>
      </c>
      <c r="C1528">
        <v>80</v>
      </c>
      <c r="D1528">
        <v>68.68296814</v>
      </c>
      <c r="E1528">
        <v>50</v>
      </c>
      <c r="F1528">
        <v>49.863643646</v>
      </c>
      <c r="G1528">
        <v>1364.5057373</v>
      </c>
      <c r="H1528">
        <v>1346.7185059000001</v>
      </c>
      <c r="I1528">
        <v>1315.0847168</v>
      </c>
      <c r="J1528">
        <v>1295.9549560999999</v>
      </c>
      <c r="K1528">
        <v>2400</v>
      </c>
      <c r="L1528">
        <v>0</v>
      </c>
      <c r="M1528">
        <v>0</v>
      </c>
      <c r="N1528">
        <v>2400</v>
      </c>
    </row>
    <row r="1529" spans="1:14" x14ac:dyDescent="0.25">
      <c r="A1529">
        <v>1096.2413770000001</v>
      </c>
      <c r="B1529" s="1">
        <f>DATE(2013,5,1) + TIME(5,47,34)</f>
        <v>41395.241365740738</v>
      </c>
      <c r="C1529">
        <v>80</v>
      </c>
      <c r="D1529">
        <v>69.170555114999999</v>
      </c>
      <c r="E1529">
        <v>50</v>
      </c>
      <c r="F1529">
        <v>49.859092711999999</v>
      </c>
      <c r="G1529">
        <v>1365.7551269999999</v>
      </c>
      <c r="H1529">
        <v>1348.0645752</v>
      </c>
      <c r="I1529">
        <v>1313.7180175999999</v>
      </c>
      <c r="J1529">
        <v>1294.5847168</v>
      </c>
      <c r="K1529">
        <v>2400</v>
      </c>
      <c r="L1529">
        <v>0</v>
      </c>
      <c r="M1529">
        <v>0</v>
      </c>
      <c r="N1529">
        <v>2400</v>
      </c>
    </row>
    <row r="1530" spans="1:14" x14ac:dyDescent="0.25">
      <c r="A1530">
        <v>1096.2709299999999</v>
      </c>
      <c r="B1530" s="1">
        <f>DATE(2013,5,1) + TIME(6,30,8)</f>
        <v>41395.270925925928</v>
      </c>
      <c r="C1530">
        <v>80</v>
      </c>
      <c r="D1530">
        <v>69.647644043</v>
      </c>
      <c r="E1530">
        <v>50</v>
      </c>
      <c r="F1530">
        <v>49.854690552000001</v>
      </c>
      <c r="G1530">
        <v>1366.8767089999999</v>
      </c>
      <c r="H1530">
        <v>1349.2840576000001</v>
      </c>
      <c r="I1530">
        <v>1312.4777832</v>
      </c>
      <c r="J1530">
        <v>1293.3411865</v>
      </c>
      <c r="K1530">
        <v>2400</v>
      </c>
      <c r="L1530">
        <v>0</v>
      </c>
      <c r="M1530">
        <v>0</v>
      </c>
      <c r="N1530">
        <v>2400</v>
      </c>
    </row>
    <row r="1531" spans="1:14" x14ac:dyDescent="0.25">
      <c r="A1531">
        <v>1096.301162</v>
      </c>
      <c r="B1531" s="1">
        <f>DATE(2013,5,1) + TIME(7,13,40)</f>
        <v>41395.301157407404</v>
      </c>
      <c r="C1531">
        <v>80</v>
      </c>
      <c r="D1531">
        <v>70.113700867000006</v>
      </c>
      <c r="E1531">
        <v>50</v>
      </c>
      <c r="F1531">
        <v>49.850391387999998</v>
      </c>
      <c r="G1531">
        <v>1367.8944091999999</v>
      </c>
      <c r="H1531">
        <v>1350.3997803</v>
      </c>
      <c r="I1531">
        <v>1311.3402100000001</v>
      </c>
      <c r="J1531">
        <v>1292.2005615</v>
      </c>
      <c r="K1531">
        <v>2400</v>
      </c>
      <c r="L1531">
        <v>0</v>
      </c>
      <c r="M1531">
        <v>0</v>
      </c>
      <c r="N1531">
        <v>2400</v>
      </c>
    </row>
    <row r="1532" spans="1:14" x14ac:dyDescent="0.25">
      <c r="A1532">
        <v>1096.3320610000001</v>
      </c>
      <c r="B1532" s="1">
        <f>DATE(2013,5,1) + TIME(7,58,10)</f>
        <v>41395.332060185188</v>
      </c>
      <c r="C1532">
        <v>80</v>
      </c>
      <c r="D1532">
        <v>70.567909240999995</v>
      </c>
      <c r="E1532">
        <v>50</v>
      </c>
      <c r="F1532">
        <v>49.846176147000001</v>
      </c>
      <c r="G1532">
        <v>1368.8251952999999</v>
      </c>
      <c r="H1532">
        <v>1351.4279785000001</v>
      </c>
      <c r="I1532">
        <v>1310.2886963000001</v>
      </c>
      <c r="J1532">
        <v>1291.1461182</v>
      </c>
      <c r="K1532">
        <v>2400</v>
      </c>
      <c r="L1532">
        <v>0</v>
      </c>
      <c r="M1532">
        <v>0</v>
      </c>
      <c r="N1532">
        <v>2400</v>
      </c>
    </row>
    <row r="1533" spans="1:14" x14ac:dyDescent="0.25">
      <c r="A1533">
        <v>1096.3636509999999</v>
      </c>
      <c r="B1533" s="1">
        <f>DATE(2013,5,1) + TIME(8,43,39)</f>
        <v>41395.363645833335</v>
      </c>
      <c r="C1533">
        <v>80</v>
      </c>
      <c r="D1533">
        <v>71.010437011999997</v>
      </c>
      <c r="E1533">
        <v>50</v>
      </c>
      <c r="F1533">
        <v>49.842021942000002</v>
      </c>
      <c r="G1533">
        <v>1369.6828613</v>
      </c>
      <c r="H1533">
        <v>1352.3817139</v>
      </c>
      <c r="I1533">
        <v>1309.3095702999999</v>
      </c>
      <c r="J1533">
        <v>1290.1643065999999</v>
      </c>
      <c r="K1533">
        <v>2400</v>
      </c>
      <c r="L1533">
        <v>0</v>
      </c>
      <c r="M1533">
        <v>0</v>
      </c>
      <c r="N1533">
        <v>2400</v>
      </c>
    </row>
    <row r="1534" spans="1:14" x14ac:dyDescent="0.25">
      <c r="A1534">
        <v>1096.395957</v>
      </c>
      <c r="B1534" s="1">
        <f>DATE(2013,5,1) + TIME(9,30,10)</f>
        <v>41395.395949074074</v>
      </c>
      <c r="C1534">
        <v>80</v>
      </c>
      <c r="D1534">
        <v>71.441207886000001</v>
      </c>
      <c r="E1534">
        <v>50</v>
      </c>
      <c r="F1534">
        <v>49.837913512999997</v>
      </c>
      <c r="G1534">
        <v>1370.4779053</v>
      </c>
      <c r="H1534">
        <v>1353.2713623</v>
      </c>
      <c r="I1534">
        <v>1308.3924560999999</v>
      </c>
      <c r="J1534">
        <v>1289.244751</v>
      </c>
      <c r="K1534">
        <v>2400</v>
      </c>
      <c r="L1534">
        <v>0</v>
      </c>
      <c r="M1534">
        <v>0</v>
      </c>
      <c r="N1534">
        <v>2400</v>
      </c>
    </row>
    <row r="1535" spans="1:14" x14ac:dyDescent="0.25">
      <c r="A1535">
        <v>1096.4290060000001</v>
      </c>
      <c r="B1535" s="1">
        <f>DATE(2013,5,1) + TIME(10,17,46)</f>
        <v>41395.42900462963</v>
      </c>
      <c r="C1535">
        <v>80</v>
      </c>
      <c r="D1535">
        <v>71.860191345000004</v>
      </c>
      <c r="E1535">
        <v>50</v>
      </c>
      <c r="F1535">
        <v>49.833827972000002</v>
      </c>
      <c r="G1535">
        <v>1371.2189940999999</v>
      </c>
      <c r="H1535">
        <v>1354.1049805</v>
      </c>
      <c r="I1535">
        <v>1307.5292969</v>
      </c>
      <c r="J1535">
        <v>1288.3792725000001</v>
      </c>
      <c r="K1535">
        <v>2400</v>
      </c>
      <c r="L1535">
        <v>0</v>
      </c>
      <c r="M1535">
        <v>0</v>
      </c>
      <c r="N1535">
        <v>2400</v>
      </c>
    </row>
    <row r="1536" spans="1:14" x14ac:dyDescent="0.25">
      <c r="A1536">
        <v>1096.462839</v>
      </c>
      <c r="B1536" s="1">
        <f>DATE(2013,5,1) + TIME(11,6,29)</f>
        <v>41395.462835648148</v>
      </c>
      <c r="C1536">
        <v>80</v>
      </c>
      <c r="D1536">
        <v>72.267494201999995</v>
      </c>
      <c r="E1536">
        <v>50</v>
      </c>
      <c r="F1536">
        <v>49.829761505</v>
      </c>
      <c r="G1536">
        <v>1371.9128418</v>
      </c>
      <c r="H1536">
        <v>1354.8894043</v>
      </c>
      <c r="I1536">
        <v>1306.7131348</v>
      </c>
      <c r="J1536">
        <v>1287.5611572</v>
      </c>
      <c r="K1536">
        <v>2400</v>
      </c>
      <c r="L1536">
        <v>0</v>
      </c>
      <c r="M1536">
        <v>0</v>
      </c>
      <c r="N1536">
        <v>2400</v>
      </c>
    </row>
    <row r="1537" spans="1:14" x14ac:dyDescent="0.25">
      <c r="A1537">
        <v>1096.4974930000001</v>
      </c>
      <c r="B1537" s="1">
        <f>DATE(2013,5,1) + TIME(11,56,23)</f>
        <v>41395.497488425928</v>
      </c>
      <c r="C1537">
        <v>80</v>
      </c>
      <c r="D1537">
        <v>72.663162231000001</v>
      </c>
      <c r="E1537">
        <v>50</v>
      </c>
      <c r="F1537">
        <v>49.825695037999999</v>
      </c>
      <c r="G1537">
        <v>1372.5651855000001</v>
      </c>
      <c r="H1537">
        <v>1355.630249</v>
      </c>
      <c r="I1537">
        <v>1305.9387207</v>
      </c>
      <c r="J1537">
        <v>1286.7847899999999</v>
      </c>
      <c r="K1537">
        <v>2400</v>
      </c>
      <c r="L1537">
        <v>0</v>
      </c>
      <c r="M1537">
        <v>0</v>
      </c>
      <c r="N1537">
        <v>2400</v>
      </c>
    </row>
    <row r="1538" spans="1:14" x14ac:dyDescent="0.25">
      <c r="A1538">
        <v>1096.5330120000001</v>
      </c>
      <c r="B1538" s="1">
        <f>DATE(2013,5,1) + TIME(12,47,32)</f>
        <v>41395.533009259256</v>
      </c>
      <c r="C1538">
        <v>80</v>
      </c>
      <c r="D1538">
        <v>73.047264099000003</v>
      </c>
      <c r="E1538">
        <v>50</v>
      </c>
      <c r="F1538">
        <v>49.821628570999998</v>
      </c>
      <c r="G1538">
        <v>1373.1807861</v>
      </c>
      <c r="H1538">
        <v>1356.3321533000001</v>
      </c>
      <c r="I1538">
        <v>1305.2014160000001</v>
      </c>
      <c r="J1538">
        <v>1286.0456543</v>
      </c>
      <c r="K1538">
        <v>2400</v>
      </c>
      <c r="L1538">
        <v>0</v>
      </c>
      <c r="M1538">
        <v>0</v>
      </c>
      <c r="N1538">
        <v>2400</v>
      </c>
    </row>
    <row r="1539" spans="1:14" x14ac:dyDescent="0.25">
      <c r="A1539">
        <v>1096.56944</v>
      </c>
      <c r="B1539" s="1">
        <f>DATE(2013,5,1) + TIME(13,39,59)</f>
        <v>41395.569432870368</v>
      </c>
      <c r="C1539">
        <v>80</v>
      </c>
      <c r="D1539">
        <v>73.419876099000007</v>
      </c>
      <c r="E1539">
        <v>50</v>
      </c>
      <c r="F1539">
        <v>49.817543030000003</v>
      </c>
      <c r="G1539">
        <v>1373.7636719</v>
      </c>
      <c r="H1539">
        <v>1356.9989014</v>
      </c>
      <c r="I1539">
        <v>1304.4974365</v>
      </c>
      <c r="J1539">
        <v>1285.3400879000001</v>
      </c>
      <c r="K1539">
        <v>2400</v>
      </c>
      <c r="L1539">
        <v>0</v>
      </c>
      <c r="M1539">
        <v>0</v>
      </c>
      <c r="N1539">
        <v>2400</v>
      </c>
    </row>
    <row r="1540" spans="1:14" x14ac:dyDescent="0.25">
      <c r="A1540">
        <v>1096.6068290000001</v>
      </c>
      <c r="B1540" s="1">
        <f>DATE(2013,5,1) + TIME(14,33,50)</f>
        <v>41395.606828703705</v>
      </c>
      <c r="C1540">
        <v>80</v>
      </c>
      <c r="D1540">
        <v>73.781074524000005</v>
      </c>
      <c r="E1540">
        <v>50</v>
      </c>
      <c r="F1540">
        <v>49.813434600999997</v>
      </c>
      <c r="G1540">
        <v>1374.3171387</v>
      </c>
      <c r="H1540">
        <v>1357.6341553</v>
      </c>
      <c r="I1540">
        <v>1303.8234863</v>
      </c>
      <c r="J1540">
        <v>1284.6646728999999</v>
      </c>
      <c r="K1540">
        <v>2400</v>
      </c>
      <c r="L1540">
        <v>0</v>
      </c>
      <c r="M1540">
        <v>0</v>
      </c>
      <c r="N1540">
        <v>2400</v>
      </c>
    </row>
    <row r="1541" spans="1:14" x14ac:dyDescent="0.25">
      <c r="A1541">
        <v>1096.6452340000001</v>
      </c>
      <c r="B1541" s="1">
        <f>DATE(2013,5,1) + TIME(15,29,8)</f>
        <v>41395.645231481481</v>
      </c>
      <c r="C1541">
        <v>80</v>
      </c>
      <c r="D1541">
        <v>74.130966186999999</v>
      </c>
      <c r="E1541">
        <v>50</v>
      </c>
      <c r="F1541">
        <v>49.809295654000003</v>
      </c>
      <c r="G1541">
        <v>1374.8442382999999</v>
      </c>
      <c r="H1541">
        <v>1358.2407227000001</v>
      </c>
      <c r="I1541">
        <v>1303.1768798999999</v>
      </c>
      <c r="J1541">
        <v>1284.0166016000001</v>
      </c>
      <c r="K1541">
        <v>2400</v>
      </c>
      <c r="L1541">
        <v>0</v>
      </c>
      <c r="M1541">
        <v>0</v>
      </c>
      <c r="N1541">
        <v>2400</v>
      </c>
    </row>
    <row r="1542" spans="1:14" x14ac:dyDescent="0.25">
      <c r="A1542">
        <v>1096.684716</v>
      </c>
      <c r="B1542" s="1">
        <f>DATE(2013,5,1) + TIME(16,25,59)</f>
        <v>41395.684710648151</v>
      </c>
      <c r="C1542">
        <v>80</v>
      </c>
      <c r="D1542">
        <v>74.469627380000006</v>
      </c>
      <c r="E1542">
        <v>50</v>
      </c>
      <c r="F1542">
        <v>49.805114746000001</v>
      </c>
      <c r="G1542">
        <v>1375.3475341999999</v>
      </c>
      <c r="H1542">
        <v>1358.8211670000001</v>
      </c>
      <c r="I1542">
        <v>1302.5549315999999</v>
      </c>
      <c r="J1542">
        <v>1283.3934326000001</v>
      </c>
      <c r="K1542">
        <v>2400</v>
      </c>
      <c r="L1542">
        <v>0</v>
      </c>
      <c r="M1542">
        <v>0</v>
      </c>
      <c r="N1542">
        <v>2400</v>
      </c>
    </row>
    <row r="1543" spans="1:14" x14ac:dyDescent="0.25">
      <c r="A1543">
        <v>1096.72534</v>
      </c>
      <c r="B1543" s="1">
        <f>DATE(2013,5,1) + TIME(17,24,29)</f>
        <v>41395.725335648145</v>
      </c>
      <c r="C1543">
        <v>80</v>
      </c>
      <c r="D1543">
        <v>74.797157287999994</v>
      </c>
      <c r="E1543">
        <v>50</v>
      </c>
      <c r="F1543">
        <v>49.800888061999999</v>
      </c>
      <c r="G1543">
        <v>1375.8289795000001</v>
      </c>
      <c r="H1543">
        <v>1359.3776855000001</v>
      </c>
      <c r="I1543">
        <v>1301.9558105000001</v>
      </c>
      <c r="J1543">
        <v>1282.7929687999999</v>
      </c>
      <c r="K1543">
        <v>2400</v>
      </c>
      <c r="L1543">
        <v>0</v>
      </c>
      <c r="M1543">
        <v>0</v>
      </c>
      <c r="N1543">
        <v>2400</v>
      </c>
    </row>
    <row r="1544" spans="1:14" x14ac:dyDescent="0.25">
      <c r="A1544">
        <v>1096.7671809999999</v>
      </c>
      <c r="B1544" s="1">
        <f>DATE(2013,5,1) + TIME(18,24,44)</f>
        <v>41395.767175925925</v>
      </c>
      <c r="C1544">
        <v>80</v>
      </c>
      <c r="D1544">
        <v>75.113586425999998</v>
      </c>
      <c r="E1544">
        <v>50</v>
      </c>
      <c r="F1544">
        <v>49.796604156000001</v>
      </c>
      <c r="G1544">
        <v>1376.2908935999999</v>
      </c>
      <c r="H1544">
        <v>1359.9125977000001</v>
      </c>
      <c r="I1544">
        <v>1301.3773193</v>
      </c>
      <c r="J1544">
        <v>1282.2133789</v>
      </c>
      <c r="K1544">
        <v>2400</v>
      </c>
      <c r="L1544">
        <v>0</v>
      </c>
      <c r="M1544">
        <v>0</v>
      </c>
      <c r="N1544">
        <v>2400</v>
      </c>
    </row>
    <row r="1545" spans="1:14" x14ac:dyDescent="0.25">
      <c r="A1545">
        <v>1096.810338</v>
      </c>
      <c r="B1545" s="1">
        <f>DATE(2013,5,1) + TIME(19,26,53)</f>
        <v>41395.810335648152</v>
      </c>
      <c r="C1545">
        <v>80</v>
      </c>
      <c r="D1545">
        <v>75.419082642000006</v>
      </c>
      <c r="E1545">
        <v>50</v>
      </c>
      <c r="F1545">
        <v>49.792255402000002</v>
      </c>
      <c r="G1545">
        <v>1376.7349853999999</v>
      </c>
      <c r="H1545">
        <v>1360.4276123</v>
      </c>
      <c r="I1545">
        <v>1300.817749</v>
      </c>
      <c r="J1545">
        <v>1281.6527100000001</v>
      </c>
      <c r="K1545">
        <v>2400</v>
      </c>
      <c r="L1545">
        <v>0</v>
      </c>
      <c r="M1545">
        <v>0</v>
      </c>
      <c r="N1545">
        <v>2400</v>
      </c>
    </row>
    <row r="1546" spans="1:14" x14ac:dyDescent="0.25">
      <c r="A1546">
        <v>1096.8548800000001</v>
      </c>
      <c r="B1546" s="1">
        <f>DATE(2013,5,1) + TIME(20,31,1)</f>
        <v>41395.854872685188</v>
      </c>
      <c r="C1546">
        <v>80</v>
      </c>
      <c r="D1546">
        <v>75.713722228999998</v>
      </c>
      <c r="E1546">
        <v>50</v>
      </c>
      <c r="F1546">
        <v>49.787837981999999</v>
      </c>
      <c r="G1546">
        <v>1377.1627197</v>
      </c>
      <c r="H1546">
        <v>1360.9241943</v>
      </c>
      <c r="I1546">
        <v>1300.2757568</v>
      </c>
      <c r="J1546">
        <v>1281.1096190999999</v>
      </c>
      <c r="K1546">
        <v>2400</v>
      </c>
      <c r="L1546">
        <v>0</v>
      </c>
      <c r="M1546">
        <v>0</v>
      </c>
      <c r="N1546">
        <v>2400</v>
      </c>
    </row>
    <row r="1547" spans="1:14" x14ac:dyDescent="0.25">
      <c r="A1547">
        <v>1096.9009060000001</v>
      </c>
      <c r="B1547" s="1">
        <f>DATE(2013,5,1) + TIME(21,37,18)</f>
        <v>41395.900902777779</v>
      </c>
      <c r="C1547">
        <v>80</v>
      </c>
      <c r="D1547">
        <v>75.997619628999999</v>
      </c>
      <c r="E1547">
        <v>50</v>
      </c>
      <c r="F1547">
        <v>49.783336638999998</v>
      </c>
      <c r="G1547">
        <v>1377.5754394999999</v>
      </c>
      <c r="H1547">
        <v>1361.4038086</v>
      </c>
      <c r="I1547">
        <v>1299.7498779</v>
      </c>
      <c r="J1547">
        <v>1280.5827637</v>
      </c>
      <c r="K1547">
        <v>2400</v>
      </c>
      <c r="L1547">
        <v>0</v>
      </c>
      <c r="M1547">
        <v>0</v>
      </c>
      <c r="N1547">
        <v>2400</v>
      </c>
    </row>
    <row r="1548" spans="1:14" x14ac:dyDescent="0.25">
      <c r="A1548">
        <v>1096.9485239999999</v>
      </c>
      <c r="B1548" s="1">
        <f>DATE(2013,5,1) + TIME(22,45,52)</f>
        <v>41395.948518518519</v>
      </c>
      <c r="C1548">
        <v>80</v>
      </c>
      <c r="D1548">
        <v>76.270866393999995</v>
      </c>
      <c r="E1548">
        <v>50</v>
      </c>
      <c r="F1548">
        <v>49.778743744000003</v>
      </c>
      <c r="G1548">
        <v>1377.9743652</v>
      </c>
      <c r="H1548">
        <v>1361.8677978999999</v>
      </c>
      <c r="I1548">
        <v>1299.2391356999999</v>
      </c>
      <c r="J1548">
        <v>1280.0710449000001</v>
      </c>
      <c r="K1548">
        <v>2400</v>
      </c>
      <c r="L1548">
        <v>0</v>
      </c>
      <c r="M1548">
        <v>0</v>
      </c>
      <c r="N1548">
        <v>2400</v>
      </c>
    </row>
    <row r="1549" spans="1:14" x14ac:dyDescent="0.25">
      <c r="A1549">
        <v>1096.997852</v>
      </c>
      <c r="B1549" s="1">
        <f>DATE(2013,5,1) + TIME(23,56,54)</f>
        <v>41395.997847222221</v>
      </c>
      <c r="C1549">
        <v>80</v>
      </c>
      <c r="D1549">
        <v>76.533554077000005</v>
      </c>
      <c r="E1549">
        <v>50</v>
      </c>
      <c r="F1549">
        <v>49.774051665999998</v>
      </c>
      <c r="G1549">
        <v>1378.3605957</v>
      </c>
      <c r="H1549">
        <v>1362.3172606999999</v>
      </c>
      <c r="I1549">
        <v>1298.7421875</v>
      </c>
      <c r="J1549">
        <v>1279.5731201000001</v>
      </c>
      <c r="K1549">
        <v>2400</v>
      </c>
      <c r="L1549">
        <v>0</v>
      </c>
      <c r="M1549">
        <v>0</v>
      </c>
      <c r="N1549">
        <v>2400</v>
      </c>
    </row>
    <row r="1550" spans="1:14" x14ac:dyDescent="0.25">
      <c r="A1550">
        <v>1097.049027</v>
      </c>
      <c r="B1550" s="1">
        <f>DATE(2013,5,2) + TIME(1,10,35)</f>
        <v>41396.049016203702</v>
      </c>
      <c r="C1550">
        <v>80</v>
      </c>
      <c r="D1550">
        <v>76.78578186</v>
      </c>
      <c r="E1550">
        <v>50</v>
      </c>
      <c r="F1550">
        <v>49.769248961999999</v>
      </c>
      <c r="G1550">
        <v>1378.7353516000001</v>
      </c>
      <c r="H1550">
        <v>1362.7532959</v>
      </c>
      <c r="I1550">
        <v>1298.2581786999999</v>
      </c>
      <c r="J1550">
        <v>1279.0882568</v>
      </c>
      <c r="K1550">
        <v>2400</v>
      </c>
      <c r="L1550">
        <v>0</v>
      </c>
      <c r="M1550">
        <v>0</v>
      </c>
      <c r="N1550">
        <v>2400</v>
      </c>
    </row>
    <row r="1551" spans="1:14" x14ac:dyDescent="0.25">
      <c r="A1551">
        <v>1097.102196</v>
      </c>
      <c r="B1551" s="1">
        <f>DATE(2013,5,2) + TIME(2,27,9)</f>
        <v>41396.102187500001</v>
      </c>
      <c r="C1551">
        <v>80</v>
      </c>
      <c r="D1551">
        <v>77.027641295999999</v>
      </c>
      <c r="E1551">
        <v>50</v>
      </c>
      <c r="F1551">
        <v>49.764320374</v>
      </c>
      <c r="G1551">
        <v>1379.0993652</v>
      </c>
      <c r="H1551">
        <v>1363.177124</v>
      </c>
      <c r="I1551">
        <v>1297.7860106999999</v>
      </c>
      <c r="J1551">
        <v>1278.6152344</v>
      </c>
      <c r="K1551">
        <v>2400</v>
      </c>
      <c r="L1551">
        <v>0</v>
      </c>
      <c r="M1551">
        <v>0</v>
      </c>
      <c r="N1551">
        <v>2400</v>
      </c>
    </row>
    <row r="1552" spans="1:14" x14ac:dyDescent="0.25">
      <c r="A1552">
        <v>1097.15753</v>
      </c>
      <c r="B1552" s="1">
        <f>DATE(2013,5,2) + TIME(3,46,50)</f>
        <v>41396.157523148147</v>
      </c>
      <c r="C1552">
        <v>80</v>
      </c>
      <c r="D1552">
        <v>77.259223938000005</v>
      </c>
      <c r="E1552">
        <v>50</v>
      </c>
      <c r="F1552">
        <v>49.759258269999997</v>
      </c>
      <c r="G1552">
        <v>1379.4534911999999</v>
      </c>
      <c r="H1552">
        <v>1363.5893555</v>
      </c>
      <c r="I1552">
        <v>1297.3249512</v>
      </c>
      <c r="J1552">
        <v>1278.1533202999999</v>
      </c>
      <c r="K1552">
        <v>2400</v>
      </c>
      <c r="L1552">
        <v>0</v>
      </c>
      <c r="M1552">
        <v>0</v>
      </c>
      <c r="N1552">
        <v>2400</v>
      </c>
    </row>
    <row r="1553" spans="1:14" x14ac:dyDescent="0.25">
      <c r="A1553">
        <v>1097.2152189999999</v>
      </c>
      <c r="B1553" s="1">
        <f>DATE(2013,5,2) + TIME(5,9,54)</f>
        <v>41396.215208333335</v>
      </c>
      <c r="C1553">
        <v>80</v>
      </c>
      <c r="D1553">
        <v>77.480628967000001</v>
      </c>
      <c r="E1553">
        <v>50</v>
      </c>
      <c r="F1553">
        <v>49.754047393999997</v>
      </c>
      <c r="G1553">
        <v>1379.7987060999999</v>
      </c>
      <c r="H1553">
        <v>1363.9910889</v>
      </c>
      <c r="I1553">
        <v>1296.8741454999999</v>
      </c>
      <c r="J1553">
        <v>1277.7016602000001</v>
      </c>
      <c r="K1553">
        <v>2400</v>
      </c>
      <c r="L1553">
        <v>0</v>
      </c>
      <c r="M1553">
        <v>0</v>
      </c>
      <c r="N1553">
        <v>2400</v>
      </c>
    </row>
    <row r="1554" spans="1:14" x14ac:dyDescent="0.25">
      <c r="A1554">
        <v>1097.27548</v>
      </c>
      <c r="B1554" s="1">
        <f>DATE(2013,5,2) + TIME(6,36,41)</f>
        <v>41396.27547453704</v>
      </c>
      <c r="C1554">
        <v>80</v>
      </c>
      <c r="D1554">
        <v>77.691940308</v>
      </c>
      <c r="E1554">
        <v>50</v>
      </c>
      <c r="F1554">
        <v>49.748668670999997</v>
      </c>
      <c r="G1554">
        <v>1380.1356201000001</v>
      </c>
      <c r="H1554">
        <v>1364.3831786999999</v>
      </c>
      <c r="I1554">
        <v>1296.4328613</v>
      </c>
      <c r="J1554">
        <v>1277.2595214999999</v>
      </c>
      <c r="K1554">
        <v>2400</v>
      </c>
      <c r="L1554">
        <v>0</v>
      </c>
      <c r="M1554">
        <v>0</v>
      </c>
      <c r="N1554">
        <v>2400</v>
      </c>
    </row>
    <row r="1555" spans="1:14" x14ac:dyDescent="0.25">
      <c r="A1555">
        <v>1097.3385940000001</v>
      </c>
      <c r="B1555" s="1">
        <f>DATE(2013,5,2) + TIME(8,7,34)</f>
        <v>41396.338587962964</v>
      </c>
      <c r="C1555">
        <v>80</v>
      </c>
      <c r="D1555">
        <v>77.893341063999998</v>
      </c>
      <c r="E1555">
        <v>50</v>
      </c>
      <c r="F1555">
        <v>49.743106842000003</v>
      </c>
      <c r="G1555">
        <v>1380.4650879000001</v>
      </c>
      <c r="H1555">
        <v>1364.7663574000001</v>
      </c>
      <c r="I1555">
        <v>1296.0001221</v>
      </c>
      <c r="J1555">
        <v>1276.8260498</v>
      </c>
      <c r="K1555">
        <v>2400</v>
      </c>
      <c r="L1555">
        <v>0</v>
      </c>
      <c r="M1555">
        <v>0</v>
      </c>
      <c r="N1555">
        <v>2400</v>
      </c>
    </row>
    <row r="1556" spans="1:14" x14ac:dyDescent="0.25">
      <c r="A1556">
        <v>1097.4048330000001</v>
      </c>
      <c r="B1556" s="1">
        <f>DATE(2013,5,2) + TIME(9,42,57)</f>
        <v>41396.404826388891</v>
      </c>
      <c r="C1556">
        <v>80</v>
      </c>
      <c r="D1556">
        <v>78.084861755000006</v>
      </c>
      <c r="E1556">
        <v>50</v>
      </c>
      <c r="F1556">
        <v>49.73733902</v>
      </c>
      <c r="G1556">
        <v>1380.7878418</v>
      </c>
      <c r="H1556">
        <v>1365.1413574000001</v>
      </c>
      <c r="I1556">
        <v>1295.5754394999999</v>
      </c>
      <c r="J1556">
        <v>1276.4006348</v>
      </c>
      <c r="K1556">
        <v>2400</v>
      </c>
      <c r="L1556">
        <v>0</v>
      </c>
      <c r="M1556">
        <v>0</v>
      </c>
      <c r="N1556">
        <v>2400</v>
      </c>
    </row>
    <row r="1557" spans="1:14" x14ac:dyDescent="0.25">
      <c r="A1557">
        <v>1097.474512</v>
      </c>
      <c r="B1557" s="1">
        <f>DATE(2013,5,2) + TIME(11,23,17)</f>
        <v>41396.474502314813</v>
      </c>
      <c r="C1557">
        <v>80</v>
      </c>
      <c r="D1557">
        <v>78.266540527000004</v>
      </c>
      <c r="E1557">
        <v>50</v>
      </c>
      <c r="F1557">
        <v>49.731342316000003</v>
      </c>
      <c r="G1557">
        <v>1381.104126</v>
      </c>
      <c r="H1557">
        <v>1365.5086670000001</v>
      </c>
      <c r="I1557">
        <v>1295.1584473</v>
      </c>
      <c r="J1557">
        <v>1275.9827881000001</v>
      </c>
      <c r="K1557">
        <v>2400</v>
      </c>
      <c r="L1557">
        <v>0</v>
      </c>
      <c r="M1557">
        <v>0</v>
      </c>
      <c r="N1557">
        <v>2400</v>
      </c>
    </row>
    <row r="1558" spans="1:14" x14ac:dyDescent="0.25">
      <c r="A1558">
        <v>1097.5480150000001</v>
      </c>
      <c r="B1558" s="1">
        <f>DATE(2013,5,2) + TIME(13,9,8)</f>
        <v>41396.548009259262</v>
      </c>
      <c r="C1558">
        <v>80</v>
      </c>
      <c r="D1558">
        <v>78.438461304</v>
      </c>
      <c r="E1558">
        <v>50</v>
      </c>
      <c r="F1558">
        <v>49.725093842</v>
      </c>
      <c r="G1558">
        <v>1381.4146728999999</v>
      </c>
      <c r="H1558">
        <v>1365.8691406</v>
      </c>
      <c r="I1558">
        <v>1294.7484131000001</v>
      </c>
      <c r="J1558">
        <v>1275.5718993999999</v>
      </c>
      <c r="K1558">
        <v>2400</v>
      </c>
      <c r="L1558">
        <v>0</v>
      </c>
      <c r="M1558">
        <v>0</v>
      </c>
      <c r="N1558">
        <v>2400</v>
      </c>
    </row>
    <row r="1559" spans="1:14" x14ac:dyDescent="0.25">
      <c r="A1559">
        <v>1097.625794</v>
      </c>
      <c r="B1559" s="1">
        <f>DATE(2013,5,2) + TIME(15,1,8)</f>
        <v>41396.625787037039</v>
      </c>
      <c r="C1559">
        <v>80</v>
      </c>
      <c r="D1559">
        <v>78.600700377999999</v>
      </c>
      <c r="E1559">
        <v>50</v>
      </c>
      <c r="F1559">
        <v>49.718563080000003</v>
      </c>
      <c r="G1559">
        <v>1381.7200928</v>
      </c>
      <c r="H1559">
        <v>1366.2233887</v>
      </c>
      <c r="I1559">
        <v>1294.3448486</v>
      </c>
      <c r="J1559">
        <v>1275.1676024999999</v>
      </c>
      <c r="K1559">
        <v>2400</v>
      </c>
      <c r="L1559">
        <v>0</v>
      </c>
      <c r="M1559">
        <v>0</v>
      </c>
      <c r="N1559">
        <v>2400</v>
      </c>
    </row>
    <row r="1560" spans="1:14" x14ac:dyDescent="0.25">
      <c r="A1560">
        <v>1097.7083729999999</v>
      </c>
      <c r="B1560" s="1">
        <f>DATE(2013,5,2) + TIME(17,0,3)</f>
        <v>41396.708368055559</v>
      </c>
      <c r="C1560">
        <v>80</v>
      </c>
      <c r="D1560">
        <v>78.753318786999998</v>
      </c>
      <c r="E1560">
        <v>50</v>
      </c>
      <c r="F1560">
        <v>49.711715697999999</v>
      </c>
      <c r="G1560">
        <v>1382.0206298999999</v>
      </c>
      <c r="H1560">
        <v>1366.5717772999999</v>
      </c>
      <c r="I1560">
        <v>1293.9473877</v>
      </c>
      <c r="J1560">
        <v>1274.7694091999999</v>
      </c>
      <c r="K1560">
        <v>2400</v>
      </c>
      <c r="L1560">
        <v>0</v>
      </c>
      <c r="M1560">
        <v>0</v>
      </c>
      <c r="N1560">
        <v>2400</v>
      </c>
    </row>
    <row r="1561" spans="1:14" x14ac:dyDescent="0.25">
      <c r="A1561">
        <v>1097.7963850000001</v>
      </c>
      <c r="B1561" s="1">
        <f>DATE(2013,5,2) + TIME(19,6,47)</f>
        <v>41396.796377314815</v>
      </c>
      <c r="C1561">
        <v>80</v>
      </c>
      <c r="D1561">
        <v>78.896400451999995</v>
      </c>
      <c r="E1561">
        <v>50</v>
      </c>
      <c r="F1561">
        <v>49.704505920000003</v>
      </c>
      <c r="G1561">
        <v>1382.3170166</v>
      </c>
      <c r="H1561">
        <v>1366.9150391000001</v>
      </c>
      <c r="I1561">
        <v>1293.5555420000001</v>
      </c>
      <c r="J1561">
        <v>1274.3767089999999</v>
      </c>
      <c r="K1561">
        <v>2400</v>
      </c>
      <c r="L1561">
        <v>0</v>
      </c>
      <c r="M1561">
        <v>0</v>
      </c>
      <c r="N1561">
        <v>2400</v>
      </c>
    </row>
    <row r="1562" spans="1:14" x14ac:dyDescent="0.25">
      <c r="A1562">
        <v>1097.890611</v>
      </c>
      <c r="B1562" s="1">
        <f>DATE(2013,5,2) + TIME(21,22,28)</f>
        <v>41396.890601851854</v>
      </c>
      <c r="C1562">
        <v>80</v>
      </c>
      <c r="D1562">
        <v>79.030036925999994</v>
      </c>
      <c r="E1562">
        <v>50</v>
      </c>
      <c r="F1562">
        <v>49.696887969999999</v>
      </c>
      <c r="G1562">
        <v>1382.6097411999999</v>
      </c>
      <c r="H1562">
        <v>1367.2537841999999</v>
      </c>
      <c r="I1562">
        <v>1293.1688231999999</v>
      </c>
      <c r="J1562">
        <v>1273.9892577999999</v>
      </c>
      <c r="K1562">
        <v>2400</v>
      </c>
      <c r="L1562">
        <v>0</v>
      </c>
      <c r="M1562">
        <v>0</v>
      </c>
      <c r="N1562">
        <v>2400</v>
      </c>
    </row>
    <row r="1563" spans="1:14" x14ac:dyDescent="0.25">
      <c r="A1563">
        <v>1097.9919950000001</v>
      </c>
      <c r="B1563" s="1">
        <f>DATE(2013,5,2) + TIME(23,48,28)</f>
        <v>41396.991990740738</v>
      </c>
      <c r="C1563">
        <v>80</v>
      </c>
      <c r="D1563">
        <v>79.154296875</v>
      </c>
      <c r="E1563">
        <v>50</v>
      </c>
      <c r="F1563">
        <v>49.688796996999997</v>
      </c>
      <c r="G1563">
        <v>1382.8990478999999</v>
      </c>
      <c r="H1563">
        <v>1367.588501</v>
      </c>
      <c r="I1563">
        <v>1292.7869873</v>
      </c>
      <c r="J1563">
        <v>1273.6065673999999</v>
      </c>
      <c r="K1563">
        <v>2400</v>
      </c>
      <c r="L1563">
        <v>0</v>
      </c>
      <c r="M1563">
        <v>0</v>
      </c>
      <c r="N1563">
        <v>2400</v>
      </c>
    </row>
    <row r="1564" spans="1:14" x14ac:dyDescent="0.25">
      <c r="A1564">
        <v>1098.097618</v>
      </c>
      <c r="B1564" s="1">
        <f>DATE(2013,5,3) + TIME(2,20,34)</f>
        <v>41397.097615740742</v>
      </c>
      <c r="C1564">
        <v>80</v>
      </c>
      <c r="D1564">
        <v>79.265579224000007</v>
      </c>
      <c r="E1564">
        <v>50</v>
      </c>
      <c r="F1564">
        <v>49.680446625000002</v>
      </c>
      <c r="G1564">
        <v>1383.175293</v>
      </c>
      <c r="H1564">
        <v>1367.9079589999999</v>
      </c>
      <c r="I1564">
        <v>1292.4224853999999</v>
      </c>
      <c r="J1564">
        <v>1273.2412108999999</v>
      </c>
      <c r="K1564">
        <v>2400</v>
      </c>
      <c r="L1564">
        <v>0</v>
      </c>
      <c r="M1564">
        <v>0</v>
      </c>
      <c r="N1564">
        <v>2400</v>
      </c>
    </row>
    <row r="1565" spans="1:14" x14ac:dyDescent="0.25">
      <c r="A1565">
        <v>1098.2034960000001</v>
      </c>
      <c r="B1565" s="1">
        <f>DATE(2013,5,3) + TIME(4,53,2)</f>
        <v>41397.20349537037</v>
      </c>
      <c r="C1565">
        <v>80</v>
      </c>
      <c r="D1565">
        <v>79.361450195000003</v>
      </c>
      <c r="E1565">
        <v>50</v>
      </c>
      <c r="F1565">
        <v>49.672111510999997</v>
      </c>
      <c r="G1565">
        <v>1383.4287108999999</v>
      </c>
      <c r="H1565">
        <v>1368.2012939000001</v>
      </c>
      <c r="I1565">
        <v>1292.0874022999999</v>
      </c>
      <c r="J1565">
        <v>1272.9052733999999</v>
      </c>
      <c r="K1565">
        <v>2400</v>
      </c>
      <c r="L1565">
        <v>0</v>
      </c>
      <c r="M1565">
        <v>0</v>
      </c>
      <c r="N1565">
        <v>2400</v>
      </c>
    </row>
    <row r="1566" spans="1:14" x14ac:dyDescent="0.25">
      <c r="A1566">
        <v>1098.310037</v>
      </c>
      <c r="B1566" s="1">
        <f>DATE(2013,5,3) + TIME(7,26,27)</f>
        <v>41397.310034722221</v>
      </c>
      <c r="C1566">
        <v>80</v>
      </c>
      <c r="D1566">
        <v>79.444320679</v>
      </c>
      <c r="E1566">
        <v>50</v>
      </c>
      <c r="F1566">
        <v>49.663761139000002</v>
      </c>
      <c r="G1566">
        <v>1383.6625977000001</v>
      </c>
      <c r="H1566">
        <v>1368.4726562000001</v>
      </c>
      <c r="I1566">
        <v>1291.777832</v>
      </c>
      <c r="J1566">
        <v>1272.5950928</v>
      </c>
      <c r="K1566">
        <v>2400</v>
      </c>
      <c r="L1566">
        <v>0</v>
      </c>
      <c r="M1566">
        <v>0</v>
      </c>
      <c r="N1566">
        <v>2400</v>
      </c>
    </row>
    <row r="1567" spans="1:14" x14ac:dyDescent="0.25">
      <c r="A1567">
        <v>1098.417477</v>
      </c>
      <c r="B1567" s="1">
        <f>DATE(2013,5,3) + TIME(10,1,9)</f>
        <v>41397.41746527778</v>
      </c>
      <c r="C1567">
        <v>80</v>
      </c>
      <c r="D1567">
        <v>79.516044617000006</v>
      </c>
      <c r="E1567">
        <v>50</v>
      </c>
      <c r="F1567">
        <v>49.655380248999997</v>
      </c>
      <c r="G1567">
        <v>1383.8793945</v>
      </c>
      <c r="H1567">
        <v>1368.7243652</v>
      </c>
      <c r="I1567">
        <v>1291.4913329999999</v>
      </c>
      <c r="J1567">
        <v>1272.3077393000001</v>
      </c>
      <c r="K1567">
        <v>2400</v>
      </c>
      <c r="L1567">
        <v>0</v>
      </c>
      <c r="M1567">
        <v>0</v>
      </c>
      <c r="N1567">
        <v>2400</v>
      </c>
    </row>
    <row r="1568" spans="1:14" x14ac:dyDescent="0.25">
      <c r="A1568">
        <v>1098.5260510000001</v>
      </c>
      <c r="B1568" s="1">
        <f>DATE(2013,5,3) + TIME(12,37,30)</f>
        <v>41397.526041666664</v>
      </c>
      <c r="C1568">
        <v>80</v>
      </c>
      <c r="D1568">
        <v>79.578178406000006</v>
      </c>
      <c r="E1568">
        <v>50</v>
      </c>
      <c r="F1568">
        <v>49.646953582999998</v>
      </c>
      <c r="G1568">
        <v>1384.0806885</v>
      </c>
      <c r="H1568">
        <v>1368.9586182</v>
      </c>
      <c r="I1568">
        <v>1291.2254639</v>
      </c>
      <c r="J1568">
        <v>1272.0412598</v>
      </c>
      <c r="K1568">
        <v>2400</v>
      </c>
      <c r="L1568">
        <v>0</v>
      </c>
      <c r="M1568">
        <v>0</v>
      </c>
      <c r="N1568">
        <v>2400</v>
      </c>
    </row>
    <row r="1569" spans="1:14" x14ac:dyDescent="0.25">
      <c r="A1569">
        <v>1098.6359930000001</v>
      </c>
      <c r="B1569" s="1">
        <f>DATE(2013,5,3) + TIME(15,15,49)</f>
        <v>41397.635983796295</v>
      </c>
      <c r="C1569">
        <v>80</v>
      </c>
      <c r="D1569">
        <v>79.632026671999995</v>
      </c>
      <c r="E1569">
        <v>50</v>
      </c>
      <c r="F1569">
        <v>49.638465881000002</v>
      </c>
      <c r="G1569">
        <v>1384.2679443</v>
      </c>
      <c r="H1569">
        <v>1369.1770019999999</v>
      </c>
      <c r="I1569">
        <v>1290.9786377</v>
      </c>
      <c r="J1569">
        <v>1271.7937012</v>
      </c>
      <c r="K1569">
        <v>2400</v>
      </c>
      <c r="L1569">
        <v>0</v>
      </c>
      <c r="M1569">
        <v>0</v>
      </c>
      <c r="N1569">
        <v>2400</v>
      </c>
    </row>
    <row r="1570" spans="1:14" x14ac:dyDescent="0.25">
      <c r="A1570">
        <v>1098.747535</v>
      </c>
      <c r="B1570" s="1">
        <f>DATE(2013,5,3) + TIME(17,56,26)</f>
        <v>41397.747523148151</v>
      </c>
      <c r="C1570">
        <v>80</v>
      </c>
      <c r="D1570">
        <v>79.678703307999996</v>
      </c>
      <c r="E1570">
        <v>50</v>
      </c>
      <c r="F1570">
        <v>49.629905700999998</v>
      </c>
      <c r="G1570">
        <v>1384.4423827999999</v>
      </c>
      <c r="H1570">
        <v>1369.3811035000001</v>
      </c>
      <c r="I1570">
        <v>1290.7490233999999</v>
      </c>
      <c r="J1570">
        <v>1271.5633545000001</v>
      </c>
      <c r="K1570">
        <v>2400</v>
      </c>
      <c r="L1570">
        <v>0</v>
      </c>
      <c r="M1570">
        <v>0</v>
      </c>
      <c r="N1570">
        <v>2400</v>
      </c>
    </row>
    <row r="1571" spans="1:14" x14ac:dyDescent="0.25">
      <c r="A1571">
        <v>1098.860913</v>
      </c>
      <c r="B1571" s="1">
        <f>DATE(2013,5,3) + TIME(20,39,42)</f>
        <v>41397.860902777778</v>
      </c>
      <c r="C1571">
        <v>80</v>
      </c>
      <c r="D1571">
        <v>79.719161987000007</v>
      </c>
      <c r="E1571">
        <v>50</v>
      </c>
      <c r="F1571">
        <v>49.621250152999998</v>
      </c>
      <c r="G1571">
        <v>1384.6051024999999</v>
      </c>
      <c r="H1571">
        <v>1369.5721435999999</v>
      </c>
      <c r="I1571">
        <v>1290.5351562000001</v>
      </c>
      <c r="J1571">
        <v>1271.3488769999999</v>
      </c>
      <c r="K1571">
        <v>2400</v>
      </c>
      <c r="L1571">
        <v>0</v>
      </c>
      <c r="M1571">
        <v>0</v>
      </c>
      <c r="N1571">
        <v>2400</v>
      </c>
    </row>
    <row r="1572" spans="1:14" x14ac:dyDescent="0.25">
      <c r="A1572">
        <v>1098.9760839999999</v>
      </c>
      <c r="B1572" s="1">
        <f>DATE(2013,5,3) + TIME(23,25,33)</f>
        <v>41397.976076388892</v>
      </c>
      <c r="C1572">
        <v>80</v>
      </c>
      <c r="D1572">
        <v>79.754135132000002</v>
      </c>
      <c r="E1572">
        <v>50</v>
      </c>
      <c r="F1572">
        <v>49.612503052000001</v>
      </c>
      <c r="G1572">
        <v>1384.7565918</v>
      </c>
      <c r="H1572">
        <v>1369.7504882999999</v>
      </c>
      <c r="I1572">
        <v>1290.3364257999999</v>
      </c>
      <c r="J1572">
        <v>1271.1494141000001</v>
      </c>
      <c r="K1572">
        <v>2400</v>
      </c>
      <c r="L1572">
        <v>0</v>
      </c>
      <c r="M1572">
        <v>0</v>
      </c>
      <c r="N1572">
        <v>2400</v>
      </c>
    </row>
    <row r="1573" spans="1:14" x14ac:dyDescent="0.25">
      <c r="A1573">
        <v>1099.0929699999999</v>
      </c>
      <c r="B1573" s="1">
        <f>DATE(2013,5,4) + TIME(2,13,52)</f>
        <v>41398.092962962961</v>
      </c>
      <c r="C1573">
        <v>80</v>
      </c>
      <c r="D1573">
        <v>79.784278869999994</v>
      </c>
      <c r="E1573">
        <v>50</v>
      </c>
      <c r="F1573">
        <v>49.603675842000001</v>
      </c>
      <c r="G1573">
        <v>1384.8972168</v>
      </c>
      <c r="H1573">
        <v>1369.9169922000001</v>
      </c>
      <c r="I1573">
        <v>1290.1522216999999</v>
      </c>
      <c r="J1573">
        <v>1270.9644774999999</v>
      </c>
      <c r="K1573">
        <v>2400</v>
      </c>
      <c r="L1573">
        <v>0</v>
      </c>
      <c r="M1573">
        <v>0</v>
      </c>
      <c r="N1573">
        <v>2400</v>
      </c>
    </row>
    <row r="1574" spans="1:14" x14ac:dyDescent="0.25">
      <c r="A1574">
        <v>1099.2117989999999</v>
      </c>
      <c r="B1574" s="1">
        <f>DATE(2013,5,4) + TIME(5,4,59)</f>
        <v>41398.211793981478</v>
      </c>
      <c r="C1574">
        <v>80</v>
      </c>
      <c r="D1574">
        <v>79.810256957999997</v>
      </c>
      <c r="E1574">
        <v>50</v>
      </c>
      <c r="F1574">
        <v>49.594745635999999</v>
      </c>
      <c r="G1574">
        <v>1385.027832</v>
      </c>
      <c r="H1574">
        <v>1370.0723877</v>
      </c>
      <c r="I1574">
        <v>1289.9812012</v>
      </c>
      <c r="J1574">
        <v>1270.7928466999999</v>
      </c>
      <c r="K1574">
        <v>2400</v>
      </c>
      <c r="L1574">
        <v>0</v>
      </c>
      <c r="M1574">
        <v>0</v>
      </c>
      <c r="N1574">
        <v>2400</v>
      </c>
    </row>
    <row r="1575" spans="1:14" x14ac:dyDescent="0.25">
      <c r="A1575">
        <v>1099.3327979999999</v>
      </c>
      <c r="B1575" s="1">
        <f>DATE(2013,5,4) + TIME(7,59,13)</f>
        <v>41398.332789351851</v>
      </c>
      <c r="C1575">
        <v>80</v>
      </c>
      <c r="D1575">
        <v>79.832626343000001</v>
      </c>
      <c r="E1575">
        <v>50</v>
      </c>
      <c r="F1575">
        <v>49.585704802999999</v>
      </c>
      <c r="G1575">
        <v>1385.1492920000001</v>
      </c>
      <c r="H1575">
        <v>1370.2177733999999</v>
      </c>
      <c r="I1575">
        <v>1289.8225098</v>
      </c>
      <c r="J1575">
        <v>1270.6334228999999</v>
      </c>
      <c r="K1575">
        <v>2400</v>
      </c>
      <c r="L1575">
        <v>0</v>
      </c>
      <c r="M1575">
        <v>0</v>
      </c>
      <c r="N1575">
        <v>2400</v>
      </c>
    </row>
    <row r="1576" spans="1:14" x14ac:dyDescent="0.25">
      <c r="A1576">
        <v>1099.456261</v>
      </c>
      <c r="B1576" s="1">
        <f>DATE(2013,5,4) + TIME(10,57,0)</f>
        <v>41398.456250000003</v>
      </c>
      <c r="C1576">
        <v>80</v>
      </c>
      <c r="D1576">
        <v>79.851875304999993</v>
      </c>
      <c r="E1576">
        <v>50</v>
      </c>
      <c r="F1576">
        <v>49.576530456999997</v>
      </c>
      <c r="G1576">
        <v>1385.2619629000001</v>
      </c>
      <c r="H1576">
        <v>1370.3536377</v>
      </c>
      <c r="I1576">
        <v>1289.6754149999999</v>
      </c>
      <c r="J1576">
        <v>1270.4855957</v>
      </c>
      <c r="K1576">
        <v>2400</v>
      </c>
      <c r="L1576">
        <v>0</v>
      </c>
      <c r="M1576">
        <v>0</v>
      </c>
      <c r="N1576">
        <v>2400</v>
      </c>
    </row>
    <row r="1577" spans="1:14" x14ac:dyDescent="0.25">
      <c r="A1577">
        <v>1099.582392</v>
      </c>
      <c r="B1577" s="1">
        <f>DATE(2013,5,4) + TIME(13,58,38)</f>
        <v>41398.582384259258</v>
      </c>
      <c r="C1577">
        <v>80</v>
      </c>
      <c r="D1577">
        <v>79.868408203000001</v>
      </c>
      <c r="E1577">
        <v>50</v>
      </c>
      <c r="F1577">
        <v>49.567211151000002</v>
      </c>
      <c r="G1577">
        <v>1385.3665771000001</v>
      </c>
      <c r="H1577">
        <v>1370.4805908000001</v>
      </c>
      <c r="I1577">
        <v>1289.5389404</v>
      </c>
      <c r="J1577">
        <v>1270.3485106999999</v>
      </c>
      <c r="K1577">
        <v>2400</v>
      </c>
      <c r="L1577">
        <v>0</v>
      </c>
      <c r="M1577">
        <v>0</v>
      </c>
      <c r="N1577">
        <v>2400</v>
      </c>
    </row>
    <row r="1578" spans="1:14" x14ac:dyDescent="0.25">
      <c r="A1578">
        <v>1099.711462</v>
      </c>
      <c r="B1578" s="1">
        <f>DATE(2013,5,4) + TIME(17,4,30)</f>
        <v>41398.711458333331</v>
      </c>
      <c r="C1578">
        <v>80</v>
      </c>
      <c r="D1578">
        <v>79.882583617999998</v>
      </c>
      <c r="E1578">
        <v>50</v>
      </c>
      <c r="F1578">
        <v>49.557727814000003</v>
      </c>
      <c r="G1578">
        <v>1385.4633789</v>
      </c>
      <c r="H1578">
        <v>1370.5993652</v>
      </c>
      <c r="I1578">
        <v>1289.4125977000001</v>
      </c>
      <c r="J1578">
        <v>1270.2214355000001</v>
      </c>
      <c r="K1578">
        <v>2400</v>
      </c>
      <c r="L1578">
        <v>0</v>
      </c>
      <c r="M1578">
        <v>0</v>
      </c>
      <c r="N1578">
        <v>2400</v>
      </c>
    </row>
    <row r="1579" spans="1:14" x14ac:dyDescent="0.25">
      <c r="A1579">
        <v>1099.843762</v>
      </c>
      <c r="B1579" s="1">
        <f>DATE(2013,5,4) + TIME(20,15,1)</f>
        <v>41398.843761574077</v>
      </c>
      <c r="C1579">
        <v>80</v>
      </c>
      <c r="D1579">
        <v>79.894729613999999</v>
      </c>
      <c r="E1579">
        <v>50</v>
      </c>
      <c r="F1579">
        <v>49.548061371000003</v>
      </c>
      <c r="G1579">
        <v>1385.5528564000001</v>
      </c>
      <c r="H1579">
        <v>1370.7102050999999</v>
      </c>
      <c r="I1579">
        <v>1289.2957764</v>
      </c>
      <c r="J1579">
        <v>1270.1038818</v>
      </c>
      <c r="K1579">
        <v>2400</v>
      </c>
      <c r="L1579">
        <v>0</v>
      </c>
      <c r="M1579">
        <v>0</v>
      </c>
      <c r="N1579">
        <v>2400</v>
      </c>
    </row>
    <row r="1580" spans="1:14" x14ac:dyDescent="0.25">
      <c r="A1580">
        <v>1099.9796100000001</v>
      </c>
      <c r="B1580" s="1">
        <f>DATE(2013,5,4) + TIME(23,30,38)</f>
        <v>41398.97960648148</v>
      </c>
      <c r="C1580">
        <v>80</v>
      </c>
      <c r="D1580">
        <v>79.905097960999996</v>
      </c>
      <c r="E1580">
        <v>50</v>
      </c>
      <c r="F1580">
        <v>49.538196564000003</v>
      </c>
      <c r="G1580">
        <v>1385.635376</v>
      </c>
      <c r="H1580">
        <v>1370.8137207</v>
      </c>
      <c r="I1580">
        <v>1289.1878661999999</v>
      </c>
      <c r="J1580">
        <v>1269.9952393000001</v>
      </c>
      <c r="K1580">
        <v>2400</v>
      </c>
      <c r="L1580">
        <v>0</v>
      </c>
      <c r="M1580">
        <v>0</v>
      </c>
      <c r="N1580">
        <v>2400</v>
      </c>
    </row>
    <row r="1581" spans="1:14" x14ac:dyDescent="0.25">
      <c r="A1581">
        <v>1100.119355</v>
      </c>
      <c r="B1581" s="1">
        <f>DATE(2013,5,5) + TIME(2,51,52)</f>
        <v>41399.119351851848</v>
      </c>
      <c r="C1581">
        <v>80</v>
      </c>
      <c r="D1581">
        <v>79.913932799999998</v>
      </c>
      <c r="E1581">
        <v>50</v>
      </c>
      <c r="F1581">
        <v>49.528106688999998</v>
      </c>
      <c r="G1581">
        <v>1385.7111815999999</v>
      </c>
      <c r="H1581">
        <v>1370.9100341999999</v>
      </c>
      <c r="I1581">
        <v>1289.0883789</v>
      </c>
      <c r="J1581">
        <v>1269.8951416</v>
      </c>
      <c r="K1581">
        <v>2400</v>
      </c>
      <c r="L1581">
        <v>0</v>
      </c>
      <c r="M1581">
        <v>0</v>
      </c>
      <c r="N1581">
        <v>2400</v>
      </c>
    </row>
    <row r="1582" spans="1:14" x14ac:dyDescent="0.25">
      <c r="A1582">
        <v>1100.263379</v>
      </c>
      <c r="B1582" s="1">
        <f>DATE(2013,5,5) + TIME(6,19,15)</f>
        <v>41399.263368055559</v>
      </c>
      <c r="C1582">
        <v>80</v>
      </c>
      <c r="D1582">
        <v>79.921447753999999</v>
      </c>
      <c r="E1582">
        <v>50</v>
      </c>
      <c r="F1582">
        <v>49.517768859999997</v>
      </c>
      <c r="G1582">
        <v>1385.7805175999999</v>
      </c>
      <c r="H1582">
        <v>1370.9997559000001</v>
      </c>
      <c r="I1582">
        <v>1288.9969481999999</v>
      </c>
      <c r="J1582">
        <v>1269.8028564000001</v>
      </c>
      <c r="K1582">
        <v>2400</v>
      </c>
      <c r="L1582">
        <v>0</v>
      </c>
      <c r="M1582">
        <v>0</v>
      </c>
      <c r="N1582">
        <v>2400</v>
      </c>
    </row>
    <row r="1583" spans="1:14" x14ac:dyDescent="0.25">
      <c r="A1583">
        <v>1100.4121070000001</v>
      </c>
      <c r="B1583" s="1">
        <f>DATE(2013,5,5) + TIME(9,53,26)</f>
        <v>41399.412106481483</v>
      </c>
      <c r="C1583">
        <v>80</v>
      </c>
      <c r="D1583">
        <v>79.927818298000005</v>
      </c>
      <c r="E1583">
        <v>50</v>
      </c>
      <c r="F1583">
        <v>49.507156371999997</v>
      </c>
      <c r="G1583">
        <v>1385.8436279</v>
      </c>
      <c r="H1583">
        <v>1371.0831298999999</v>
      </c>
      <c r="I1583">
        <v>1288.9129639</v>
      </c>
      <c r="J1583">
        <v>1269.7182617000001</v>
      </c>
      <c r="K1583">
        <v>2400</v>
      </c>
      <c r="L1583">
        <v>0</v>
      </c>
      <c r="M1583">
        <v>0</v>
      </c>
      <c r="N1583">
        <v>2400</v>
      </c>
    </row>
    <row r="1584" spans="1:14" x14ac:dyDescent="0.25">
      <c r="A1584">
        <v>1100.566014</v>
      </c>
      <c r="B1584" s="1">
        <f>DATE(2013,5,5) + TIME(13,35,3)</f>
        <v>41399.566006944442</v>
      </c>
      <c r="C1584">
        <v>80</v>
      </c>
      <c r="D1584">
        <v>79.933197020999998</v>
      </c>
      <c r="E1584">
        <v>50</v>
      </c>
      <c r="F1584">
        <v>49.496246337999999</v>
      </c>
      <c r="G1584">
        <v>1385.9008789</v>
      </c>
      <c r="H1584">
        <v>1371.1602783000001</v>
      </c>
      <c r="I1584">
        <v>1288.8363036999999</v>
      </c>
      <c r="J1584">
        <v>1269.6407471</v>
      </c>
      <c r="K1584">
        <v>2400</v>
      </c>
      <c r="L1584">
        <v>0</v>
      </c>
      <c r="M1584">
        <v>0</v>
      </c>
      <c r="N1584">
        <v>2400</v>
      </c>
    </row>
    <row r="1585" spans="1:14" x14ac:dyDescent="0.25">
      <c r="A1585">
        <v>1100.725633</v>
      </c>
      <c r="B1585" s="1">
        <f>DATE(2013,5,5) + TIME(17,24,54)</f>
        <v>41399.725624999999</v>
      </c>
      <c r="C1585">
        <v>80</v>
      </c>
      <c r="D1585">
        <v>79.937721252000003</v>
      </c>
      <c r="E1585">
        <v>50</v>
      </c>
      <c r="F1585">
        <v>49.48500061</v>
      </c>
      <c r="G1585">
        <v>1385.9522704999999</v>
      </c>
      <c r="H1585">
        <v>1371.2315673999999</v>
      </c>
      <c r="I1585">
        <v>1288.7663574000001</v>
      </c>
      <c r="J1585">
        <v>1269.5700684000001</v>
      </c>
      <c r="K1585">
        <v>2400</v>
      </c>
      <c r="L1585">
        <v>0</v>
      </c>
      <c r="M1585">
        <v>0</v>
      </c>
      <c r="N1585">
        <v>2400</v>
      </c>
    </row>
    <row r="1586" spans="1:14" x14ac:dyDescent="0.25">
      <c r="A1586">
        <v>1100.891644</v>
      </c>
      <c r="B1586" s="1">
        <f>DATE(2013,5,5) + TIME(21,23,58)</f>
        <v>41399.891643518517</v>
      </c>
      <c r="C1586">
        <v>80</v>
      </c>
      <c r="D1586">
        <v>79.941520690999994</v>
      </c>
      <c r="E1586">
        <v>50</v>
      </c>
      <c r="F1586">
        <v>49.473377227999997</v>
      </c>
      <c r="G1586">
        <v>1385.9979248</v>
      </c>
      <c r="H1586">
        <v>1371.2971190999999</v>
      </c>
      <c r="I1586">
        <v>1288.7030029</v>
      </c>
      <c r="J1586">
        <v>1269.5058594</v>
      </c>
      <c r="K1586">
        <v>2400</v>
      </c>
      <c r="L1586">
        <v>0</v>
      </c>
      <c r="M1586">
        <v>0</v>
      </c>
      <c r="N1586">
        <v>2400</v>
      </c>
    </row>
    <row r="1587" spans="1:14" x14ac:dyDescent="0.25">
      <c r="A1587">
        <v>1101.064709</v>
      </c>
      <c r="B1587" s="1">
        <f>DATE(2013,5,6) + TIME(1,33,10)</f>
        <v>41400.064699074072</v>
      </c>
      <c r="C1587">
        <v>80</v>
      </c>
      <c r="D1587">
        <v>79.944694518999995</v>
      </c>
      <c r="E1587">
        <v>50</v>
      </c>
      <c r="F1587">
        <v>49.461345672999997</v>
      </c>
      <c r="G1587">
        <v>1386.0379639</v>
      </c>
      <c r="H1587">
        <v>1371.3571777</v>
      </c>
      <c r="I1587">
        <v>1288.6457519999999</v>
      </c>
      <c r="J1587">
        <v>1269.4477539</v>
      </c>
      <c r="K1587">
        <v>2400</v>
      </c>
      <c r="L1587">
        <v>0</v>
      </c>
      <c r="M1587">
        <v>0</v>
      </c>
      <c r="N1587">
        <v>2400</v>
      </c>
    </row>
    <row r="1588" spans="1:14" x14ac:dyDescent="0.25">
      <c r="A1588">
        <v>1101.2449770000001</v>
      </c>
      <c r="B1588" s="1">
        <f>DATE(2013,5,6) + TIME(5,52,46)</f>
        <v>41400.244976851849</v>
      </c>
      <c r="C1588">
        <v>80</v>
      </c>
      <c r="D1588">
        <v>79.947319031000006</v>
      </c>
      <c r="E1588">
        <v>50</v>
      </c>
      <c r="F1588">
        <v>49.448886870999999</v>
      </c>
      <c r="G1588">
        <v>1386.0723877</v>
      </c>
      <c r="H1588">
        <v>1371.411499</v>
      </c>
      <c r="I1588">
        <v>1288.5947266000001</v>
      </c>
      <c r="J1588">
        <v>1269.395874</v>
      </c>
      <c r="K1588">
        <v>2400</v>
      </c>
      <c r="L1588">
        <v>0</v>
      </c>
      <c r="M1588">
        <v>0</v>
      </c>
      <c r="N1588">
        <v>2400</v>
      </c>
    </row>
    <row r="1589" spans="1:14" x14ac:dyDescent="0.25">
      <c r="A1589">
        <v>1101.431405</v>
      </c>
      <c r="B1589" s="1">
        <f>DATE(2013,5,6) + TIME(10,21,13)</f>
        <v>41400.431400462963</v>
      </c>
      <c r="C1589">
        <v>80</v>
      </c>
      <c r="D1589">
        <v>79.949470520000006</v>
      </c>
      <c r="E1589">
        <v>50</v>
      </c>
      <c r="F1589">
        <v>49.436061858999999</v>
      </c>
      <c r="G1589">
        <v>1386.1004639</v>
      </c>
      <c r="H1589">
        <v>1371.4595947</v>
      </c>
      <c r="I1589">
        <v>1288.5496826000001</v>
      </c>
      <c r="J1589">
        <v>1269.3499756000001</v>
      </c>
      <c r="K1589">
        <v>2400</v>
      </c>
      <c r="L1589">
        <v>0</v>
      </c>
      <c r="M1589">
        <v>0</v>
      </c>
      <c r="N1589">
        <v>2400</v>
      </c>
    </row>
    <row r="1590" spans="1:14" x14ac:dyDescent="0.25">
      <c r="A1590">
        <v>1101.624652</v>
      </c>
      <c r="B1590" s="1">
        <f>DATE(2013,5,6) + TIME(14,59,29)</f>
        <v>41400.624641203707</v>
      </c>
      <c r="C1590">
        <v>80</v>
      </c>
      <c r="D1590">
        <v>79.951217650999993</v>
      </c>
      <c r="E1590">
        <v>50</v>
      </c>
      <c r="F1590">
        <v>49.422828674000002</v>
      </c>
      <c r="G1590">
        <v>1386.1229248</v>
      </c>
      <c r="H1590">
        <v>1371.5021973</v>
      </c>
      <c r="I1590">
        <v>1288.510376</v>
      </c>
      <c r="J1590">
        <v>1269.3096923999999</v>
      </c>
      <c r="K1590">
        <v>2400</v>
      </c>
      <c r="L1590">
        <v>0</v>
      </c>
      <c r="M1590">
        <v>0</v>
      </c>
      <c r="N1590">
        <v>2400</v>
      </c>
    </row>
    <row r="1591" spans="1:14" x14ac:dyDescent="0.25">
      <c r="A1591">
        <v>1101.8253870000001</v>
      </c>
      <c r="B1591" s="1">
        <f>DATE(2013,5,6) + TIME(19,48,33)</f>
        <v>41400.825381944444</v>
      </c>
      <c r="C1591">
        <v>80</v>
      </c>
      <c r="D1591">
        <v>79.952644348000007</v>
      </c>
      <c r="E1591">
        <v>50</v>
      </c>
      <c r="F1591">
        <v>49.409160614000001</v>
      </c>
      <c r="G1591">
        <v>1386.1400146000001</v>
      </c>
      <c r="H1591">
        <v>1371.5394286999999</v>
      </c>
      <c r="I1591">
        <v>1288.4763184000001</v>
      </c>
      <c r="J1591">
        <v>1269.2747803</v>
      </c>
      <c r="K1591">
        <v>2400</v>
      </c>
      <c r="L1591">
        <v>0</v>
      </c>
      <c r="M1591">
        <v>0</v>
      </c>
      <c r="N1591">
        <v>2400</v>
      </c>
    </row>
    <row r="1592" spans="1:14" x14ac:dyDescent="0.25">
      <c r="A1592">
        <v>1102.034527</v>
      </c>
      <c r="B1592" s="1">
        <f>DATE(2013,5,7) + TIME(0,49,43)</f>
        <v>41401.034525462965</v>
      </c>
      <c r="C1592">
        <v>80</v>
      </c>
      <c r="D1592">
        <v>79.953796386999997</v>
      </c>
      <c r="E1592">
        <v>50</v>
      </c>
      <c r="F1592">
        <v>49.394996642999999</v>
      </c>
      <c r="G1592">
        <v>1386.1518555</v>
      </c>
      <c r="H1592">
        <v>1371.5714111</v>
      </c>
      <c r="I1592">
        <v>1288.4472656</v>
      </c>
      <c r="J1592">
        <v>1269.244751</v>
      </c>
      <c r="K1592">
        <v>2400</v>
      </c>
      <c r="L1592">
        <v>0</v>
      </c>
      <c r="M1592">
        <v>0</v>
      </c>
      <c r="N1592">
        <v>2400</v>
      </c>
    </row>
    <row r="1593" spans="1:14" x14ac:dyDescent="0.25">
      <c r="A1593">
        <v>1102.2508130000001</v>
      </c>
      <c r="B1593" s="1">
        <f>DATE(2013,5,7) + TIME(6,1,10)</f>
        <v>41401.250810185185</v>
      </c>
      <c r="C1593">
        <v>80</v>
      </c>
      <c r="D1593">
        <v>79.954711914000001</v>
      </c>
      <c r="E1593">
        <v>50</v>
      </c>
      <c r="F1593">
        <v>49.380409241000002</v>
      </c>
      <c r="G1593">
        <v>1386.1579589999999</v>
      </c>
      <c r="H1593">
        <v>1371.5979004000001</v>
      </c>
      <c r="I1593">
        <v>1288.4228516000001</v>
      </c>
      <c r="J1593">
        <v>1269.2193603999999</v>
      </c>
      <c r="K1593">
        <v>2400</v>
      </c>
      <c r="L1593">
        <v>0</v>
      </c>
      <c r="M1593">
        <v>0</v>
      </c>
      <c r="N1593">
        <v>2400</v>
      </c>
    </row>
    <row r="1594" spans="1:14" x14ac:dyDescent="0.25">
      <c r="A1594">
        <v>1102.4682339999999</v>
      </c>
      <c r="B1594" s="1">
        <f>DATE(2013,5,7) + TIME(11,14,15)</f>
        <v>41401.468229166669</v>
      </c>
      <c r="C1594">
        <v>80</v>
      </c>
      <c r="D1594">
        <v>79.955429077000005</v>
      </c>
      <c r="E1594">
        <v>50</v>
      </c>
      <c r="F1594">
        <v>49.365711212000001</v>
      </c>
      <c r="G1594">
        <v>1386.1577147999999</v>
      </c>
      <c r="H1594">
        <v>1371.6180420000001</v>
      </c>
      <c r="I1594">
        <v>1288.4031981999999</v>
      </c>
      <c r="J1594">
        <v>1269.1987305</v>
      </c>
      <c r="K1594">
        <v>2400</v>
      </c>
      <c r="L1594">
        <v>0</v>
      </c>
      <c r="M1594">
        <v>0</v>
      </c>
      <c r="N1594">
        <v>2400</v>
      </c>
    </row>
    <row r="1595" spans="1:14" x14ac:dyDescent="0.25">
      <c r="A1595">
        <v>1102.6873909999999</v>
      </c>
      <c r="B1595" s="1">
        <f>DATE(2013,5,7) + TIME(16,29,50)</f>
        <v>41401.687384259261</v>
      </c>
      <c r="C1595">
        <v>80</v>
      </c>
      <c r="D1595">
        <v>79.955986022999994</v>
      </c>
      <c r="E1595">
        <v>50</v>
      </c>
      <c r="F1595">
        <v>49.350894928000002</v>
      </c>
      <c r="G1595">
        <v>1386.1529541</v>
      </c>
      <c r="H1595">
        <v>1371.6331786999999</v>
      </c>
      <c r="I1595">
        <v>1288.3875731999999</v>
      </c>
      <c r="J1595">
        <v>1269.1821289</v>
      </c>
      <c r="K1595">
        <v>2400</v>
      </c>
      <c r="L1595">
        <v>0</v>
      </c>
      <c r="M1595">
        <v>0</v>
      </c>
      <c r="N1595">
        <v>2400</v>
      </c>
    </row>
    <row r="1596" spans="1:14" x14ac:dyDescent="0.25">
      <c r="A1596">
        <v>1102.908878</v>
      </c>
      <c r="B1596" s="1">
        <f>DATE(2013,5,7) + TIME(21,48,47)</f>
        <v>41401.908877314818</v>
      </c>
      <c r="C1596">
        <v>80</v>
      </c>
      <c r="D1596">
        <v>79.956420898000005</v>
      </c>
      <c r="E1596">
        <v>50</v>
      </c>
      <c r="F1596">
        <v>49.335933685000001</v>
      </c>
      <c r="G1596">
        <v>1386.1445312000001</v>
      </c>
      <c r="H1596">
        <v>1371.644043</v>
      </c>
      <c r="I1596">
        <v>1288.3753661999999</v>
      </c>
      <c r="J1596">
        <v>1269.1688231999999</v>
      </c>
      <c r="K1596">
        <v>2400</v>
      </c>
      <c r="L1596">
        <v>0</v>
      </c>
      <c r="M1596">
        <v>0</v>
      </c>
      <c r="N1596">
        <v>2400</v>
      </c>
    </row>
    <row r="1597" spans="1:14" x14ac:dyDescent="0.25">
      <c r="A1597">
        <v>1103.133155</v>
      </c>
      <c r="B1597" s="1">
        <f>DATE(2013,5,8) + TIME(3,11,44)</f>
        <v>41402.133148148147</v>
      </c>
      <c r="C1597">
        <v>80</v>
      </c>
      <c r="D1597">
        <v>79.956756592000005</v>
      </c>
      <c r="E1597">
        <v>50</v>
      </c>
      <c r="F1597">
        <v>49.320819855000003</v>
      </c>
      <c r="G1597">
        <v>1386.1325684000001</v>
      </c>
      <c r="H1597">
        <v>1371.6512451000001</v>
      </c>
      <c r="I1597">
        <v>1288.3659668</v>
      </c>
      <c r="J1597">
        <v>1269.1584473</v>
      </c>
      <c r="K1597">
        <v>2400</v>
      </c>
      <c r="L1597">
        <v>0</v>
      </c>
      <c r="M1597">
        <v>0</v>
      </c>
      <c r="N1597">
        <v>2400</v>
      </c>
    </row>
    <row r="1598" spans="1:14" x14ac:dyDescent="0.25">
      <c r="A1598">
        <v>1103.360764</v>
      </c>
      <c r="B1598" s="1">
        <f>DATE(2013,5,8) + TIME(8,39,30)</f>
        <v>41402.360763888886</v>
      </c>
      <c r="C1598">
        <v>80</v>
      </c>
      <c r="D1598">
        <v>79.957023621000005</v>
      </c>
      <c r="E1598">
        <v>50</v>
      </c>
      <c r="F1598">
        <v>49.305526733000001</v>
      </c>
      <c r="G1598">
        <v>1386.1174315999999</v>
      </c>
      <c r="H1598">
        <v>1371.6547852000001</v>
      </c>
      <c r="I1598">
        <v>1288.3591309000001</v>
      </c>
      <c r="J1598">
        <v>1269.1506348</v>
      </c>
      <c r="K1598">
        <v>2400</v>
      </c>
      <c r="L1598">
        <v>0</v>
      </c>
      <c r="M1598">
        <v>0</v>
      </c>
      <c r="N1598">
        <v>2400</v>
      </c>
    </row>
    <row r="1599" spans="1:14" x14ac:dyDescent="0.25">
      <c r="A1599">
        <v>1103.591964</v>
      </c>
      <c r="B1599" s="1">
        <f>DATE(2013,5,8) + TIME(14,12,25)</f>
        <v>41402.591956018521</v>
      </c>
      <c r="C1599">
        <v>80</v>
      </c>
      <c r="D1599">
        <v>79.957229613999999</v>
      </c>
      <c r="E1599">
        <v>50</v>
      </c>
      <c r="F1599">
        <v>49.290042876999998</v>
      </c>
      <c r="G1599">
        <v>1386.0994873</v>
      </c>
      <c r="H1599">
        <v>1371.6552733999999</v>
      </c>
      <c r="I1599">
        <v>1288.3543701000001</v>
      </c>
      <c r="J1599">
        <v>1269.1447754000001</v>
      </c>
      <c r="K1599">
        <v>2400</v>
      </c>
      <c r="L1599">
        <v>0</v>
      </c>
      <c r="M1599">
        <v>0</v>
      </c>
      <c r="N1599">
        <v>2400</v>
      </c>
    </row>
    <row r="1600" spans="1:14" x14ac:dyDescent="0.25">
      <c r="A1600">
        <v>1103.825695</v>
      </c>
      <c r="B1600" s="1">
        <f>DATE(2013,5,8) + TIME(19,49,0)</f>
        <v>41402.825694444444</v>
      </c>
      <c r="C1600">
        <v>80</v>
      </c>
      <c r="D1600">
        <v>79.957389832000004</v>
      </c>
      <c r="E1600">
        <v>50</v>
      </c>
      <c r="F1600">
        <v>49.274425506999997</v>
      </c>
      <c r="G1600">
        <v>1386.0786132999999</v>
      </c>
      <c r="H1600">
        <v>1371.6527100000001</v>
      </c>
      <c r="I1600">
        <v>1288.3513184000001</v>
      </c>
      <c r="J1600">
        <v>1269.140625</v>
      </c>
      <c r="K1600">
        <v>2400</v>
      </c>
      <c r="L1600">
        <v>0</v>
      </c>
      <c r="M1600">
        <v>0</v>
      </c>
      <c r="N1600">
        <v>2400</v>
      </c>
    </row>
    <row r="1601" spans="1:14" x14ac:dyDescent="0.25">
      <c r="A1601">
        <v>1104.0624769999999</v>
      </c>
      <c r="B1601" s="1">
        <f>DATE(2013,5,9) + TIME(1,29,58)</f>
        <v>41403.062476851854</v>
      </c>
      <c r="C1601">
        <v>80</v>
      </c>
      <c r="D1601">
        <v>79.957519531000003</v>
      </c>
      <c r="E1601">
        <v>50</v>
      </c>
      <c r="F1601">
        <v>49.258655548</v>
      </c>
      <c r="G1601">
        <v>1386.0554199000001</v>
      </c>
      <c r="H1601">
        <v>1371.6475829999999</v>
      </c>
      <c r="I1601">
        <v>1288.3497314000001</v>
      </c>
      <c r="J1601">
        <v>1269.1379394999999</v>
      </c>
      <c r="K1601">
        <v>2400</v>
      </c>
      <c r="L1601">
        <v>0</v>
      </c>
      <c r="M1601">
        <v>0</v>
      </c>
      <c r="N1601">
        <v>2400</v>
      </c>
    </row>
    <row r="1602" spans="1:14" x14ac:dyDescent="0.25">
      <c r="A1602">
        <v>1104.3027239999999</v>
      </c>
      <c r="B1602" s="1">
        <f>DATE(2013,5,9) + TIME(7,15,55)</f>
        <v>41403.302719907406</v>
      </c>
      <c r="C1602">
        <v>80</v>
      </c>
      <c r="D1602">
        <v>79.957611084000007</v>
      </c>
      <c r="E1602">
        <v>50</v>
      </c>
      <c r="F1602">
        <v>49.242713928000001</v>
      </c>
      <c r="G1602">
        <v>1386.0302733999999</v>
      </c>
      <c r="H1602">
        <v>1371.6400146000001</v>
      </c>
      <c r="I1602">
        <v>1288.3493652</v>
      </c>
      <c r="J1602">
        <v>1269.1364745999999</v>
      </c>
      <c r="K1602">
        <v>2400</v>
      </c>
      <c r="L1602">
        <v>0</v>
      </c>
      <c r="M1602">
        <v>0</v>
      </c>
      <c r="N1602">
        <v>2400</v>
      </c>
    </row>
    <row r="1603" spans="1:14" x14ac:dyDescent="0.25">
      <c r="A1603">
        <v>1104.5469390000001</v>
      </c>
      <c r="B1603" s="1">
        <f>DATE(2013,5,9) + TIME(13,7,35)</f>
        <v>41403.546932870369</v>
      </c>
      <c r="C1603">
        <v>80</v>
      </c>
      <c r="D1603">
        <v>79.957687378000003</v>
      </c>
      <c r="E1603">
        <v>50</v>
      </c>
      <c r="F1603">
        <v>49.226573944000002</v>
      </c>
      <c r="G1603">
        <v>1386.0030518000001</v>
      </c>
      <c r="H1603">
        <v>1371.630249</v>
      </c>
      <c r="I1603">
        <v>1288.3498535000001</v>
      </c>
      <c r="J1603">
        <v>1269.1358643000001</v>
      </c>
      <c r="K1603">
        <v>2400</v>
      </c>
      <c r="L1603">
        <v>0</v>
      </c>
      <c r="M1603">
        <v>0</v>
      </c>
      <c r="N1603">
        <v>2400</v>
      </c>
    </row>
    <row r="1604" spans="1:14" x14ac:dyDescent="0.25">
      <c r="A1604">
        <v>1104.7956509999999</v>
      </c>
      <c r="B1604" s="1">
        <f>DATE(2013,5,9) + TIME(19,5,44)</f>
        <v>41403.795648148145</v>
      </c>
      <c r="C1604">
        <v>80</v>
      </c>
      <c r="D1604">
        <v>79.957740783999995</v>
      </c>
      <c r="E1604">
        <v>50</v>
      </c>
      <c r="F1604">
        <v>49.210212708</v>
      </c>
      <c r="G1604">
        <v>1385.973999</v>
      </c>
      <c r="H1604">
        <v>1371.6186522999999</v>
      </c>
      <c r="I1604">
        <v>1288.3510742000001</v>
      </c>
      <c r="J1604">
        <v>1269.1359863</v>
      </c>
      <c r="K1604">
        <v>2400</v>
      </c>
      <c r="L1604">
        <v>0</v>
      </c>
      <c r="M1604">
        <v>0</v>
      </c>
      <c r="N1604">
        <v>2400</v>
      </c>
    </row>
    <row r="1605" spans="1:14" x14ac:dyDescent="0.25">
      <c r="A1605">
        <v>1105.0494249999999</v>
      </c>
      <c r="B1605" s="1">
        <f>DATE(2013,5,10) + TIME(1,11,10)</f>
        <v>41404.049421296295</v>
      </c>
      <c r="C1605">
        <v>80</v>
      </c>
      <c r="D1605">
        <v>79.957778931000007</v>
      </c>
      <c r="E1605">
        <v>50</v>
      </c>
      <c r="F1605">
        <v>49.193595885999997</v>
      </c>
      <c r="G1605">
        <v>1385.9431152</v>
      </c>
      <c r="H1605">
        <v>1371.6049805</v>
      </c>
      <c r="I1605">
        <v>1288.3530272999999</v>
      </c>
      <c r="J1605">
        <v>1269.1365966999999</v>
      </c>
      <c r="K1605">
        <v>2400</v>
      </c>
      <c r="L1605">
        <v>0</v>
      </c>
      <c r="M1605">
        <v>0</v>
      </c>
      <c r="N1605">
        <v>2400</v>
      </c>
    </row>
    <row r="1606" spans="1:14" x14ac:dyDescent="0.25">
      <c r="A1606">
        <v>1105.3088700000001</v>
      </c>
      <c r="B1606" s="1">
        <f>DATE(2013,5,10) + TIME(7,24,46)</f>
        <v>41404.308865740742</v>
      </c>
      <c r="C1606">
        <v>80</v>
      </c>
      <c r="D1606">
        <v>79.957809448000006</v>
      </c>
      <c r="E1606">
        <v>50</v>
      </c>
      <c r="F1606">
        <v>49.176692963000001</v>
      </c>
      <c r="G1606">
        <v>1385.9106445</v>
      </c>
      <c r="H1606">
        <v>1371.5897216999999</v>
      </c>
      <c r="I1606">
        <v>1288.3552245999999</v>
      </c>
      <c r="J1606">
        <v>1269.1376952999999</v>
      </c>
      <c r="K1606">
        <v>2400</v>
      </c>
      <c r="L1606">
        <v>0</v>
      </c>
      <c r="M1606">
        <v>0</v>
      </c>
      <c r="N1606">
        <v>2400</v>
      </c>
    </row>
    <row r="1607" spans="1:14" x14ac:dyDescent="0.25">
      <c r="A1607">
        <v>1105.5746489999999</v>
      </c>
      <c r="B1607" s="1">
        <f>DATE(2013,5,10) + TIME(13,47,29)</f>
        <v>41404.574641203704</v>
      </c>
      <c r="C1607">
        <v>80</v>
      </c>
      <c r="D1607">
        <v>79.957824707</v>
      </c>
      <c r="E1607">
        <v>50</v>
      </c>
      <c r="F1607">
        <v>49.159469604000002</v>
      </c>
      <c r="G1607">
        <v>1385.8765868999999</v>
      </c>
      <c r="H1607">
        <v>1371.5726318</v>
      </c>
      <c r="I1607">
        <v>1288.3577881000001</v>
      </c>
      <c r="J1607">
        <v>1269.1390381000001</v>
      </c>
      <c r="K1607">
        <v>2400</v>
      </c>
      <c r="L1607">
        <v>0</v>
      </c>
      <c r="M1607">
        <v>0</v>
      </c>
      <c r="N1607">
        <v>2400</v>
      </c>
    </row>
    <row r="1608" spans="1:14" x14ac:dyDescent="0.25">
      <c r="A1608">
        <v>1105.8474880000001</v>
      </c>
      <c r="B1608" s="1">
        <f>DATE(2013,5,10) + TIME(20,20,22)</f>
        <v>41404.84747685185</v>
      </c>
      <c r="C1608">
        <v>80</v>
      </c>
      <c r="D1608">
        <v>79.957832335999996</v>
      </c>
      <c r="E1608">
        <v>50</v>
      </c>
      <c r="F1608">
        <v>49.141887664999999</v>
      </c>
      <c r="G1608">
        <v>1385.8409423999999</v>
      </c>
      <c r="H1608">
        <v>1371.5540771000001</v>
      </c>
      <c r="I1608">
        <v>1288.3605957</v>
      </c>
      <c r="J1608">
        <v>1269.1405029</v>
      </c>
      <c r="K1608">
        <v>2400</v>
      </c>
      <c r="L1608">
        <v>0</v>
      </c>
      <c r="M1608">
        <v>0</v>
      </c>
      <c r="N1608">
        <v>2400</v>
      </c>
    </row>
    <row r="1609" spans="1:14" x14ac:dyDescent="0.25">
      <c r="A1609">
        <v>1106.128195</v>
      </c>
      <c r="B1609" s="1">
        <f>DATE(2013,5,11) + TIME(3,4,36)</f>
        <v>41405.128194444442</v>
      </c>
      <c r="C1609">
        <v>80</v>
      </c>
      <c r="D1609">
        <v>79.957839965999995</v>
      </c>
      <c r="E1609">
        <v>50</v>
      </c>
      <c r="F1609">
        <v>49.123901367000002</v>
      </c>
      <c r="G1609">
        <v>1385.8037108999999</v>
      </c>
      <c r="H1609">
        <v>1371.5338135</v>
      </c>
      <c r="I1609">
        <v>1288.3632812000001</v>
      </c>
      <c r="J1609">
        <v>1269.1419678</v>
      </c>
      <c r="K1609">
        <v>2400</v>
      </c>
      <c r="L1609">
        <v>0</v>
      </c>
      <c r="M1609">
        <v>0</v>
      </c>
      <c r="N1609">
        <v>2400</v>
      </c>
    </row>
    <row r="1610" spans="1:14" x14ac:dyDescent="0.25">
      <c r="A1610">
        <v>1106.4177079999999</v>
      </c>
      <c r="B1610" s="1">
        <f>DATE(2013,5,11) + TIME(10,1,29)</f>
        <v>41405.417696759258</v>
      </c>
      <c r="C1610">
        <v>80</v>
      </c>
      <c r="D1610">
        <v>79.957832335999996</v>
      </c>
      <c r="E1610">
        <v>50</v>
      </c>
      <c r="F1610">
        <v>49.105457305999998</v>
      </c>
      <c r="G1610">
        <v>1385.7647704999999</v>
      </c>
      <c r="H1610">
        <v>1371.5120850000001</v>
      </c>
      <c r="I1610">
        <v>1288.3660889</v>
      </c>
      <c r="J1610">
        <v>1269.1434326000001</v>
      </c>
      <c r="K1610">
        <v>2400</v>
      </c>
      <c r="L1610">
        <v>0</v>
      </c>
      <c r="M1610">
        <v>0</v>
      </c>
      <c r="N1610">
        <v>2400</v>
      </c>
    </row>
    <row r="1611" spans="1:14" x14ac:dyDescent="0.25">
      <c r="A1611">
        <v>1106.7172109999999</v>
      </c>
      <c r="B1611" s="1">
        <f>DATE(2013,5,11) + TIME(17,12,47)</f>
        <v>41405.717210648145</v>
      </c>
      <c r="C1611">
        <v>80</v>
      </c>
      <c r="D1611">
        <v>79.957824707</v>
      </c>
      <c r="E1611">
        <v>50</v>
      </c>
      <c r="F1611">
        <v>49.086505889999998</v>
      </c>
      <c r="G1611">
        <v>1385.7243652</v>
      </c>
      <c r="H1611">
        <v>1371.4887695</v>
      </c>
      <c r="I1611">
        <v>1288.3687743999999</v>
      </c>
      <c r="J1611">
        <v>1269.1446533000001</v>
      </c>
      <c r="K1611">
        <v>2400</v>
      </c>
      <c r="L1611">
        <v>0</v>
      </c>
      <c r="M1611">
        <v>0</v>
      </c>
      <c r="N1611">
        <v>2400</v>
      </c>
    </row>
    <row r="1612" spans="1:14" x14ac:dyDescent="0.25">
      <c r="A1612">
        <v>1107.0264320000001</v>
      </c>
      <c r="B1612" s="1">
        <f>DATE(2013,5,12) + TIME(0,38,3)</f>
        <v>41406.026423611111</v>
      </c>
      <c r="C1612">
        <v>80</v>
      </c>
      <c r="D1612">
        <v>79.957809448000006</v>
      </c>
      <c r="E1612">
        <v>50</v>
      </c>
      <c r="F1612">
        <v>49.067039489999999</v>
      </c>
      <c r="G1612">
        <v>1385.6821289</v>
      </c>
      <c r="H1612">
        <v>1371.4638672000001</v>
      </c>
      <c r="I1612">
        <v>1288.3712158000001</v>
      </c>
      <c r="J1612">
        <v>1269.1456298999999</v>
      </c>
      <c r="K1612">
        <v>2400</v>
      </c>
      <c r="L1612">
        <v>0</v>
      </c>
      <c r="M1612">
        <v>0</v>
      </c>
      <c r="N1612">
        <v>2400</v>
      </c>
    </row>
    <row r="1613" spans="1:14" x14ac:dyDescent="0.25">
      <c r="A1613">
        <v>1107.3426039999999</v>
      </c>
      <c r="B1613" s="1">
        <f>DATE(2013,5,12) + TIME(8,13,20)</f>
        <v>41406.342592592591</v>
      </c>
      <c r="C1613">
        <v>80</v>
      </c>
      <c r="D1613">
        <v>79.957794188999998</v>
      </c>
      <c r="E1613">
        <v>50</v>
      </c>
      <c r="F1613">
        <v>49.047180175999998</v>
      </c>
      <c r="G1613">
        <v>1385.6383057</v>
      </c>
      <c r="H1613">
        <v>1371.4375</v>
      </c>
      <c r="I1613">
        <v>1288.3732910000001</v>
      </c>
      <c r="J1613">
        <v>1269.1462402</v>
      </c>
      <c r="K1613">
        <v>2400</v>
      </c>
      <c r="L1613">
        <v>0</v>
      </c>
      <c r="M1613">
        <v>0</v>
      </c>
      <c r="N1613">
        <v>2400</v>
      </c>
    </row>
    <row r="1614" spans="1:14" x14ac:dyDescent="0.25">
      <c r="A1614">
        <v>1107.6665479999999</v>
      </c>
      <c r="B1614" s="1">
        <f>DATE(2013,5,12) + TIME(15,59,49)</f>
        <v>41406.666539351849</v>
      </c>
      <c r="C1614">
        <v>80</v>
      </c>
      <c r="D1614">
        <v>79.957771300999994</v>
      </c>
      <c r="E1614">
        <v>50</v>
      </c>
      <c r="F1614">
        <v>49.026908874999997</v>
      </c>
      <c r="G1614">
        <v>1385.5933838000001</v>
      </c>
      <c r="H1614">
        <v>1371.4099120999999</v>
      </c>
      <c r="I1614">
        <v>1288.3748779</v>
      </c>
      <c r="J1614">
        <v>1269.1463623</v>
      </c>
      <c r="K1614">
        <v>2400</v>
      </c>
      <c r="L1614">
        <v>0</v>
      </c>
      <c r="M1614">
        <v>0</v>
      </c>
      <c r="N1614">
        <v>2400</v>
      </c>
    </row>
    <row r="1615" spans="1:14" x14ac:dyDescent="0.25">
      <c r="A1615">
        <v>1107.999084</v>
      </c>
      <c r="B1615" s="1">
        <f>DATE(2013,5,12) + TIME(23,58,40)</f>
        <v>41406.999074074076</v>
      </c>
      <c r="C1615">
        <v>80</v>
      </c>
      <c r="D1615">
        <v>79.957748413000004</v>
      </c>
      <c r="E1615">
        <v>50</v>
      </c>
      <c r="F1615">
        <v>49.006183624000002</v>
      </c>
      <c r="G1615">
        <v>1385.5473632999999</v>
      </c>
      <c r="H1615">
        <v>1371.3812256000001</v>
      </c>
      <c r="I1615">
        <v>1288.3762207</v>
      </c>
      <c r="J1615">
        <v>1269.1461182</v>
      </c>
      <c r="K1615">
        <v>2400</v>
      </c>
      <c r="L1615">
        <v>0</v>
      </c>
      <c r="M1615">
        <v>0</v>
      </c>
      <c r="N1615">
        <v>2400</v>
      </c>
    </row>
    <row r="1616" spans="1:14" x14ac:dyDescent="0.25">
      <c r="A1616">
        <v>1108.341134</v>
      </c>
      <c r="B1616" s="1">
        <f>DATE(2013,5,13) + TIME(8,11,13)</f>
        <v>41407.341122685182</v>
      </c>
      <c r="C1616">
        <v>80</v>
      </c>
      <c r="D1616">
        <v>79.957717896000005</v>
      </c>
      <c r="E1616">
        <v>50</v>
      </c>
      <c r="F1616">
        <v>48.984973906999997</v>
      </c>
      <c r="G1616">
        <v>1385.5002440999999</v>
      </c>
      <c r="H1616">
        <v>1371.3514404</v>
      </c>
      <c r="I1616">
        <v>1288.3770752</v>
      </c>
      <c r="J1616">
        <v>1269.1452637</v>
      </c>
      <c r="K1616">
        <v>2400</v>
      </c>
      <c r="L1616">
        <v>0</v>
      </c>
      <c r="M1616">
        <v>0</v>
      </c>
      <c r="N1616">
        <v>2400</v>
      </c>
    </row>
    <row r="1617" spans="1:14" x14ac:dyDescent="0.25">
      <c r="A1617">
        <v>1108.6914999999999</v>
      </c>
      <c r="B1617" s="1">
        <f>DATE(2013,5,13) + TIME(16,35,45)</f>
        <v>41407.691493055558</v>
      </c>
      <c r="C1617">
        <v>80</v>
      </c>
      <c r="D1617">
        <v>79.957695006999998</v>
      </c>
      <c r="E1617">
        <v>50</v>
      </c>
      <c r="F1617">
        <v>48.963329315000003</v>
      </c>
      <c r="G1617">
        <v>1385.4519043</v>
      </c>
      <c r="H1617">
        <v>1371.3204346</v>
      </c>
      <c r="I1617">
        <v>1288.3773193</v>
      </c>
      <c r="J1617">
        <v>1269.1439209</v>
      </c>
      <c r="K1617">
        <v>2400</v>
      </c>
      <c r="L1617">
        <v>0</v>
      </c>
      <c r="M1617">
        <v>0</v>
      </c>
      <c r="N1617">
        <v>2400</v>
      </c>
    </row>
    <row r="1618" spans="1:14" x14ac:dyDescent="0.25">
      <c r="A1618">
        <v>1109.045813</v>
      </c>
      <c r="B1618" s="1">
        <f>DATE(2013,5,14) + TIME(1,5,58)</f>
        <v>41408.045810185184</v>
      </c>
      <c r="C1618">
        <v>80</v>
      </c>
      <c r="D1618">
        <v>79.957664489999999</v>
      </c>
      <c r="E1618">
        <v>50</v>
      </c>
      <c r="F1618">
        <v>48.941436768000003</v>
      </c>
      <c r="G1618">
        <v>1385.402832</v>
      </c>
      <c r="H1618">
        <v>1371.2885742000001</v>
      </c>
      <c r="I1618">
        <v>1288.3769531</v>
      </c>
      <c r="J1618">
        <v>1269.1419678</v>
      </c>
      <c r="K1618">
        <v>2400</v>
      </c>
      <c r="L1618">
        <v>0</v>
      </c>
      <c r="M1618">
        <v>0</v>
      </c>
      <c r="N1618">
        <v>2400</v>
      </c>
    </row>
    <row r="1619" spans="1:14" x14ac:dyDescent="0.25">
      <c r="A1619">
        <v>1109.4041930000001</v>
      </c>
      <c r="B1619" s="1">
        <f>DATE(2013,5,14) + TIME(9,42,2)</f>
        <v>41408.404189814813</v>
      </c>
      <c r="C1619">
        <v>80</v>
      </c>
      <c r="D1619">
        <v>79.957626343000001</v>
      </c>
      <c r="E1619">
        <v>50</v>
      </c>
      <c r="F1619">
        <v>48.919326781999999</v>
      </c>
      <c r="G1619">
        <v>1385.3532714999999</v>
      </c>
      <c r="H1619">
        <v>1371.2561035000001</v>
      </c>
      <c r="I1619">
        <v>1288.3760986</v>
      </c>
      <c r="J1619">
        <v>1269.1394043</v>
      </c>
      <c r="K1619">
        <v>2400</v>
      </c>
      <c r="L1619">
        <v>0</v>
      </c>
      <c r="M1619">
        <v>0</v>
      </c>
      <c r="N1619">
        <v>2400</v>
      </c>
    </row>
    <row r="1620" spans="1:14" x14ac:dyDescent="0.25">
      <c r="A1620">
        <v>1109.76749</v>
      </c>
      <c r="B1620" s="1">
        <f>DATE(2013,5,14) + TIME(18,25,11)</f>
        <v>41408.767488425925</v>
      </c>
      <c r="C1620">
        <v>80</v>
      </c>
      <c r="D1620">
        <v>79.957595824999999</v>
      </c>
      <c r="E1620">
        <v>50</v>
      </c>
      <c r="F1620">
        <v>48.896980286000002</v>
      </c>
      <c r="G1620">
        <v>1385.3037108999999</v>
      </c>
      <c r="H1620">
        <v>1371.2232666</v>
      </c>
      <c r="I1620">
        <v>1288.3747559000001</v>
      </c>
      <c r="J1620">
        <v>1269.1362305</v>
      </c>
      <c r="K1620">
        <v>2400</v>
      </c>
      <c r="L1620">
        <v>0</v>
      </c>
      <c r="M1620">
        <v>0</v>
      </c>
      <c r="N1620">
        <v>2400</v>
      </c>
    </row>
    <row r="1621" spans="1:14" x14ac:dyDescent="0.25">
      <c r="A1621">
        <v>1110.1365860000001</v>
      </c>
      <c r="B1621" s="1">
        <f>DATE(2013,5,15) + TIME(3,16,41)</f>
        <v>41409.13658564815</v>
      </c>
      <c r="C1621">
        <v>80</v>
      </c>
      <c r="D1621">
        <v>79.957565308</v>
      </c>
      <c r="E1621">
        <v>50</v>
      </c>
      <c r="F1621">
        <v>48.87437439</v>
      </c>
      <c r="G1621">
        <v>1385.2539062000001</v>
      </c>
      <c r="H1621">
        <v>1371.1899414</v>
      </c>
      <c r="I1621">
        <v>1288.3729248</v>
      </c>
      <c r="J1621">
        <v>1269.1325684000001</v>
      </c>
      <c r="K1621">
        <v>2400</v>
      </c>
      <c r="L1621">
        <v>0</v>
      </c>
      <c r="M1621">
        <v>0</v>
      </c>
      <c r="N1621">
        <v>2400</v>
      </c>
    </row>
    <row r="1622" spans="1:14" x14ac:dyDescent="0.25">
      <c r="A1622">
        <v>1110.5120449999999</v>
      </c>
      <c r="B1622" s="1">
        <f>DATE(2013,5,15) + TIME(12,17,20)</f>
        <v>41409.512037037035</v>
      </c>
      <c r="C1622">
        <v>80</v>
      </c>
      <c r="D1622">
        <v>79.957534789999997</v>
      </c>
      <c r="E1622">
        <v>50</v>
      </c>
      <c r="F1622">
        <v>48.851490020999996</v>
      </c>
      <c r="G1622">
        <v>1385.2037353999999</v>
      </c>
      <c r="H1622">
        <v>1371.1561279</v>
      </c>
      <c r="I1622">
        <v>1288.3704834</v>
      </c>
      <c r="J1622">
        <v>1269.128418</v>
      </c>
      <c r="K1622">
        <v>2400</v>
      </c>
      <c r="L1622">
        <v>0</v>
      </c>
      <c r="M1622">
        <v>0</v>
      </c>
      <c r="N1622">
        <v>2400</v>
      </c>
    </row>
    <row r="1623" spans="1:14" x14ac:dyDescent="0.25">
      <c r="A1623">
        <v>1110.8916919999999</v>
      </c>
      <c r="B1623" s="1">
        <f>DATE(2013,5,15) + TIME(21,24,2)</f>
        <v>41409.891689814816</v>
      </c>
      <c r="C1623">
        <v>80</v>
      </c>
      <c r="D1623">
        <v>79.957496642999999</v>
      </c>
      <c r="E1623">
        <v>50</v>
      </c>
      <c r="F1623">
        <v>48.828414917000003</v>
      </c>
      <c r="G1623">
        <v>1385.1533202999999</v>
      </c>
      <c r="H1623">
        <v>1371.1219481999999</v>
      </c>
      <c r="I1623">
        <v>1288.3676757999999</v>
      </c>
      <c r="J1623">
        <v>1269.1236572</v>
      </c>
      <c r="K1623">
        <v>2400</v>
      </c>
      <c r="L1623">
        <v>0</v>
      </c>
      <c r="M1623">
        <v>0</v>
      </c>
      <c r="N1623">
        <v>2400</v>
      </c>
    </row>
    <row r="1624" spans="1:14" x14ac:dyDescent="0.25">
      <c r="A1624">
        <v>1111.2763809999999</v>
      </c>
      <c r="B1624" s="1">
        <f>DATE(2013,5,16) + TIME(6,37,59)</f>
        <v>41410.276377314818</v>
      </c>
      <c r="C1624">
        <v>80</v>
      </c>
      <c r="D1624">
        <v>79.957466124999996</v>
      </c>
      <c r="E1624">
        <v>50</v>
      </c>
      <c r="F1624">
        <v>48.805126190000003</v>
      </c>
      <c r="G1624">
        <v>1385.1029053</v>
      </c>
      <c r="H1624">
        <v>1371.0875243999999</v>
      </c>
      <c r="I1624">
        <v>1288.3642577999999</v>
      </c>
      <c r="J1624">
        <v>1269.1184082</v>
      </c>
      <c r="K1624">
        <v>2400</v>
      </c>
      <c r="L1624">
        <v>0</v>
      </c>
      <c r="M1624">
        <v>0</v>
      </c>
      <c r="N1624">
        <v>2400</v>
      </c>
    </row>
    <row r="1625" spans="1:14" x14ac:dyDescent="0.25">
      <c r="A1625">
        <v>1111.666974</v>
      </c>
      <c r="B1625" s="1">
        <f>DATE(2013,5,16) + TIME(16,0,26)</f>
        <v>41410.666967592595</v>
      </c>
      <c r="C1625">
        <v>80</v>
      </c>
      <c r="D1625">
        <v>79.957427979000002</v>
      </c>
      <c r="E1625">
        <v>50</v>
      </c>
      <c r="F1625">
        <v>48.781600951999998</v>
      </c>
      <c r="G1625">
        <v>1385.0523682</v>
      </c>
      <c r="H1625">
        <v>1371.0527344</v>
      </c>
      <c r="I1625">
        <v>1288.3603516000001</v>
      </c>
      <c r="J1625">
        <v>1269.1125488</v>
      </c>
      <c r="K1625">
        <v>2400</v>
      </c>
      <c r="L1625">
        <v>0</v>
      </c>
      <c r="M1625">
        <v>0</v>
      </c>
      <c r="N1625">
        <v>2400</v>
      </c>
    </row>
    <row r="1626" spans="1:14" x14ac:dyDescent="0.25">
      <c r="A1626">
        <v>1112.0643849999999</v>
      </c>
      <c r="B1626" s="1">
        <f>DATE(2013,5,17) + TIME(1,32,42)</f>
        <v>41411.064375000002</v>
      </c>
      <c r="C1626">
        <v>80</v>
      </c>
      <c r="D1626">
        <v>79.957397460999999</v>
      </c>
      <c r="E1626">
        <v>50</v>
      </c>
      <c r="F1626">
        <v>48.757797240999999</v>
      </c>
      <c r="G1626">
        <v>1385.0017089999999</v>
      </c>
      <c r="H1626">
        <v>1371.0177002</v>
      </c>
      <c r="I1626">
        <v>1288.3560791</v>
      </c>
      <c r="J1626">
        <v>1269.1062012</v>
      </c>
      <c r="K1626">
        <v>2400</v>
      </c>
      <c r="L1626">
        <v>0</v>
      </c>
      <c r="M1626">
        <v>0</v>
      </c>
      <c r="N1626">
        <v>2400</v>
      </c>
    </row>
    <row r="1627" spans="1:14" x14ac:dyDescent="0.25">
      <c r="A1627">
        <v>1112.469593</v>
      </c>
      <c r="B1627" s="1">
        <f>DATE(2013,5,17) + TIME(11,16,12)</f>
        <v>41411.469583333332</v>
      </c>
      <c r="C1627">
        <v>80</v>
      </c>
      <c r="D1627">
        <v>79.957366942999997</v>
      </c>
      <c r="E1627">
        <v>50</v>
      </c>
      <c r="F1627">
        <v>48.73367691</v>
      </c>
      <c r="G1627">
        <v>1384.9509277</v>
      </c>
      <c r="H1627">
        <v>1370.9822998</v>
      </c>
      <c r="I1627">
        <v>1288.3513184000001</v>
      </c>
      <c r="J1627">
        <v>1269.0994873</v>
      </c>
      <c r="K1627">
        <v>2400</v>
      </c>
      <c r="L1627">
        <v>0</v>
      </c>
      <c r="M1627">
        <v>0</v>
      </c>
      <c r="N1627">
        <v>2400</v>
      </c>
    </row>
    <row r="1628" spans="1:14" x14ac:dyDescent="0.25">
      <c r="A1628">
        <v>1112.8833259999999</v>
      </c>
      <c r="B1628" s="1">
        <f>DATE(2013,5,17) + TIME(21,11,59)</f>
        <v>41411.883321759262</v>
      </c>
      <c r="C1628">
        <v>80</v>
      </c>
      <c r="D1628">
        <v>79.957336425999998</v>
      </c>
      <c r="E1628">
        <v>50</v>
      </c>
      <c r="F1628">
        <v>48.709197998</v>
      </c>
      <c r="G1628">
        <v>1384.8996582</v>
      </c>
      <c r="H1628">
        <v>1370.9465332</v>
      </c>
      <c r="I1628">
        <v>1288.3460693</v>
      </c>
      <c r="J1628">
        <v>1269.0921631000001</v>
      </c>
      <c r="K1628">
        <v>2400</v>
      </c>
      <c r="L1628">
        <v>0</v>
      </c>
      <c r="M1628">
        <v>0</v>
      </c>
      <c r="N1628">
        <v>2400</v>
      </c>
    </row>
    <row r="1629" spans="1:14" x14ac:dyDescent="0.25">
      <c r="A1629">
        <v>1113.305574</v>
      </c>
      <c r="B1629" s="1">
        <f>DATE(2013,5,18) + TIME(7,20,1)</f>
        <v>41412.305567129632</v>
      </c>
      <c r="C1629">
        <v>80</v>
      </c>
      <c r="D1629">
        <v>79.957298279</v>
      </c>
      <c r="E1629">
        <v>50</v>
      </c>
      <c r="F1629">
        <v>48.684356688999998</v>
      </c>
      <c r="G1629">
        <v>1384.8481445</v>
      </c>
      <c r="H1629">
        <v>1370.9102783000001</v>
      </c>
      <c r="I1629">
        <v>1288.340332</v>
      </c>
      <c r="J1629">
        <v>1269.0842285000001</v>
      </c>
      <c r="K1629">
        <v>2400</v>
      </c>
      <c r="L1629">
        <v>0</v>
      </c>
      <c r="M1629">
        <v>0</v>
      </c>
      <c r="N1629">
        <v>2400</v>
      </c>
    </row>
    <row r="1630" spans="1:14" x14ac:dyDescent="0.25">
      <c r="A1630">
        <v>1113.737429</v>
      </c>
      <c r="B1630" s="1">
        <f>DATE(2013,5,18) + TIME(17,41,53)</f>
        <v>41412.73741898148</v>
      </c>
      <c r="C1630">
        <v>80</v>
      </c>
      <c r="D1630">
        <v>79.957267760999997</v>
      </c>
      <c r="E1630">
        <v>50</v>
      </c>
      <c r="F1630">
        <v>48.659107208000002</v>
      </c>
      <c r="G1630">
        <v>1384.7963867000001</v>
      </c>
      <c r="H1630">
        <v>1370.8736572</v>
      </c>
      <c r="I1630">
        <v>1288.3342285000001</v>
      </c>
      <c r="J1630">
        <v>1269.0759277</v>
      </c>
      <c r="K1630">
        <v>2400</v>
      </c>
      <c r="L1630">
        <v>0</v>
      </c>
      <c r="M1630">
        <v>0</v>
      </c>
      <c r="N1630">
        <v>2400</v>
      </c>
    </row>
    <row r="1631" spans="1:14" x14ac:dyDescent="0.25">
      <c r="A1631">
        <v>1114.180073</v>
      </c>
      <c r="B1631" s="1">
        <f>DATE(2013,5,19) + TIME(4,19,18)</f>
        <v>41413.180069444446</v>
      </c>
      <c r="C1631">
        <v>80</v>
      </c>
      <c r="D1631">
        <v>79.957237243999998</v>
      </c>
      <c r="E1631">
        <v>50</v>
      </c>
      <c r="F1631">
        <v>48.633396148999999</v>
      </c>
      <c r="G1631">
        <v>1384.7440185999999</v>
      </c>
      <c r="H1631">
        <v>1370.8365478999999</v>
      </c>
      <c r="I1631">
        <v>1288.3275146000001</v>
      </c>
      <c r="J1631">
        <v>1269.0670166</v>
      </c>
      <c r="K1631">
        <v>2400</v>
      </c>
      <c r="L1631">
        <v>0</v>
      </c>
      <c r="M1631">
        <v>0</v>
      </c>
      <c r="N1631">
        <v>2400</v>
      </c>
    </row>
    <row r="1632" spans="1:14" x14ac:dyDescent="0.25">
      <c r="A1632">
        <v>1114.634806</v>
      </c>
      <c r="B1632" s="1">
        <f>DATE(2013,5,19) + TIME(15,14,7)</f>
        <v>41413.63480324074</v>
      </c>
      <c r="C1632">
        <v>80</v>
      </c>
      <c r="D1632">
        <v>79.957206725999995</v>
      </c>
      <c r="E1632">
        <v>50</v>
      </c>
      <c r="F1632">
        <v>48.607170105000002</v>
      </c>
      <c r="G1632">
        <v>1384.6912841999999</v>
      </c>
      <c r="H1632">
        <v>1370.7989502</v>
      </c>
      <c r="I1632">
        <v>1288.3204346</v>
      </c>
      <c r="J1632">
        <v>1269.0576172000001</v>
      </c>
      <c r="K1632">
        <v>2400</v>
      </c>
      <c r="L1632">
        <v>0</v>
      </c>
      <c r="M1632">
        <v>0</v>
      </c>
      <c r="N1632">
        <v>2400</v>
      </c>
    </row>
    <row r="1633" spans="1:14" x14ac:dyDescent="0.25">
      <c r="A1633">
        <v>1115.1030929999999</v>
      </c>
      <c r="B1633" s="1">
        <f>DATE(2013,5,20) + TIME(2,28,27)</f>
        <v>41414.103090277778</v>
      </c>
      <c r="C1633">
        <v>80</v>
      </c>
      <c r="D1633">
        <v>79.957176208000007</v>
      </c>
      <c r="E1633">
        <v>50</v>
      </c>
      <c r="F1633">
        <v>48.580356598000002</v>
      </c>
      <c r="G1633">
        <v>1384.6378173999999</v>
      </c>
      <c r="H1633">
        <v>1370.7606201000001</v>
      </c>
      <c r="I1633">
        <v>1288.3128661999999</v>
      </c>
      <c r="J1633">
        <v>1269.0476074000001</v>
      </c>
      <c r="K1633">
        <v>2400</v>
      </c>
      <c r="L1633">
        <v>0</v>
      </c>
      <c r="M1633">
        <v>0</v>
      </c>
      <c r="N1633">
        <v>2400</v>
      </c>
    </row>
    <row r="1634" spans="1:14" x14ac:dyDescent="0.25">
      <c r="A1634">
        <v>1115.5818790000001</v>
      </c>
      <c r="B1634" s="1">
        <f>DATE(2013,5,20) + TIME(13,57,54)</f>
        <v>41414.581875000003</v>
      </c>
      <c r="C1634">
        <v>80</v>
      </c>
      <c r="D1634">
        <v>79.957138061999999</v>
      </c>
      <c r="E1634">
        <v>50</v>
      </c>
      <c r="F1634">
        <v>48.553050995</v>
      </c>
      <c r="G1634">
        <v>1384.5837402</v>
      </c>
      <c r="H1634">
        <v>1370.7218018000001</v>
      </c>
      <c r="I1634">
        <v>1288.3048096</v>
      </c>
      <c r="J1634">
        <v>1269.0369873</v>
      </c>
      <c r="K1634">
        <v>2400</v>
      </c>
      <c r="L1634">
        <v>0</v>
      </c>
      <c r="M1634">
        <v>0</v>
      </c>
      <c r="N1634">
        <v>2400</v>
      </c>
    </row>
    <row r="1635" spans="1:14" x14ac:dyDescent="0.25">
      <c r="A1635">
        <v>1116.0641000000001</v>
      </c>
      <c r="B1635" s="1">
        <f>DATE(2013,5,21) + TIME(1,32,18)</f>
        <v>41415.064097222225</v>
      </c>
      <c r="C1635">
        <v>80</v>
      </c>
      <c r="D1635">
        <v>79.957107543999996</v>
      </c>
      <c r="E1635">
        <v>50</v>
      </c>
      <c r="F1635">
        <v>48.525524138999998</v>
      </c>
      <c r="G1635">
        <v>1384.5295410000001</v>
      </c>
      <c r="H1635">
        <v>1370.6827393000001</v>
      </c>
      <c r="I1635">
        <v>1288.2962646000001</v>
      </c>
      <c r="J1635">
        <v>1269.026001</v>
      </c>
      <c r="K1635">
        <v>2400</v>
      </c>
      <c r="L1635">
        <v>0</v>
      </c>
      <c r="M1635">
        <v>0</v>
      </c>
      <c r="N1635">
        <v>2400</v>
      </c>
    </row>
    <row r="1636" spans="1:14" x14ac:dyDescent="0.25">
      <c r="A1636">
        <v>1116.550878</v>
      </c>
      <c r="B1636" s="1">
        <f>DATE(2013,5,21) + TIME(13,13,15)</f>
        <v>41415.550868055558</v>
      </c>
      <c r="C1636">
        <v>80</v>
      </c>
      <c r="D1636">
        <v>79.957077025999993</v>
      </c>
      <c r="E1636">
        <v>50</v>
      </c>
      <c r="F1636">
        <v>48.497795105000002</v>
      </c>
      <c r="G1636">
        <v>1384.4755858999999</v>
      </c>
      <c r="H1636">
        <v>1370.6436768000001</v>
      </c>
      <c r="I1636">
        <v>1288.2873535000001</v>
      </c>
      <c r="J1636">
        <v>1269.0145264</v>
      </c>
      <c r="K1636">
        <v>2400</v>
      </c>
      <c r="L1636">
        <v>0</v>
      </c>
      <c r="M1636">
        <v>0</v>
      </c>
      <c r="N1636">
        <v>2400</v>
      </c>
    </row>
    <row r="1637" spans="1:14" x14ac:dyDescent="0.25">
      <c r="A1637">
        <v>1117.0434210000001</v>
      </c>
      <c r="B1637" s="1">
        <f>DATE(2013,5,22) + TIME(1,2,31)</f>
        <v>41416.043414351851</v>
      </c>
      <c r="C1637">
        <v>80</v>
      </c>
      <c r="D1637">
        <v>79.957046508999994</v>
      </c>
      <c r="E1637">
        <v>50</v>
      </c>
      <c r="F1637">
        <v>48.469856262</v>
      </c>
      <c r="G1637">
        <v>1384.4221190999999</v>
      </c>
      <c r="H1637">
        <v>1370.6047363</v>
      </c>
      <c r="I1637">
        <v>1288.2781981999999</v>
      </c>
      <c r="J1637">
        <v>1269.0026855000001</v>
      </c>
      <c r="K1637">
        <v>2400</v>
      </c>
      <c r="L1637">
        <v>0</v>
      </c>
      <c r="M1637">
        <v>0</v>
      </c>
      <c r="N1637">
        <v>2400</v>
      </c>
    </row>
    <row r="1638" spans="1:14" x14ac:dyDescent="0.25">
      <c r="A1638">
        <v>1117.542968</v>
      </c>
      <c r="B1638" s="1">
        <f>DATE(2013,5,22) + TIME(13,1,52)</f>
        <v>41416.542962962965</v>
      </c>
      <c r="C1638">
        <v>80</v>
      </c>
      <c r="D1638">
        <v>79.957015991000006</v>
      </c>
      <c r="E1638">
        <v>50</v>
      </c>
      <c r="F1638">
        <v>48.441680908000002</v>
      </c>
      <c r="G1638">
        <v>1384.3687743999999</v>
      </c>
      <c r="H1638">
        <v>1370.5657959</v>
      </c>
      <c r="I1638">
        <v>1288.2686768000001</v>
      </c>
      <c r="J1638">
        <v>1268.9904785000001</v>
      </c>
      <c r="K1638">
        <v>2400</v>
      </c>
      <c r="L1638">
        <v>0</v>
      </c>
      <c r="M1638">
        <v>0</v>
      </c>
      <c r="N1638">
        <v>2400</v>
      </c>
    </row>
    <row r="1639" spans="1:14" x14ac:dyDescent="0.25">
      <c r="A1639">
        <v>1118.05081</v>
      </c>
      <c r="B1639" s="1">
        <f>DATE(2013,5,23) + TIME(1,13,10)</f>
        <v>41417.050810185188</v>
      </c>
      <c r="C1639">
        <v>80</v>
      </c>
      <c r="D1639">
        <v>79.956993103000002</v>
      </c>
      <c r="E1639">
        <v>50</v>
      </c>
      <c r="F1639">
        <v>48.413227081000002</v>
      </c>
      <c r="G1639">
        <v>1384.3155518000001</v>
      </c>
      <c r="H1639">
        <v>1370.5268555</v>
      </c>
      <c r="I1639">
        <v>1288.2589111</v>
      </c>
      <c r="J1639">
        <v>1268.9779053</v>
      </c>
      <c r="K1639">
        <v>2400</v>
      </c>
      <c r="L1639">
        <v>0</v>
      </c>
      <c r="M1639">
        <v>0</v>
      </c>
      <c r="N1639">
        <v>2400</v>
      </c>
    </row>
    <row r="1640" spans="1:14" x14ac:dyDescent="0.25">
      <c r="A1640">
        <v>1118.568315</v>
      </c>
      <c r="B1640" s="1">
        <f>DATE(2013,5,23) + TIME(13,38,22)</f>
        <v>41417.568310185183</v>
      </c>
      <c r="C1640">
        <v>80</v>
      </c>
      <c r="D1640">
        <v>79.956962584999999</v>
      </c>
      <c r="E1640">
        <v>50</v>
      </c>
      <c r="F1640">
        <v>48.384433745999999</v>
      </c>
      <c r="G1640">
        <v>1384.2623291</v>
      </c>
      <c r="H1640">
        <v>1370.4876709</v>
      </c>
      <c r="I1640">
        <v>1288.2487793</v>
      </c>
      <c r="J1640">
        <v>1268.9648437999999</v>
      </c>
      <c r="K1640">
        <v>2400</v>
      </c>
      <c r="L1640">
        <v>0</v>
      </c>
      <c r="M1640">
        <v>0</v>
      </c>
      <c r="N1640">
        <v>2400</v>
      </c>
    </row>
    <row r="1641" spans="1:14" x14ac:dyDescent="0.25">
      <c r="A1641">
        <v>1119.0969439999999</v>
      </c>
      <c r="B1641" s="1">
        <f>DATE(2013,5,24) + TIME(2,19,35)</f>
        <v>41418.096932870372</v>
      </c>
      <c r="C1641">
        <v>80</v>
      </c>
      <c r="D1641">
        <v>79.956939696999996</v>
      </c>
      <c r="E1641">
        <v>50</v>
      </c>
      <c r="F1641">
        <v>48.355239867999998</v>
      </c>
      <c r="G1641">
        <v>1384.2088623</v>
      </c>
      <c r="H1641">
        <v>1370.4482422000001</v>
      </c>
      <c r="I1641">
        <v>1288.2381591999999</v>
      </c>
      <c r="J1641">
        <v>1268.9514160000001</v>
      </c>
      <c r="K1641">
        <v>2400</v>
      </c>
      <c r="L1641">
        <v>0</v>
      </c>
      <c r="M1641">
        <v>0</v>
      </c>
      <c r="N1641">
        <v>2400</v>
      </c>
    </row>
    <row r="1642" spans="1:14" x14ac:dyDescent="0.25">
      <c r="A1642">
        <v>1119.6358459999999</v>
      </c>
      <c r="B1642" s="1">
        <f>DATE(2013,5,24) + TIME(15,15,37)</f>
        <v>41418.635844907411</v>
      </c>
      <c r="C1642">
        <v>80</v>
      </c>
      <c r="D1642">
        <v>79.956909179999997</v>
      </c>
      <c r="E1642">
        <v>50</v>
      </c>
      <c r="F1642">
        <v>48.325660706000001</v>
      </c>
      <c r="G1642">
        <v>1384.1553954999999</v>
      </c>
      <c r="H1642">
        <v>1370.4086914</v>
      </c>
      <c r="I1642">
        <v>1288.2272949000001</v>
      </c>
      <c r="J1642">
        <v>1268.9373779</v>
      </c>
      <c r="K1642">
        <v>2400</v>
      </c>
      <c r="L1642">
        <v>0</v>
      </c>
      <c r="M1642">
        <v>0</v>
      </c>
      <c r="N1642">
        <v>2400</v>
      </c>
    </row>
    <row r="1643" spans="1:14" x14ac:dyDescent="0.25">
      <c r="A1643">
        <v>1120.179304</v>
      </c>
      <c r="B1643" s="1">
        <f>DATE(2013,5,25) + TIME(4,18,11)</f>
        <v>41419.179293981484</v>
      </c>
      <c r="C1643">
        <v>80</v>
      </c>
      <c r="D1643">
        <v>79.956886291999993</v>
      </c>
      <c r="E1643">
        <v>50</v>
      </c>
      <c r="F1643">
        <v>48.295879364000001</v>
      </c>
      <c r="G1643">
        <v>1384.1018065999999</v>
      </c>
      <c r="H1643">
        <v>1370.3688964999999</v>
      </c>
      <c r="I1643">
        <v>1288.2159423999999</v>
      </c>
      <c r="J1643">
        <v>1268.9229736</v>
      </c>
      <c r="K1643">
        <v>2400</v>
      </c>
      <c r="L1643">
        <v>0</v>
      </c>
      <c r="M1643">
        <v>0</v>
      </c>
      <c r="N1643">
        <v>2400</v>
      </c>
    </row>
    <row r="1644" spans="1:14" x14ac:dyDescent="0.25">
      <c r="A1644">
        <v>1120.7284440000001</v>
      </c>
      <c r="B1644" s="1">
        <f>DATE(2013,5,25) + TIME(17,28,57)</f>
        <v>41419.728437500002</v>
      </c>
      <c r="C1644">
        <v>80</v>
      </c>
      <c r="D1644">
        <v>79.956855774000005</v>
      </c>
      <c r="E1644">
        <v>50</v>
      </c>
      <c r="F1644">
        <v>48.265903473000002</v>
      </c>
      <c r="G1644">
        <v>1384.0485839999999</v>
      </c>
      <c r="H1644">
        <v>1370.3293457</v>
      </c>
      <c r="I1644">
        <v>1288.2043457</v>
      </c>
      <c r="J1644">
        <v>1268.9082031</v>
      </c>
      <c r="K1644">
        <v>2400</v>
      </c>
      <c r="L1644">
        <v>0</v>
      </c>
      <c r="M1644">
        <v>0</v>
      </c>
      <c r="N1644">
        <v>2400</v>
      </c>
    </row>
    <row r="1645" spans="1:14" x14ac:dyDescent="0.25">
      <c r="A1645">
        <v>1121.2844319999999</v>
      </c>
      <c r="B1645" s="1">
        <f>DATE(2013,5,26) + TIME(6,49,34)</f>
        <v>41420.284421296295</v>
      </c>
      <c r="C1645">
        <v>80</v>
      </c>
      <c r="D1645">
        <v>79.956832886000001</v>
      </c>
      <c r="E1645">
        <v>50</v>
      </c>
      <c r="F1645">
        <v>48.235725403000004</v>
      </c>
      <c r="G1645">
        <v>1383.9956055</v>
      </c>
      <c r="H1645">
        <v>1370.2897949000001</v>
      </c>
      <c r="I1645">
        <v>1288.1925048999999</v>
      </c>
      <c r="J1645">
        <v>1268.8931885</v>
      </c>
      <c r="K1645">
        <v>2400</v>
      </c>
      <c r="L1645">
        <v>0</v>
      </c>
      <c r="M1645">
        <v>0</v>
      </c>
      <c r="N1645">
        <v>2400</v>
      </c>
    </row>
    <row r="1646" spans="1:14" x14ac:dyDescent="0.25">
      <c r="A1646">
        <v>1121.8484980000001</v>
      </c>
      <c r="B1646" s="1">
        <f>DATE(2013,5,26) + TIME(20,21,50)</f>
        <v>41420.848495370374</v>
      </c>
      <c r="C1646">
        <v>80</v>
      </c>
      <c r="D1646">
        <v>79.956809997999997</v>
      </c>
      <c r="E1646">
        <v>50</v>
      </c>
      <c r="F1646">
        <v>48.205307007000002</v>
      </c>
      <c r="G1646">
        <v>1383.9428711</v>
      </c>
      <c r="H1646">
        <v>1370.2502440999999</v>
      </c>
      <c r="I1646">
        <v>1288.1804199000001</v>
      </c>
      <c r="J1646">
        <v>1268.8776855000001</v>
      </c>
      <c r="K1646">
        <v>2400</v>
      </c>
      <c r="L1646">
        <v>0</v>
      </c>
      <c r="M1646">
        <v>0</v>
      </c>
      <c r="N1646">
        <v>2400</v>
      </c>
    </row>
    <row r="1647" spans="1:14" x14ac:dyDescent="0.25">
      <c r="A1647">
        <v>1122.421951</v>
      </c>
      <c r="B1647" s="1">
        <f>DATE(2013,5,27) + TIME(10,7,36)</f>
        <v>41421.421944444446</v>
      </c>
      <c r="C1647">
        <v>80</v>
      </c>
      <c r="D1647">
        <v>79.956787109000004</v>
      </c>
      <c r="E1647">
        <v>50</v>
      </c>
      <c r="F1647">
        <v>48.174598693999997</v>
      </c>
      <c r="G1647">
        <v>1383.8902588000001</v>
      </c>
      <c r="H1647">
        <v>1370.2106934000001</v>
      </c>
      <c r="I1647">
        <v>1288.1679687999999</v>
      </c>
      <c r="J1647">
        <v>1268.8616943</v>
      </c>
      <c r="K1647">
        <v>2400</v>
      </c>
      <c r="L1647">
        <v>0</v>
      </c>
      <c r="M1647">
        <v>0</v>
      </c>
      <c r="N1647">
        <v>2400</v>
      </c>
    </row>
    <row r="1648" spans="1:14" x14ac:dyDescent="0.25">
      <c r="A1648">
        <v>1123.0062049999999</v>
      </c>
      <c r="B1648" s="1">
        <f>DATE(2013,5,28) + TIME(0,8,56)</f>
        <v>41422.006203703706</v>
      </c>
      <c r="C1648">
        <v>80</v>
      </c>
      <c r="D1648">
        <v>79.956764221</v>
      </c>
      <c r="E1648">
        <v>50</v>
      </c>
      <c r="F1648">
        <v>48.143543243000003</v>
      </c>
      <c r="G1648">
        <v>1383.8376464999999</v>
      </c>
      <c r="H1648">
        <v>1370.1710204999999</v>
      </c>
      <c r="I1648">
        <v>1288.1551514</v>
      </c>
      <c r="J1648">
        <v>1268.8453368999999</v>
      </c>
      <c r="K1648">
        <v>2400</v>
      </c>
      <c r="L1648">
        <v>0</v>
      </c>
      <c r="M1648">
        <v>0</v>
      </c>
      <c r="N1648">
        <v>2400</v>
      </c>
    </row>
    <row r="1649" spans="1:14" x14ac:dyDescent="0.25">
      <c r="A1649">
        <v>1123.602809</v>
      </c>
      <c r="B1649" s="1">
        <f>DATE(2013,5,28) + TIME(14,28,2)</f>
        <v>41422.602800925924</v>
      </c>
      <c r="C1649">
        <v>80</v>
      </c>
      <c r="D1649">
        <v>79.956748962000006</v>
      </c>
      <c r="E1649">
        <v>50</v>
      </c>
      <c r="F1649">
        <v>48.112083435000002</v>
      </c>
      <c r="G1649">
        <v>1383.7849120999999</v>
      </c>
      <c r="H1649">
        <v>1370.1311035000001</v>
      </c>
      <c r="I1649">
        <v>1288.1418457</v>
      </c>
      <c r="J1649">
        <v>1268.8284911999999</v>
      </c>
      <c r="K1649">
        <v>2400</v>
      </c>
      <c r="L1649">
        <v>0</v>
      </c>
      <c r="M1649">
        <v>0</v>
      </c>
      <c r="N1649">
        <v>2400</v>
      </c>
    </row>
    <row r="1650" spans="1:14" x14ac:dyDescent="0.25">
      <c r="A1650">
        <v>1124.2134739999999</v>
      </c>
      <c r="B1650" s="1">
        <f>DATE(2013,5,29) + TIME(5,7,24)</f>
        <v>41423.213472222225</v>
      </c>
      <c r="C1650">
        <v>80</v>
      </c>
      <c r="D1650">
        <v>79.956726074000002</v>
      </c>
      <c r="E1650">
        <v>50</v>
      </c>
      <c r="F1650">
        <v>48.080139160000002</v>
      </c>
      <c r="G1650">
        <v>1383.7319336</v>
      </c>
      <c r="H1650">
        <v>1370.0909423999999</v>
      </c>
      <c r="I1650">
        <v>1288.1282959</v>
      </c>
      <c r="J1650">
        <v>1268.8110352000001</v>
      </c>
      <c r="K1650">
        <v>2400</v>
      </c>
      <c r="L1650">
        <v>0</v>
      </c>
      <c r="M1650">
        <v>0</v>
      </c>
      <c r="N1650">
        <v>2400</v>
      </c>
    </row>
    <row r="1651" spans="1:14" x14ac:dyDescent="0.25">
      <c r="A1651">
        <v>1124.840109</v>
      </c>
      <c r="B1651" s="1">
        <f>DATE(2013,5,29) + TIME(20,9,45)</f>
        <v>41423.840104166666</v>
      </c>
      <c r="C1651">
        <v>80</v>
      </c>
      <c r="D1651">
        <v>79.956703185999999</v>
      </c>
      <c r="E1651">
        <v>50</v>
      </c>
      <c r="F1651">
        <v>48.047630310000002</v>
      </c>
      <c r="G1651">
        <v>1383.6784668</v>
      </c>
      <c r="H1651">
        <v>1370.0504149999999</v>
      </c>
      <c r="I1651">
        <v>1288.1141356999999</v>
      </c>
      <c r="J1651">
        <v>1268.7929687999999</v>
      </c>
      <c r="K1651">
        <v>2400</v>
      </c>
      <c r="L1651">
        <v>0</v>
      </c>
      <c r="M1651">
        <v>0</v>
      </c>
      <c r="N1651">
        <v>2400</v>
      </c>
    </row>
    <row r="1652" spans="1:14" x14ac:dyDescent="0.25">
      <c r="A1652">
        <v>1125.482921</v>
      </c>
      <c r="B1652" s="1">
        <f>DATE(2013,5,30) + TIME(11,35,24)</f>
        <v>41424.482916666668</v>
      </c>
      <c r="C1652">
        <v>80</v>
      </c>
      <c r="D1652">
        <v>79.956687927000004</v>
      </c>
      <c r="E1652">
        <v>50</v>
      </c>
      <c r="F1652">
        <v>48.014526367000002</v>
      </c>
      <c r="G1652">
        <v>1383.6246338000001</v>
      </c>
      <c r="H1652">
        <v>1370.0092772999999</v>
      </c>
      <c r="I1652">
        <v>1288.0994873</v>
      </c>
      <c r="J1652">
        <v>1268.7741699000001</v>
      </c>
      <c r="K1652">
        <v>2400</v>
      </c>
      <c r="L1652">
        <v>0</v>
      </c>
      <c r="M1652">
        <v>0</v>
      </c>
      <c r="N1652">
        <v>2400</v>
      </c>
    </row>
    <row r="1653" spans="1:14" x14ac:dyDescent="0.25">
      <c r="A1653">
        <v>1126.1326340000001</v>
      </c>
      <c r="B1653" s="1">
        <f>DATE(2013,5,31) + TIME(3,10,59)</f>
        <v>41425.132627314815</v>
      </c>
      <c r="C1653">
        <v>80</v>
      </c>
      <c r="D1653">
        <v>79.956665039000001</v>
      </c>
      <c r="E1653">
        <v>50</v>
      </c>
      <c r="F1653">
        <v>47.981075287000003</v>
      </c>
      <c r="G1653">
        <v>1383.5705565999999</v>
      </c>
      <c r="H1653">
        <v>1369.9680175999999</v>
      </c>
      <c r="I1653">
        <v>1288.0843506000001</v>
      </c>
      <c r="J1653">
        <v>1268.7547606999999</v>
      </c>
      <c r="K1653">
        <v>2400</v>
      </c>
      <c r="L1653">
        <v>0</v>
      </c>
      <c r="M1653">
        <v>0</v>
      </c>
      <c r="N1653">
        <v>2400</v>
      </c>
    </row>
    <row r="1654" spans="1:14" x14ac:dyDescent="0.25">
      <c r="A1654">
        <v>1126.7910460000001</v>
      </c>
      <c r="B1654" s="1">
        <f>DATE(2013,5,31) + TIME(18,59,6)</f>
        <v>41425.791041666664</v>
      </c>
      <c r="C1654">
        <v>80</v>
      </c>
      <c r="D1654">
        <v>79.956642150999997</v>
      </c>
      <c r="E1654">
        <v>50</v>
      </c>
      <c r="F1654">
        <v>47.947311401</v>
      </c>
      <c r="G1654">
        <v>1383.5167236</v>
      </c>
      <c r="H1654">
        <v>1369.9266356999999</v>
      </c>
      <c r="I1654">
        <v>1288.0689697</v>
      </c>
      <c r="J1654">
        <v>1268.7348632999999</v>
      </c>
      <c r="K1654">
        <v>2400</v>
      </c>
      <c r="L1654">
        <v>0</v>
      </c>
      <c r="M1654">
        <v>0</v>
      </c>
      <c r="N1654">
        <v>2400</v>
      </c>
    </row>
    <row r="1655" spans="1:14" x14ac:dyDescent="0.25">
      <c r="A1655">
        <v>1127</v>
      </c>
      <c r="B1655" s="1">
        <f>DATE(2013,6,1) + TIME(0,0,0)</f>
        <v>41426</v>
      </c>
      <c r="C1655">
        <v>80</v>
      </c>
      <c r="D1655">
        <v>79.956596375000004</v>
      </c>
      <c r="E1655">
        <v>50</v>
      </c>
      <c r="F1655">
        <v>47.931884766000003</v>
      </c>
      <c r="G1655">
        <v>1383.4786377</v>
      </c>
      <c r="H1655">
        <v>1369.8997803</v>
      </c>
      <c r="I1655">
        <v>1288.0555420000001</v>
      </c>
      <c r="J1655">
        <v>1268.7202147999999</v>
      </c>
      <c r="K1655">
        <v>2400</v>
      </c>
      <c r="L1655">
        <v>0</v>
      </c>
      <c r="M1655">
        <v>0</v>
      </c>
      <c r="N1655">
        <v>2400</v>
      </c>
    </row>
    <row r="1656" spans="1:14" x14ac:dyDescent="0.25">
      <c r="A1656">
        <v>1127.668889</v>
      </c>
      <c r="B1656" s="1">
        <f>DATE(2013,6,1) + TIME(16,3,12)</f>
        <v>41426.668888888889</v>
      </c>
      <c r="C1656">
        <v>80</v>
      </c>
      <c r="D1656">
        <v>79.956619262999993</v>
      </c>
      <c r="E1656">
        <v>50</v>
      </c>
      <c r="F1656">
        <v>47.899932861000003</v>
      </c>
      <c r="G1656">
        <v>1383.4431152</v>
      </c>
      <c r="H1656">
        <v>1369.869751</v>
      </c>
      <c r="I1656">
        <v>1288.0473632999999</v>
      </c>
      <c r="J1656">
        <v>1268.7067870999999</v>
      </c>
      <c r="K1656">
        <v>2400</v>
      </c>
      <c r="L1656">
        <v>0</v>
      </c>
      <c r="M1656">
        <v>0</v>
      </c>
      <c r="N1656">
        <v>2400</v>
      </c>
    </row>
    <row r="1657" spans="1:14" x14ac:dyDescent="0.25">
      <c r="A1657">
        <v>1128.354542</v>
      </c>
      <c r="B1657" s="1">
        <f>DATE(2013,6,2) + TIME(8,30,32)</f>
        <v>41427.354537037034</v>
      </c>
      <c r="C1657">
        <v>80</v>
      </c>
      <c r="D1657">
        <v>79.956604003999999</v>
      </c>
      <c r="E1657">
        <v>50</v>
      </c>
      <c r="F1657">
        <v>47.86656189</v>
      </c>
      <c r="G1657">
        <v>1383.3917236</v>
      </c>
      <c r="H1657">
        <v>1369.8302002</v>
      </c>
      <c r="I1657">
        <v>1288.0316161999999</v>
      </c>
      <c r="J1657">
        <v>1268.6865233999999</v>
      </c>
      <c r="K1657">
        <v>2400</v>
      </c>
      <c r="L1657">
        <v>0</v>
      </c>
      <c r="M1657">
        <v>0</v>
      </c>
      <c r="N1657">
        <v>2400</v>
      </c>
    </row>
    <row r="1658" spans="1:14" x14ac:dyDescent="0.25">
      <c r="A1658">
        <v>1129.055089</v>
      </c>
      <c r="B1658" s="1">
        <f>DATE(2013,6,3) + TIME(1,19,19)</f>
        <v>41428.055081018516</v>
      </c>
      <c r="C1658">
        <v>80</v>
      </c>
      <c r="D1658">
        <v>79.956588745000005</v>
      </c>
      <c r="E1658">
        <v>50</v>
      </c>
      <c r="F1658">
        <v>47.832168578999998</v>
      </c>
      <c r="G1658">
        <v>1383.3382568</v>
      </c>
      <c r="H1658">
        <v>1369.7889404</v>
      </c>
      <c r="I1658">
        <v>1288.0147704999999</v>
      </c>
      <c r="J1658">
        <v>1268.6647949000001</v>
      </c>
      <c r="K1658">
        <v>2400</v>
      </c>
      <c r="L1658">
        <v>0</v>
      </c>
      <c r="M1658">
        <v>0</v>
      </c>
      <c r="N1658">
        <v>2400</v>
      </c>
    </row>
    <row r="1659" spans="1:14" x14ac:dyDescent="0.25">
      <c r="A1659">
        <v>1129.7718460000001</v>
      </c>
      <c r="B1659" s="1">
        <f>DATE(2013,6,3) + TIME(18,31,27)</f>
        <v>41428.771840277775</v>
      </c>
      <c r="C1659">
        <v>80</v>
      </c>
      <c r="D1659">
        <v>79.956573485999996</v>
      </c>
      <c r="E1659">
        <v>50</v>
      </c>
      <c r="F1659">
        <v>47.796939850000001</v>
      </c>
      <c r="G1659">
        <v>1383.2841797000001</v>
      </c>
      <c r="H1659">
        <v>1369.7469481999999</v>
      </c>
      <c r="I1659">
        <v>1287.9973144999999</v>
      </c>
      <c r="J1659">
        <v>1268.6422118999999</v>
      </c>
      <c r="K1659">
        <v>2400</v>
      </c>
      <c r="L1659">
        <v>0</v>
      </c>
      <c r="M1659">
        <v>0</v>
      </c>
      <c r="N1659">
        <v>2400</v>
      </c>
    </row>
    <row r="1660" spans="1:14" x14ac:dyDescent="0.25">
      <c r="A1660">
        <v>1130.4985919999999</v>
      </c>
      <c r="B1660" s="1">
        <f>DATE(2013,6,4) + TIME(11,57,58)</f>
        <v>41429.49858796296</v>
      </c>
      <c r="C1660">
        <v>80</v>
      </c>
      <c r="D1660">
        <v>79.956558228000006</v>
      </c>
      <c r="E1660">
        <v>50</v>
      </c>
      <c r="F1660">
        <v>47.761154175000001</v>
      </c>
      <c r="G1660">
        <v>1383.2298584</v>
      </c>
      <c r="H1660">
        <v>1369.7047118999999</v>
      </c>
      <c r="I1660">
        <v>1287.9792480000001</v>
      </c>
      <c r="J1660">
        <v>1268.6187743999999</v>
      </c>
      <c r="K1660">
        <v>2400</v>
      </c>
      <c r="L1660">
        <v>0</v>
      </c>
      <c r="M1660">
        <v>0</v>
      </c>
      <c r="N1660">
        <v>2400</v>
      </c>
    </row>
    <row r="1661" spans="1:14" x14ac:dyDescent="0.25">
      <c r="A1661">
        <v>1131.229225</v>
      </c>
      <c r="B1661" s="1">
        <f>DATE(2013,6,5) + TIME(5,30,5)</f>
        <v>41430.229224537034</v>
      </c>
      <c r="C1661">
        <v>80</v>
      </c>
      <c r="D1661">
        <v>79.956542968999997</v>
      </c>
      <c r="E1661">
        <v>50</v>
      </c>
      <c r="F1661">
        <v>47.725101471000002</v>
      </c>
      <c r="G1661">
        <v>1383.1756591999999</v>
      </c>
      <c r="H1661">
        <v>1369.6624756000001</v>
      </c>
      <c r="I1661">
        <v>1287.9606934000001</v>
      </c>
      <c r="J1661">
        <v>1268.5947266000001</v>
      </c>
      <c r="K1661">
        <v>2400</v>
      </c>
      <c r="L1661">
        <v>0</v>
      </c>
      <c r="M1661">
        <v>0</v>
      </c>
      <c r="N1661">
        <v>2400</v>
      </c>
    </row>
    <row r="1662" spans="1:14" x14ac:dyDescent="0.25">
      <c r="A1662">
        <v>1131.965248</v>
      </c>
      <c r="B1662" s="1">
        <f>DATE(2013,6,5) + TIME(23,9,57)</f>
        <v>41430.965243055558</v>
      </c>
      <c r="C1662">
        <v>80</v>
      </c>
      <c r="D1662">
        <v>79.956527710000003</v>
      </c>
      <c r="E1662">
        <v>50</v>
      </c>
      <c r="F1662">
        <v>47.688884735000002</v>
      </c>
      <c r="G1662">
        <v>1383.1219481999999</v>
      </c>
      <c r="H1662">
        <v>1369.6203613</v>
      </c>
      <c r="I1662">
        <v>1287.9418945</v>
      </c>
      <c r="J1662">
        <v>1268.5701904</v>
      </c>
      <c r="K1662">
        <v>2400</v>
      </c>
      <c r="L1662">
        <v>0</v>
      </c>
      <c r="M1662">
        <v>0</v>
      </c>
      <c r="N1662">
        <v>2400</v>
      </c>
    </row>
    <row r="1663" spans="1:14" x14ac:dyDescent="0.25">
      <c r="A1663">
        <v>1132.70829</v>
      </c>
      <c r="B1663" s="1">
        <f>DATE(2013,6,6) + TIME(16,59,56)</f>
        <v>41431.708287037036</v>
      </c>
      <c r="C1663">
        <v>80</v>
      </c>
      <c r="D1663">
        <v>79.956520080999994</v>
      </c>
      <c r="E1663">
        <v>50</v>
      </c>
      <c r="F1663">
        <v>47.652519226000003</v>
      </c>
      <c r="G1663">
        <v>1383.0686035000001</v>
      </c>
      <c r="H1663">
        <v>1369.5784911999999</v>
      </c>
      <c r="I1663">
        <v>1287.9227295000001</v>
      </c>
      <c r="J1663">
        <v>1268.5450439000001</v>
      </c>
      <c r="K1663">
        <v>2400</v>
      </c>
      <c r="L1663">
        <v>0</v>
      </c>
      <c r="M1663">
        <v>0</v>
      </c>
      <c r="N1663">
        <v>2400</v>
      </c>
    </row>
    <row r="1664" spans="1:14" x14ac:dyDescent="0.25">
      <c r="A1664">
        <v>1133.460047</v>
      </c>
      <c r="B1664" s="1">
        <f>DATE(2013,6,7) + TIME(11,2,28)</f>
        <v>41432.460046296299</v>
      </c>
      <c r="C1664">
        <v>80</v>
      </c>
      <c r="D1664">
        <v>79.956504821999999</v>
      </c>
      <c r="E1664">
        <v>50</v>
      </c>
      <c r="F1664">
        <v>47.615978241000001</v>
      </c>
      <c r="G1664">
        <v>1383.015625</v>
      </c>
      <c r="H1664">
        <v>1369.5367432</v>
      </c>
      <c r="I1664">
        <v>1287.9030762</v>
      </c>
      <c r="J1664">
        <v>1268.5194091999999</v>
      </c>
      <c r="K1664">
        <v>2400</v>
      </c>
      <c r="L1664">
        <v>0</v>
      </c>
      <c r="M1664">
        <v>0</v>
      </c>
      <c r="N1664">
        <v>2400</v>
      </c>
    </row>
    <row r="1665" spans="1:14" x14ac:dyDescent="0.25">
      <c r="A1665">
        <v>1134.2223080000001</v>
      </c>
      <c r="B1665" s="1">
        <f>DATE(2013,6,8) + TIME(5,20,7)</f>
        <v>41433.222303240742</v>
      </c>
      <c r="C1665">
        <v>80</v>
      </c>
      <c r="D1665">
        <v>79.956489563000005</v>
      </c>
      <c r="E1665">
        <v>50</v>
      </c>
      <c r="F1665">
        <v>47.579208373999997</v>
      </c>
      <c r="G1665">
        <v>1382.9627685999999</v>
      </c>
      <c r="H1665">
        <v>1369.4951172000001</v>
      </c>
      <c r="I1665">
        <v>1287.8830565999999</v>
      </c>
      <c r="J1665">
        <v>1268.4929199000001</v>
      </c>
      <c r="K1665">
        <v>2400</v>
      </c>
      <c r="L1665">
        <v>0</v>
      </c>
      <c r="M1665">
        <v>0</v>
      </c>
      <c r="N1665">
        <v>2400</v>
      </c>
    </row>
    <row r="1666" spans="1:14" x14ac:dyDescent="0.25">
      <c r="A1666">
        <v>1134.996993</v>
      </c>
      <c r="B1666" s="1">
        <f>DATE(2013,6,8) + TIME(23,55,40)</f>
        <v>41433.996990740743</v>
      </c>
      <c r="C1666">
        <v>80</v>
      </c>
      <c r="D1666">
        <v>79.956481933999996</v>
      </c>
      <c r="E1666">
        <v>50</v>
      </c>
      <c r="F1666">
        <v>47.542137146000002</v>
      </c>
      <c r="G1666">
        <v>1382.9100341999999</v>
      </c>
      <c r="H1666">
        <v>1369.4533690999999</v>
      </c>
      <c r="I1666">
        <v>1287.8624268000001</v>
      </c>
      <c r="J1666">
        <v>1268.4658202999999</v>
      </c>
      <c r="K1666">
        <v>2400</v>
      </c>
      <c r="L1666">
        <v>0</v>
      </c>
      <c r="M1666">
        <v>0</v>
      </c>
      <c r="N1666">
        <v>2400</v>
      </c>
    </row>
    <row r="1667" spans="1:14" x14ac:dyDescent="0.25">
      <c r="A1667">
        <v>1135.786204</v>
      </c>
      <c r="B1667" s="1">
        <f>DATE(2013,6,9) + TIME(18,52,7)</f>
        <v>41434.786192129628</v>
      </c>
      <c r="C1667">
        <v>80</v>
      </c>
      <c r="D1667">
        <v>79.956474303999997</v>
      </c>
      <c r="E1667">
        <v>50</v>
      </c>
      <c r="F1667">
        <v>47.504680634000003</v>
      </c>
      <c r="G1667">
        <v>1382.8571777</v>
      </c>
      <c r="H1667">
        <v>1369.4113769999999</v>
      </c>
      <c r="I1667">
        <v>1287.8413086</v>
      </c>
      <c r="J1667">
        <v>1268.4377440999999</v>
      </c>
      <c r="K1667">
        <v>2400</v>
      </c>
      <c r="L1667">
        <v>0</v>
      </c>
      <c r="M1667">
        <v>0</v>
      </c>
      <c r="N1667">
        <v>2400</v>
      </c>
    </row>
    <row r="1668" spans="1:14" x14ac:dyDescent="0.25">
      <c r="A1668">
        <v>1136.592251</v>
      </c>
      <c r="B1668" s="1">
        <f>DATE(2013,6,10) + TIME(14,12,50)</f>
        <v>41435.592245370368</v>
      </c>
      <c r="C1668">
        <v>80</v>
      </c>
      <c r="D1668">
        <v>79.956466675000001</v>
      </c>
      <c r="E1668">
        <v>50</v>
      </c>
      <c r="F1668">
        <v>47.466751099</v>
      </c>
      <c r="G1668">
        <v>1382.8041992000001</v>
      </c>
      <c r="H1668">
        <v>1369.3692627</v>
      </c>
      <c r="I1668">
        <v>1287.8194579999999</v>
      </c>
      <c r="J1668">
        <v>1268.4088135</v>
      </c>
      <c r="K1668">
        <v>2400</v>
      </c>
      <c r="L1668">
        <v>0</v>
      </c>
      <c r="M1668">
        <v>0</v>
      </c>
      <c r="N1668">
        <v>2400</v>
      </c>
    </row>
    <row r="1669" spans="1:14" x14ac:dyDescent="0.25">
      <c r="A1669">
        <v>1137.417706</v>
      </c>
      <c r="B1669" s="1">
        <f>DATE(2013,6,11) + TIME(10,1,29)</f>
        <v>41436.417696759258</v>
      </c>
      <c r="C1669">
        <v>80</v>
      </c>
      <c r="D1669">
        <v>79.956459045000003</v>
      </c>
      <c r="E1669">
        <v>50</v>
      </c>
      <c r="F1669">
        <v>47.428241730000003</v>
      </c>
      <c r="G1669">
        <v>1382.7509766000001</v>
      </c>
      <c r="H1669">
        <v>1369.3266602000001</v>
      </c>
      <c r="I1669">
        <v>1287.796875</v>
      </c>
      <c r="J1669">
        <v>1268.3786620999999</v>
      </c>
      <c r="K1669">
        <v>2400</v>
      </c>
      <c r="L1669">
        <v>0</v>
      </c>
      <c r="M1669">
        <v>0</v>
      </c>
      <c r="N1669">
        <v>2400</v>
      </c>
    </row>
    <row r="1670" spans="1:14" x14ac:dyDescent="0.25">
      <c r="A1670">
        <v>1138.2573010000001</v>
      </c>
      <c r="B1670" s="1">
        <f>DATE(2013,6,12) + TIME(6,10,30)</f>
        <v>41437.257291666669</v>
      </c>
      <c r="C1670">
        <v>80</v>
      </c>
      <c r="D1670">
        <v>79.956451415999993</v>
      </c>
      <c r="E1670">
        <v>50</v>
      </c>
      <c r="F1670">
        <v>47.389232634999999</v>
      </c>
      <c r="G1670">
        <v>1382.6972656</v>
      </c>
      <c r="H1670">
        <v>1369.2836914</v>
      </c>
      <c r="I1670">
        <v>1287.7734375</v>
      </c>
      <c r="J1670">
        <v>1268.3474120999999</v>
      </c>
      <c r="K1670">
        <v>2400</v>
      </c>
      <c r="L1670">
        <v>0</v>
      </c>
      <c r="M1670">
        <v>0</v>
      </c>
      <c r="N1670">
        <v>2400</v>
      </c>
    </row>
    <row r="1671" spans="1:14" x14ac:dyDescent="0.25">
      <c r="A1671">
        <v>1139.1072320000001</v>
      </c>
      <c r="B1671" s="1">
        <f>DATE(2013,6,13) + TIME(2,34,24)</f>
        <v>41438.107222222221</v>
      </c>
      <c r="C1671">
        <v>80</v>
      </c>
      <c r="D1671">
        <v>79.956443786999998</v>
      </c>
      <c r="E1671">
        <v>50</v>
      </c>
      <c r="F1671">
        <v>47.349845885999997</v>
      </c>
      <c r="G1671">
        <v>1382.6435547000001</v>
      </c>
      <c r="H1671">
        <v>1369.2406006000001</v>
      </c>
      <c r="I1671">
        <v>1287.7492675999999</v>
      </c>
      <c r="J1671">
        <v>1268.3151855000001</v>
      </c>
      <c r="K1671">
        <v>2400</v>
      </c>
      <c r="L1671">
        <v>0</v>
      </c>
      <c r="M1671">
        <v>0</v>
      </c>
      <c r="N1671">
        <v>2400</v>
      </c>
    </row>
    <row r="1672" spans="1:14" x14ac:dyDescent="0.25">
      <c r="A1672">
        <v>1139.969824</v>
      </c>
      <c r="B1672" s="1">
        <f>DATE(2013,6,13) + TIME(23,16,32)</f>
        <v>41438.969814814816</v>
      </c>
      <c r="C1672">
        <v>80</v>
      </c>
      <c r="D1672">
        <v>79.956436156999999</v>
      </c>
      <c r="E1672">
        <v>50</v>
      </c>
      <c r="F1672">
        <v>47.310100554999998</v>
      </c>
      <c r="G1672">
        <v>1382.5899658000001</v>
      </c>
      <c r="H1672">
        <v>1369.1975098</v>
      </c>
      <c r="I1672">
        <v>1287.7244873</v>
      </c>
      <c r="J1672">
        <v>1268.2819824000001</v>
      </c>
      <c r="K1672">
        <v>2400</v>
      </c>
      <c r="L1672">
        <v>0</v>
      </c>
      <c r="M1672">
        <v>0</v>
      </c>
      <c r="N1672">
        <v>2400</v>
      </c>
    </row>
    <row r="1673" spans="1:14" x14ac:dyDescent="0.25">
      <c r="A1673">
        <v>1140.8474590000001</v>
      </c>
      <c r="B1673" s="1">
        <f>DATE(2013,6,14) + TIME(20,20,20)</f>
        <v>41439.847453703704</v>
      </c>
      <c r="C1673">
        <v>80</v>
      </c>
      <c r="D1673">
        <v>79.956428528000004</v>
      </c>
      <c r="E1673">
        <v>50</v>
      </c>
      <c r="F1673">
        <v>47.269950866999999</v>
      </c>
      <c r="G1673">
        <v>1382.5362548999999</v>
      </c>
      <c r="H1673">
        <v>1369.1541748</v>
      </c>
      <c r="I1673">
        <v>1287.6990966999999</v>
      </c>
      <c r="J1673">
        <v>1268.2475586</v>
      </c>
      <c r="K1673">
        <v>2400</v>
      </c>
      <c r="L1673">
        <v>0</v>
      </c>
      <c r="M1673">
        <v>0</v>
      </c>
      <c r="N1673">
        <v>2400</v>
      </c>
    </row>
    <row r="1674" spans="1:14" x14ac:dyDescent="0.25">
      <c r="A1674">
        <v>1141.742669</v>
      </c>
      <c r="B1674" s="1">
        <f>DATE(2013,6,15) + TIME(17,49,26)</f>
        <v>41440.742662037039</v>
      </c>
      <c r="C1674">
        <v>80</v>
      </c>
      <c r="D1674">
        <v>79.956428528000004</v>
      </c>
      <c r="E1674">
        <v>50</v>
      </c>
      <c r="F1674">
        <v>47.229316711000003</v>
      </c>
      <c r="G1674">
        <v>1382.4825439000001</v>
      </c>
      <c r="H1674">
        <v>1369.1107178</v>
      </c>
      <c r="I1674">
        <v>1287.6727295000001</v>
      </c>
      <c r="J1674">
        <v>1268.2120361</v>
      </c>
      <c r="K1674">
        <v>2400</v>
      </c>
      <c r="L1674">
        <v>0</v>
      </c>
      <c r="M1674">
        <v>0</v>
      </c>
      <c r="N1674">
        <v>2400</v>
      </c>
    </row>
    <row r="1675" spans="1:14" x14ac:dyDescent="0.25">
      <c r="A1675">
        <v>1142.658185</v>
      </c>
      <c r="B1675" s="1">
        <f>DATE(2013,6,16) + TIME(15,47,47)</f>
        <v>41441.658182870371</v>
      </c>
      <c r="C1675">
        <v>80</v>
      </c>
      <c r="D1675">
        <v>79.956420898000005</v>
      </c>
      <c r="E1675">
        <v>50</v>
      </c>
      <c r="F1675">
        <v>47.188102721999996</v>
      </c>
      <c r="G1675">
        <v>1382.4284668</v>
      </c>
      <c r="H1675">
        <v>1369.0668945</v>
      </c>
      <c r="I1675">
        <v>1287.6456298999999</v>
      </c>
      <c r="J1675">
        <v>1268.1751709</v>
      </c>
      <c r="K1675">
        <v>2400</v>
      </c>
      <c r="L1675">
        <v>0</v>
      </c>
      <c r="M1675">
        <v>0</v>
      </c>
      <c r="N1675">
        <v>2400</v>
      </c>
    </row>
    <row r="1676" spans="1:14" x14ac:dyDescent="0.25">
      <c r="A1676">
        <v>1143.596994</v>
      </c>
      <c r="B1676" s="1">
        <f>DATE(2013,6,17) + TIME(14,19,40)</f>
        <v>41442.596990740742</v>
      </c>
      <c r="C1676">
        <v>80</v>
      </c>
      <c r="D1676">
        <v>79.956420898000005</v>
      </c>
      <c r="E1676">
        <v>50</v>
      </c>
      <c r="F1676">
        <v>47.146202086999999</v>
      </c>
      <c r="G1676">
        <v>1382.3740233999999</v>
      </c>
      <c r="H1676">
        <v>1369.0225829999999</v>
      </c>
      <c r="I1676">
        <v>1287.6174315999999</v>
      </c>
      <c r="J1676">
        <v>1268.1368408000001</v>
      </c>
      <c r="K1676">
        <v>2400</v>
      </c>
      <c r="L1676">
        <v>0</v>
      </c>
      <c r="M1676">
        <v>0</v>
      </c>
      <c r="N1676">
        <v>2400</v>
      </c>
    </row>
    <row r="1677" spans="1:14" x14ac:dyDescent="0.25">
      <c r="A1677">
        <v>1144.55377</v>
      </c>
      <c r="B1677" s="1">
        <f>DATE(2013,6,18) + TIME(13,17,25)</f>
        <v>41443.553761574076</v>
      </c>
      <c r="C1677">
        <v>80</v>
      </c>
      <c r="D1677">
        <v>79.956413268999995</v>
      </c>
      <c r="E1677">
        <v>50</v>
      </c>
      <c r="F1677">
        <v>47.103656768999997</v>
      </c>
      <c r="G1677">
        <v>1382.3190918</v>
      </c>
      <c r="H1677">
        <v>1368.9777832</v>
      </c>
      <c r="I1677">
        <v>1287.5881348</v>
      </c>
      <c r="J1677">
        <v>1268.0968018000001</v>
      </c>
      <c r="K1677">
        <v>2400</v>
      </c>
      <c r="L1677">
        <v>0</v>
      </c>
      <c r="M1677">
        <v>0</v>
      </c>
      <c r="N1677">
        <v>2400</v>
      </c>
    </row>
    <row r="1678" spans="1:14" x14ac:dyDescent="0.25">
      <c r="A1678">
        <v>1145.513794</v>
      </c>
      <c r="B1678" s="1">
        <f>DATE(2013,6,19) + TIME(12,19,51)</f>
        <v>41444.513784722221</v>
      </c>
      <c r="C1678">
        <v>80</v>
      </c>
      <c r="D1678">
        <v>79.956413268999995</v>
      </c>
      <c r="E1678">
        <v>50</v>
      </c>
      <c r="F1678">
        <v>47.060825348000002</v>
      </c>
      <c r="G1678">
        <v>1382.2641602000001</v>
      </c>
      <c r="H1678">
        <v>1368.9328613</v>
      </c>
      <c r="I1678">
        <v>1287.5578613</v>
      </c>
      <c r="J1678">
        <v>1268.0554199000001</v>
      </c>
      <c r="K1678">
        <v>2400</v>
      </c>
      <c r="L1678">
        <v>0</v>
      </c>
      <c r="M1678">
        <v>0</v>
      </c>
      <c r="N1678">
        <v>2400</v>
      </c>
    </row>
    <row r="1679" spans="1:14" x14ac:dyDescent="0.25">
      <c r="A1679">
        <v>1146.479163</v>
      </c>
      <c r="B1679" s="1">
        <f>DATE(2013,6,20) + TIME(11,29,59)</f>
        <v>41445.479155092595</v>
      </c>
      <c r="C1679">
        <v>80</v>
      </c>
      <c r="D1679">
        <v>79.956413268999995</v>
      </c>
      <c r="E1679">
        <v>50</v>
      </c>
      <c r="F1679">
        <v>47.017864226999997</v>
      </c>
      <c r="G1679">
        <v>1382.2097168</v>
      </c>
      <c r="H1679">
        <v>1368.8881836</v>
      </c>
      <c r="I1679">
        <v>1287.5270995999999</v>
      </c>
      <c r="J1679">
        <v>1268.0130615</v>
      </c>
      <c r="K1679">
        <v>2400</v>
      </c>
      <c r="L1679">
        <v>0</v>
      </c>
      <c r="M1679">
        <v>0</v>
      </c>
      <c r="N1679">
        <v>2400</v>
      </c>
    </row>
    <row r="1680" spans="1:14" x14ac:dyDescent="0.25">
      <c r="A1680">
        <v>1147.452166</v>
      </c>
      <c r="B1680" s="1">
        <f>DATE(2013,6,21) + TIME(10,51,7)</f>
        <v>41446.452164351853</v>
      </c>
      <c r="C1680">
        <v>80</v>
      </c>
      <c r="D1680">
        <v>79.956413268999995</v>
      </c>
      <c r="E1680">
        <v>50</v>
      </c>
      <c r="F1680">
        <v>46.974803925000003</v>
      </c>
      <c r="G1680">
        <v>1382.1556396000001</v>
      </c>
      <c r="H1680">
        <v>1368.8438721</v>
      </c>
      <c r="I1680">
        <v>1287.4956055</v>
      </c>
      <c r="J1680">
        <v>1267.9696045000001</v>
      </c>
      <c r="K1680">
        <v>2400</v>
      </c>
      <c r="L1680">
        <v>0</v>
      </c>
      <c r="M1680">
        <v>0</v>
      </c>
      <c r="N1680">
        <v>2400</v>
      </c>
    </row>
    <row r="1681" spans="1:14" x14ac:dyDescent="0.25">
      <c r="A1681">
        <v>1148.4351839999999</v>
      </c>
      <c r="B1681" s="1">
        <f>DATE(2013,6,22) + TIME(10,26,39)</f>
        <v>41447.435173611113</v>
      </c>
      <c r="C1681">
        <v>80</v>
      </c>
      <c r="D1681">
        <v>79.956413268999995</v>
      </c>
      <c r="E1681">
        <v>50</v>
      </c>
      <c r="F1681">
        <v>46.931591034</v>
      </c>
      <c r="G1681">
        <v>1382.1020507999999</v>
      </c>
      <c r="H1681">
        <v>1368.7995605000001</v>
      </c>
      <c r="I1681">
        <v>1287.4633789</v>
      </c>
      <c r="J1681">
        <v>1267.9249268000001</v>
      </c>
      <c r="K1681">
        <v>2400</v>
      </c>
      <c r="L1681">
        <v>0</v>
      </c>
      <c r="M1681">
        <v>0</v>
      </c>
      <c r="N1681">
        <v>2400</v>
      </c>
    </row>
    <row r="1682" spans="1:14" x14ac:dyDescent="0.25">
      <c r="A1682">
        <v>1149.4307470000001</v>
      </c>
      <c r="B1682" s="1">
        <f>DATE(2013,6,23) + TIME(10,20,16)</f>
        <v>41448.43074074074</v>
      </c>
      <c r="C1682">
        <v>80</v>
      </c>
      <c r="D1682">
        <v>79.956413268999995</v>
      </c>
      <c r="E1682">
        <v>50</v>
      </c>
      <c r="F1682">
        <v>46.888149261000002</v>
      </c>
      <c r="G1682">
        <v>1382.0484618999999</v>
      </c>
      <c r="H1682">
        <v>1368.7553711</v>
      </c>
      <c r="I1682">
        <v>1287.4304199000001</v>
      </c>
      <c r="J1682">
        <v>1267.8790283000001</v>
      </c>
      <c r="K1682">
        <v>2400</v>
      </c>
      <c r="L1682">
        <v>0</v>
      </c>
      <c r="M1682">
        <v>0</v>
      </c>
      <c r="N1682">
        <v>2400</v>
      </c>
    </row>
    <row r="1683" spans="1:14" x14ac:dyDescent="0.25">
      <c r="A1683">
        <v>1150.4369630000001</v>
      </c>
      <c r="B1683" s="1">
        <f>DATE(2013,6,24) + TIME(10,29,13)</f>
        <v>41449.436956018515</v>
      </c>
      <c r="C1683">
        <v>80</v>
      </c>
      <c r="D1683">
        <v>79.956413268999995</v>
      </c>
      <c r="E1683">
        <v>50</v>
      </c>
      <c r="F1683">
        <v>46.844467162999997</v>
      </c>
      <c r="G1683">
        <v>1381.9951172000001</v>
      </c>
      <c r="H1683">
        <v>1368.7110596</v>
      </c>
      <c r="I1683">
        <v>1287.3964844</v>
      </c>
      <c r="J1683">
        <v>1267.8316649999999</v>
      </c>
      <c r="K1683">
        <v>2400</v>
      </c>
      <c r="L1683">
        <v>0</v>
      </c>
      <c r="M1683">
        <v>0</v>
      </c>
      <c r="N1683">
        <v>2400</v>
      </c>
    </row>
    <row r="1684" spans="1:14" x14ac:dyDescent="0.25">
      <c r="A1684">
        <v>1151.454105</v>
      </c>
      <c r="B1684" s="1">
        <f>DATE(2013,6,25) + TIME(10,53,54)</f>
        <v>41450.454097222224</v>
      </c>
      <c r="C1684">
        <v>80</v>
      </c>
      <c r="D1684">
        <v>79.956420898000005</v>
      </c>
      <c r="E1684">
        <v>50</v>
      </c>
      <c r="F1684">
        <v>46.800540924000003</v>
      </c>
      <c r="G1684">
        <v>1381.9418945</v>
      </c>
      <c r="H1684">
        <v>1368.6668701000001</v>
      </c>
      <c r="I1684">
        <v>1287.3616943</v>
      </c>
      <c r="J1684">
        <v>1267.7829589999999</v>
      </c>
      <c r="K1684">
        <v>2400</v>
      </c>
      <c r="L1684">
        <v>0</v>
      </c>
      <c r="M1684">
        <v>0</v>
      </c>
      <c r="N1684">
        <v>2400</v>
      </c>
    </row>
    <row r="1685" spans="1:14" x14ac:dyDescent="0.25">
      <c r="A1685">
        <v>1152.4847480000001</v>
      </c>
      <c r="B1685" s="1">
        <f>DATE(2013,6,26) + TIME(11,38,2)</f>
        <v>41451.48474537037</v>
      </c>
      <c r="C1685">
        <v>80</v>
      </c>
      <c r="D1685">
        <v>79.956420898000005</v>
      </c>
      <c r="E1685">
        <v>50</v>
      </c>
      <c r="F1685">
        <v>46.756320952999999</v>
      </c>
      <c r="G1685">
        <v>1381.8887939000001</v>
      </c>
      <c r="H1685">
        <v>1368.6226807</v>
      </c>
      <c r="I1685">
        <v>1287.3260498</v>
      </c>
      <c r="J1685">
        <v>1267.7326660000001</v>
      </c>
      <c r="K1685">
        <v>2400</v>
      </c>
      <c r="L1685">
        <v>0</v>
      </c>
      <c r="M1685">
        <v>0</v>
      </c>
      <c r="N1685">
        <v>2400</v>
      </c>
    </row>
    <row r="1686" spans="1:14" x14ac:dyDescent="0.25">
      <c r="A1686">
        <v>1153.5316680000001</v>
      </c>
      <c r="B1686" s="1">
        <f>DATE(2013,6,27) + TIME(12,45,36)</f>
        <v>41452.531666666669</v>
      </c>
      <c r="C1686">
        <v>80</v>
      </c>
      <c r="D1686">
        <v>79.956428528000004</v>
      </c>
      <c r="E1686">
        <v>50</v>
      </c>
      <c r="F1686">
        <v>46.711719512999998</v>
      </c>
      <c r="G1686">
        <v>1381.8358154</v>
      </c>
      <c r="H1686">
        <v>1368.5783690999999</v>
      </c>
      <c r="I1686">
        <v>1287.2893065999999</v>
      </c>
      <c r="J1686">
        <v>1267.6809082</v>
      </c>
      <c r="K1686">
        <v>2400</v>
      </c>
      <c r="L1686">
        <v>0</v>
      </c>
      <c r="M1686">
        <v>0</v>
      </c>
      <c r="N1686">
        <v>2400</v>
      </c>
    </row>
    <row r="1687" spans="1:14" x14ac:dyDescent="0.25">
      <c r="A1687">
        <v>1154.59791</v>
      </c>
      <c r="B1687" s="1">
        <f>DATE(2013,6,28) + TIME(14,20,59)</f>
        <v>41453.597905092596</v>
      </c>
      <c r="C1687">
        <v>80</v>
      </c>
      <c r="D1687">
        <v>79.956428528000004</v>
      </c>
      <c r="E1687">
        <v>50</v>
      </c>
      <c r="F1687">
        <v>46.666633605999998</v>
      </c>
      <c r="G1687">
        <v>1381.7825928</v>
      </c>
      <c r="H1687">
        <v>1368.5339355000001</v>
      </c>
      <c r="I1687">
        <v>1287.2514647999999</v>
      </c>
      <c r="J1687">
        <v>1267.6273193</v>
      </c>
      <c r="K1687">
        <v>2400</v>
      </c>
      <c r="L1687">
        <v>0</v>
      </c>
      <c r="M1687">
        <v>0</v>
      </c>
      <c r="N1687">
        <v>2400</v>
      </c>
    </row>
    <row r="1688" spans="1:14" x14ac:dyDescent="0.25">
      <c r="A1688">
        <v>1155.6868179999999</v>
      </c>
      <c r="B1688" s="1">
        <f>DATE(2013,6,29) + TIME(16,29,1)</f>
        <v>41454.68681712963</v>
      </c>
      <c r="C1688">
        <v>80</v>
      </c>
      <c r="D1688">
        <v>79.956436156999999</v>
      </c>
      <c r="E1688">
        <v>50</v>
      </c>
      <c r="F1688">
        <v>46.620933532999999</v>
      </c>
      <c r="G1688">
        <v>1381.729126</v>
      </c>
      <c r="H1688">
        <v>1368.4890137</v>
      </c>
      <c r="I1688">
        <v>1287.2124022999999</v>
      </c>
      <c r="J1688">
        <v>1267.5716553</v>
      </c>
      <c r="K1688">
        <v>2400</v>
      </c>
      <c r="L1688">
        <v>0</v>
      </c>
      <c r="M1688">
        <v>0</v>
      </c>
      <c r="N1688">
        <v>2400</v>
      </c>
    </row>
    <row r="1689" spans="1:14" x14ac:dyDescent="0.25">
      <c r="A1689">
        <v>1156.80213</v>
      </c>
      <c r="B1689" s="1">
        <f>DATE(2013,6,30) + TIME(19,15,4)</f>
        <v>41455.802129629628</v>
      </c>
      <c r="C1689">
        <v>80</v>
      </c>
      <c r="D1689">
        <v>79.956443786999998</v>
      </c>
      <c r="E1689">
        <v>50</v>
      </c>
      <c r="F1689">
        <v>46.574489593999999</v>
      </c>
      <c r="G1689">
        <v>1381.675293</v>
      </c>
      <c r="H1689">
        <v>1368.4437256000001</v>
      </c>
      <c r="I1689">
        <v>1287.171875</v>
      </c>
      <c r="J1689">
        <v>1267.5139160000001</v>
      </c>
      <c r="K1689">
        <v>2400</v>
      </c>
      <c r="L1689">
        <v>0</v>
      </c>
      <c r="M1689">
        <v>0</v>
      </c>
      <c r="N1689">
        <v>2400</v>
      </c>
    </row>
    <row r="1690" spans="1:14" x14ac:dyDescent="0.25">
      <c r="A1690">
        <v>1157</v>
      </c>
      <c r="B1690" s="1">
        <f>DATE(2013,7,1) + TIME(0,0,0)</f>
        <v>41456</v>
      </c>
      <c r="C1690">
        <v>80</v>
      </c>
      <c r="D1690">
        <v>79.956413268999995</v>
      </c>
      <c r="E1690">
        <v>50</v>
      </c>
      <c r="F1690">
        <v>46.558712006</v>
      </c>
      <c r="G1690">
        <v>1381.6472168</v>
      </c>
      <c r="H1690">
        <v>1368.4227295000001</v>
      </c>
      <c r="I1690">
        <v>1287.1394043</v>
      </c>
      <c r="J1690">
        <v>1267.4726562000001</v>
      </c>
      <c r="K1690">
        <v>2400</v>
      </c>
      <c r="L1690">
        <v>0</v>
      </c>
      <c r="M1690">
        <v>0</v>
      </c>
      <c r="N1690">
        <v>2400</v>
      </c>
    </row>
    <row r="1691" spans="1:14" x14ac:dyDescent="0.25">
      <c r="A1691">
        <v>1158.146395</v>
      </c>
      <c r="B1691" s="1">
        <f>DATE(2013,7,2) + TIME(3,30,48)</f>
        <v>41457.14638888889</v>
      </c>
      <c r="C1691">
        <v>80</v>
      </c>
      <c r="D1691">
        <v>79.956451415999993</v>
      </c>
      <c r="E1691">
        <v>50</v>
      </c>
      <c r="F1691">
        <v>46.515701294000003</v>
      </c>
      <c r="G1691">
        <v>1381.6085204999999</v>
      </c>
      <c r="H1691">
        <v>1368.387207</v>
      </c>
      <c r="I1691">
        <v>1287.1208495999999</v>
      </c>
      <c r="J1691">
        <v>1267.4400635</v>
      </c>
      <c r="K1691">
        <v>2400</v>
      </c>
      <c r="L1691">
        <v>0</v>
      </c>
      <c r="M1691">
        <v>0</v>
      </c>
      <c r="N1691">
        <v>2400</v>
      </c>
    </row>
    <row r="1692" spans="1:14" x14ac:dyDescent="0.25">
      <c r="A1692">
        <v>1159.335554</v>
      </c>
      <c r="B1692" s="1">
        <f>DATE(2013,7,3) + TIME(8,3,11)</f>
        <v>41458.335543981484</v>
      </c>
      <c r="C1692">
        <v>80</v>
      </c>
      <c r="D1692">
        <v>79.956466675000001</v>
      </c>
      <c r="E1692">
        <v>50</v>
      </c>
      <c r="F1692">
        <v>46.469017029</v>
      </c>
      <c r="G1692">
        <v>1381.5555420000001</v>
      </c>
      <c r="H1692">
        <v>1368.3424072</v>
      </c>
      <c r="I1692">
        <v>1287.0778809000001</v>
      </c>
      <c r="J1692">
        <v>1267.378418</v>
      </c>
      <c r="K1692">
        <v>2400</v>
      </c>
      <c r="L1692">
        <v>0</v>
      </c>
      <c r="M1692">
        <v>0</v>
      </c>
      <c r="N1692">
        <v>2400</v>
      </c>
    </row>
    <row r="1693" spans="1:14" x14ac:dyDescent="0.25">
      <c r="A1693">
        <v>1159.940016</v>
      </c>
      <c r="B1693" s="1">
        <f>DATE(2013,7,3) + TIME(22,33,37)</f>
        <v>41458.940011574072</v>
      </c>
      <c r="C1693">
        <v>80</v>
      </c>
      <c r="D1693">
        <v>79.956443786999998</v>
      </c>
      <c r="E1693">
        <v>50</v>
      </c>
      <c r="F1693">
        <v>46.434318542</v>
      </c>
      <c r="G1693">
        <v>1381.5106201000001</v>
      </c>
      <c r="H1693">
        <v>1368.3056641000001</v>
      </c>
      <c r="I1693">
        <v>1287.0354004000001</v>
      </c>
      <c r="J1693">
        <v>1267.3203125</v>
      </c>
      <c r="K1693">
        <v>2400</v>
      </c>
      <c r="L1693">
        <v>0</v>
      </c>
      <c r="M1693">
        <v>0</v>
      </c>
      <c r="N1693">
        <v>2400</v>
      </c>
    </row>
    <row r="1694" spans="1:14" x14ac:dyDescent="0.25">
      <c r="A1694">
        <v>1160.5444789999999</v>
      </c>
      <c r="B1694" s="1">
        <f>DATE(2013,7,4) + TIME(13,4,2)</f>
        <v>41459.54446759259</v>
      </c>
      <c r="C1694">
        <v>80</v>
      </c>
      <c r="D1694">
        <v>79.956443786999998</v>
      </c>
      <c r="E1694">
        <v>50</v>
      </c>
      <c r="F1694">
        <v>46.403663635000001</v>
      </c>
      <c r="G1694">
        <v>1381.4779053</v>
      </c>
      <c r="H1694">
        <v>1368.2775879000001</v>
      </c>
      <c r="I1694">
        <v>1287.0095214999999</v>
      </c>
      <c r="J1694">
        <v>1267.2816161999999</v>
      </c>
      <c r="K1694">
        <v>2400</v>
      </c>
      <c r="L1694">
        <v>0</v>
      </c>
      <c r="M1694">
        <v>0</v>
      </c>
      <c r="N1694">
        <v>2400</v>
      </c>
    </row>
    <row r="1695" spans="1:14" x14ac:dyDescent="0.25">
      <c r="A1695">
        <v>1161.1489409999999</v>
      </c>
      <c r="B1695" s="1">
        <f>DATE(2013,7,5) + TIME(3,34,28)</f>
        <v>41460.148935185185</v>
      </c>
      <c r="C1695">
        <v>80</v>
      </c>
      <c r="D1695">
        <v>79.956451415999993</v>
      </c>
      <c r="E1695">
        <v>50</v>
      </c>
      <c r="F1695">
        <v>46.375358581999997</v>
      </c>
      <c r="G1695">
        <v>1381.4482422000001</v>
      </c>
      <c r="H1695">
        <v>1368.2520752</v>
      </c>
      <c r="I1695">
        <v>1286.9848632999999</v>
      </c>
      <c r="J1695">
        <v>1267.2448730000001</v>
      </c>
      <c r="K1695">
        <v>2400</v>
      </c>
      <c r="L1695">
        <v>0</v>
      </c>
      <c r="M1695">
        <v>0</v>
      </c>
      <c r="N1695">
        <v>2400</v>
      </c>
    </row>
    <row r="1696" spans="1:14" x14ac:dyDescent="0.25">
      <c r="A1696">
        <v>1162.3578660000001</v>
      </c>
      <c r="B1696" s="1">
        <f>DATE(2013,7,6) + TIME(8,35,19)</f>
        <v>41461.357858796298</v>
      </c>
      <c r="C1696">
        <v>80</v>
      </c>
      <c r="D1696">
        <v>79.956497192</v>
      </c>
      <c r="E1696">
        <v>50</v>
      </c>
      <c r="F1696">
        <v>46.337512969999999</v>
      </c>
      <c r="G1696">
        <v>1381.4112548999999</v>
      </c>
      <c r="H1696">
        <v>1368.2193603999999</v>
      </c>
      <c r="I1696">
        <v>1286.9575195</v>
      </c>
      <c r="J1696">
        <v>1267.2021483999999</v>
      </c>
      <c r="K1696">
        <v>2400</v>
      </c>
      <c r="L1696">
        <v>0</v>
      </c>
      <c r="M1696">
        <v>0</v>
      </c>
      <c r="N1696">
        <v>2400</v>
      </c>
    </row>
    <row r="1697" spans="1:14" x14ac:dyDescent="0.25">
      <c r="A1697">
        <v>1163.5670299999999</v>
      </c>
      <c r="B1697" s="1">
        <f>DATE(2013,7,7) + TIME(13,36,31)</f>
        <v>41462.567025462966</v>
      </c>
      <c r="C1697">
        <v>80</v>
      </c>
      <c r="D1697">
        <v>79.956504821999999</v>
      </c>
      <c r="E1697">
        <v>50</v>
      </c>
      <c r="F1697">
        <v>46.292503357000001</v>
      </c>
      <c r="G1697">
        <v>1381.359375</v>
      </c>
      <c r="H1697">
        <v>1368.1754149999999</v>
      </c>
      <c r="I1697">
        <v>1286.9101562000001</v>
      </c>
      <c r="J1697">
        <v>1267.1343993999999</v>
      </c>
      <c r="K1697">
        <v>2400</v>
      </c>
      <c r="L1697">
        <v>0</v>
      </c>
      <c r="M1697">
        <v>0</v>
      </c>
      <c r="N1697">
        <v>2400</v>
      </c>
    </row>
    <row r="1698" spans="1:14" x14ac:dyDescent="0.25">
      <c r="A1698">
        <v>1164.7832599999999</v>
      </c>
      <c r="B1698" s="1">
        <f>DATE(2013,7,8) + TIME(18,47,53)</f>
        <v>41463.783252314817</v>
      </c>
      <c r="C1698">
        <v>80</v>
      </c>
      <c r="D1698">
        <v>79.956512450999995</v>
      </c>
      <c r="E1698">
        <v>50</v>
      </c>
      <c r="F1698">
        <v>46.244621277</v>
      </c>
      <c r="G1698">
        <v>1381.3059082</v>
      </c>
      <c r="H1698">
        <v>1368.1298827999999</v>
      </c>
      <c r="I1698">
        <v>1286.8609618999999</v>
      </c>
      <c r="J1698">
        <v>1267.0629882999999</v>
      </c>
      <c r="K1698">
        <v>2400</v>
      </c>
      <c r="L1698">
        <v>0</v>
      </c>
      <c r="M1698">
        <v>0</v>
      </c>
      <c r="N1698">
        <v>2400</v>
      </c>
    </row>
    <row r="1699" spans="1:14" x14ac:dyDescent="0.25">
      <c r="A1699">
        <v>1166.0058309999999</v>
      </c>
      <c r="B1699" s="1">
        <f>DATE(2013,7,10) + TIME(0,8,23)</f>
        <v>41465.00582175926</v>
      </c>
      <c r="C1699">
        <v>80</v>
      </c>
      <c r="D1699">
        <v>79.956527710000003</v>
      </c>
      <c r="E1699">
        <v>50</v>
      </c>
      <c r="F1699">
        <v>46.195556641000003</v>
      </c>
      <c r="G1699">
        <v>1381.2523193</v>
      </c>
      <c r="H1699">
        <v>1368.0839844</v>
      </c>
      <c r="I1699">
        <v>1286.8105469</v>
      </c>
      <c r="J1699">
        <v>1266.9891356999999</v>
      </c>
      <c r="K1699">
        <v>2400</v>
      </c>
      <c r="L1699">
        <v>0</v>
      </c>
      <c r="M1699">
        <v>0</v>
      </c>
      <c r="N1699">
        <v>2400</v>
      </c>
    </row>
    <row r="1700" spans="1:14" x14ac:dyDescent="0.25">
      <c r="A1700">
        <v>1167.2328239999999</v>
      </c>
      <c r="B1700" s="1">
        <f>DATE(2013,7,11) + TIME(5,35,15)</f>
        <v>41466.232812499999</v>
      </c>
      <c r="C1700">
        <v>80</v>
      </c>
      <c r="D1700">
        <v>79.956535338999998</v>
      </c>
      <c r="E1700">
        <v>50</v>
      </c>
      <c r="F1700">
        <v>46.146030426000003</v>
      </c>
      <c r="G1700">
        <v>1381.1989745999999</v>
      </c>
      <c r="H1700">
        <v>1368.0382079999999</v>
      </c>
      <c r="I1700">
        <v>1286.7591553</v>
      </c>
      <c r="J1700">
        <v>1266.9134521000001</v>
      </c>
      <c r="K1700">
        <v>2400</v>
      </c>
      <c r="L1700">
        <v>0</v>
      </c>
      <c r="M1700">
        <v>0</v>
      </c>
      <c r="N1700">
        <v>2400</v>
      </c>
    </row>
    <row r="1701" spans="1:14" x14ac:dyDescent="0.25">
      <c r="A1701">
        <v>1168.4673299999999</v>
      </c>
      <c r="B1701" s="1">
        <f>DATE(2013,7,12) + TIME(11,12,57)</f>
        <v>41467.467326388891</v>
      </c>
      <c r="C1701">
        <v>80</v>
      </c>
      <c r="D1701">
        <v>79.956550598000007</v>
      </c>
      <c r="E1701">
        <v>50</v>
      </c>
      <c r="F1701">
        <v>46.096298218000001</v>
      </c>
      <c r="G1701">
        <v>1381.1459961</v>
      </c>
      <c r="H1701">
        <v>1367.9925536999999</v>
      </c>
      <c r="I1701">
        <v>1286.7067870999999</v>
      </c>
      <c r="J1701">
        <v>1266.8359375</v>
      </c>
      <c r="K1701">
        <v>2400</v>
      </c>
      <c r="L1701">
        <v>0</v>
      </c>
      <c r="M1701">
        <v>0</v>
      </c>
      <c r="N1701">
        <v>2400</v>
      </c>
    </row>
    <row r="1702" spans="1:14" x14ac:dyDescent="0.25">
      <c r="A1702">
        <v>1169.7126029999999</v>
      </c>
      <c r="B1702" s="1">
        <f>DATE(2013,7,13) + TIME(17,6,8)</f>
        <v>41468.712592592594</v>
      </c>
      <c r="C1702">
        <v>80</v>
      </c>
      <c r="D1702">
        <v>79.956565857000001</v>
      </c>
      <c r="E1702">
        <v>50</v>
      </c>
      <c r="F1702">
        <v>46.046394348</v>
      </c>
      <c r="G1702">
        <v>1381.0932617000001</v>
      </c>
      <c r="H1702">
        <v>1367.9471435999999</v>
      </c>
      <c r="I1702">
        <v>1286.6534423999999</v>
      </c>
      <c r="J1702">
        <v>1266.7567139</v>
      </c>
      <c r="K1702">
        <v>2400</v>
      </c>
      <c r="L1702">
        <v>0</v>
      </c>
      <c r="M1702">
        <v>0</v>
      </c>
      <c r="N1702">
        <v>2400</v>
      </c>
    </row>
    <row r="1703" spans="1:14" x14ac:dyDescent="0.25">
      <c r="A1703">
        <v>1170.9721070000001</v>
      </c>
      <c r="B1703" s="1">
        <f>DATE(2013,7,14) + TIME(23,19,50)</f>
        <v>41469.97210648148</v>
      </c>
      <c r="C1703">
        <v>80</v>
      </c>
      <c r="D1703">
        <v>79.956581115999995</v>
      </c>
      <c r="E1703">
        <v>50</v>
      </c>
      <c r="F1703">
        <v>45.996253967000001</v>
      </c>
      <c r="G1703">
        <v>1381.0406493999999</v>
      </c>
      <c r="H1703">
        <v>1367.9016113</v>
      </c>
      <c r="I1703">
        <v>1286.598999</v>
      </c>
      <c r="J1703">
        <v>1266.6754149999999</v>
      </c>
      <c r="K1703">
        <v>2400</v>
      </c>
      <c r="L1703">
        <v>0</v>
      </c>
      <c r="M1703">
        <v>0</v>
      </c>
      <c r="N1703">
        <v>2400</v>
      </c>
    </row>
    <row r="1704" spans="1:14" x14ac:dyDescent="0.25">
      <c r="A1704">
        <v>1172.2495019999999</v>
      </c>
      <c r="B1704" s="1">
        <f>DATE(2013,7,16) + TIME(5,59,16)</f>
        <v>41471.249490740738</v>
      </c>
      <c r="C1704">
        <v>80</v>
      </c>
      <c r="D1704">
        <v>79.956596375000004</v>
      </c>
      <c r="E1704">
        <v>50</v>
      </c>
      <c r="F1704">
        <v>45.945774077999999</v>
      </c>
      <c r="G1704">
        <v>1380.9881591999999</v>
      </c>
      <c r="H1704">
        <v>1367.8560791</v>
      </c>
      <c r="I1704">
        <v>1286.5432129000001</v>
      </c>
      <c r="J1704">
        <v>1266.5919189000001</v>
      </c>
      <c r="K1704">
        <v>2400</v>
      </c>
      <c r="L1704">
        <v>0</v>
      </c>
      <c r="M1704">
        <v>0</v>
      </c>
      <c r="N1704">
        <v>2400</v>
      </c>
    </row>
    <row r="1705" spans="1:14" x14ac:dyDescent="0.25">
      <c r="A1705">
        <v>1173.548806</v>
      </c>
      <c r="B1705" s="1">
        <f>DATE(2013,7,17) + TIME(13,10,16)</f>
        <v>41472.548796296294</v>
      </c>
      <c r="C1705">
        <v>80</v>
      </c>
      <c r="D1705">
        <v>79.956611632999994</v>
      </c>
      <c r="E1705">
        <v>50</v>
      </c>
      <c r="F1705">
        <v>45.894828795999999</v>
      </c>
      <c r="G1705">
        <v>1380.9354248</v>
      </c>
      <c r="H1705">
        <v>1367.8103027</v>
      </c>
      <c r="I1705">
        <v>1286.4859618999999</v>
      </c>
      <c r="J1705">
        <v>1266.5058594</v>
      </c>
      <c r="K1705">
        <v>2400</v>
      </c>
      <c r="L1705">
        <v>0</v>
      </c>
      <c r="M1705">
        <v>0</v>
      </c>
      <c r="N1705">
        <v>2400</v>
      </c>
    </row>
    <row r="1706" spans="1:14" x14ac:dyDescent="0.25">
      <c r="A1706">
        <v>1174.874464</v>
      </c>
      <c r="B1706" s="1">
        <f>DATE(2013,7,18) + TIME(20,59,13)</f>
        <v>41473.874456018515</v>
      </c>
      <c r="C1706">
        <v>80</v>
      </c>
      <c r="D1706">
        <v>79.956634520999998</v>
      </c>
      <c r="E1706">
        <v>50</v>
      </c>
      <c r="F1706">
        <v>45.843284607000001</v>
      </c>
      <c r="G1706">
        <v>1380.8824463000001</v>
      </c>
      <c r="H1706">
        <v>1367.7641602000001</v>
      </c>
      <c r="I1706">
        <v>1286.427124</v>
      </c>
      <c r="J1706">
        <v>1266.4169922000001</v>
      </c>
      <c r="K1706">
        <v>2400</v>
      </c>
      <c r="L1706">
        <v>0</v>
      </c>
      <c r="M1706">
        <v>0</v>
      </c>
      <c r="N1706">
        <v>2400</v>
      </c>
    </row>
    <row r="1707" spans="1:14" x14ac:dyDescent="0.25">
      <c r="A1707">
        <v>1176.231331</v>
      </c>
      <c r="B1707" s="1">
        <f>DATE(2013,7,20) + TIME(5,33,6)</f>
        <v>41475.231319444443</v>
      </c>
      <c r="C1707">
        <v>80</v>
      </c>
      <c r="D1707">
        <v>79.956649780000006</v>
      </c>
      <c r="E1707">
        <v>50</v>
      </c>
      <c r="F1707">
        <v>45.790981293000002</v>
      </c>
      <c r="G1707">
        <v>1380.8291016000001</v>
      </c>
      <c r="H1707">
        <v>1367.7176514</v>
      </c>
      <c r="I1707">
        <v>1286.3663329999999</v>
      </c>
      <c r="J1707">
        <v>1266.3250731999999</v>
      </c>
      <c r="K1707">
        <v>2400</v>
      </c>
      <c r="L1707">
        <v>0</v>
      </c>
      <c r="M1707">
        <v>0</v>
      </c>
      <c r="N1707">
        <v>2400</v>
      </c>
    </row>
    <row r="1708" spans="1:14" x14ac:dyDescent="0.25">
      <c r="A1708">
        <v>1177.625221</v>
      </c>
      <c r="B1708" s="1">
        <f>DATE(2013,7,21) + TIME(15,0,19)</f>
        <v>41476.625219907408</v>
      </c>
      <c r="C1708">
        <v>80</v>
      </c>
      <c r="D1708">
        <v>79.956672667999996</v>
      </c>
      <c r="E1708">
        <v>50</v>
      </c>
      <c r="F1708">
        <v>45.737762451000002</v>
      </c>
      <c r="G1708">
        <v>1380.7751464999999</v>
      </c>
      <c r="H1708">
        <v>1367.6704102000001</v>
      </c>
      <c r="I1708">
        <v>1286.3034668</v>
      </c>
      <c r="J1708">
        <v>1266.2296143000001</v>
      </c>
      <c r="K1708">
        <v>2400</v>
      </c>
      <c r="L1708">
        <v>0</v>
      </c>
      <c r="M1708">
        <v>0</v>
      </c>
      <c r="N1708">
        <v>2400</v>
      </c>
    </row>
    <row r="1709" spans="1:14" x14ac:dyDescent="0.25">
      <c r="A1709">
        <v>1179.0628819999999</v>
      </c>
      <c r="B1709" s="1">
        <f>DATE(2013,7,23) + TIME(1,30,33)</f>
        <v>41478.062881944446</v>
      </c>
      <c r="C1709">
        <v>80</v>
      </c>
      <c r="D1709">
        <v>79.956695557000003</v>
      </c>
      <c r="E1709">
        <v>50</v>
      </c>
      <c r="F1709">
        <v>45.683441162000001</v>
      </c>
      <c r="G1709">
        <v>1380.7203368999999</v>
      </c>
      <c r="H1709">
        <v>1367.6223144999999</v>
      </c>
      <c r="I1709">
        <v>1286.2382812000001</v>
      </c>
      <c r="J1709">
        <v>1266.1301269999999</v>
      </c>
      <c r="K1709">
        <v>2400</v>
      </c>
      <c r="L1709">
        <v>0</v>
      </c>
      <c r="M1709">
        <v>0</v>
      </c>
      <c r="N1709">
        <v>2400</v>
      </c>
    </row>
    <row r="1710" spans="1:14" x14ac:dyDescent="0.25">
      <c r="A1710">
        <v>1180.5237990000001</v>
      </c>
      <c r="B1710" s="1">
        <f>DATE(2013,7,24) + TIME(12,34,16)</f>
        <v>41479.523796296293</v>
      </c>
      <c r="C1710">
        <v>80</v>
      </c>
      <c r="D1710">
        <v>79.956710814999994</v>
      </c>
      <c r="E1710">
        <v>50</v>
      </c>
      <c r="F1710">
        <v>45.628181458</v>
      </c>
      <c r="G1710">
        <v>1380.6647949000001</v>
      </c>
      <c r="H1710">
        <v>1367.5736084</v>
      </c>
      <c r="I1710">
        <v>1286.1704102000001</v>
      </c>
      <c r="J1710">
        <v>1266.0264893000001</v>
      </c>
      <c r="K1710">
        <v>2400</v>
      </c>
      <c r="L1710">
        <v>0</v>
      </c>
      <c r="M1710">
        <v>0</v>
      </c>
      <c r="N1710">
        <v>2400</v>
      </c>
    </row>
    <row r="1711" spans="1:14" x14ac:dyDescent="0.25">
      <c r="A1711">
        <v>1181.268102</v>
      </c>
      <c r="B1711" s="1">
        <f>DATE(2013,7,25) + TIME(6,26,4)</f>
        <v>41480.268101851849</v>
      </c>
      <c r="C1711">
        <v>80</v>
      </c>
      <c r="D1711">
        <v>79.956695557000003</v>
      </c>
      <c r="E1711">
        <v>50</v>
      </c>
      <c r="F1711">
        <v>45.586868285999998</v>
      </c>
      <c r="G1711">
        <v>1380.6202393000001</v>
      </c>
      <c r="H1711">
        <v>1367.5355225000001</v>
      </c>
      <c r="I1711">
        <v>1286.105957</v>
      </c>
      <c r="J1711">
        <v>1265.9313964999999</v>
      </c>
      <c r="K1711">
        <v>2400</v>
      </c>
      <c r="L1711">
        <v>0</v>
      </c>
      <c r="M1711">
        <v>0</v>
      </c>
      <c r="N1711">
        <v>2400</v>
      </c>
    </row>
    <row r="1712" spans="1:14" x14ac:dyDescent="0.25">
      <c r="A1712">
        <v>1182.0124049999999</v>
      </c>
      <c r="B1712" s="1">
        <f>DATE(2013,7,26) + TIME(0,17,51)</f>
        <v>41481.012395833335</v>
      </c>
      <c r="C1712">
        <v>80</v>
      </c>
      <c r="D1712">
        <v>79.956710814999994</v>
      </c>
      <c r="E1712">
        <v>50</v>
      </c>
      <c r="F1712">
        <v>45.551811217999997</v>
      </c>
      <c r="G1712">
        <v>1380.5872803</v>
      </c>
      <c r="H1712">
        <v>1367.5061035000001</v>
      </c>
      <c r="I1712">
        <v>1286.0670166</v>
      </c>
      <c r="J1712">
        <v>1265.8692627</v>
      </c>
      <c r="K1712">
        <v>2400</v>
      </c>
      <c r="L1712">
        <v>0</v>
      </c>
      <c r="M1712">
        <v>0</v>
      </c>
      <c r="N1712">
        <v>2400</v>
      </c>
    </row>
    <row r="1713" spans="1:14" x14ac:dyDescent="0.25">
      <c r="A1713">
        <v>1182.7567079999999</v>
      </c>
      <c r="B1713" s="1">
        <f>DATE(2013,7,26) + TIME(18,9,39)</f>
        <v>41481.756701388891</v>
      </c>
      <c r="C1713">
        <v>80</v>
      </c>
      <c r="D1713">
        <v>79.956726074000002</v>
      </c>
      <c r="E1713">
        <v>50</v>
      </c>
      <c r="F1713">
        <v>45.520084380999997</v>
      </c>
      <c r="G1713">
        <v>1380.557251</v>
      </c>
      <c r="H1713">
        <v>1367.4794922000001</v>
      </c>
      <c r="I1713">
        <v>1286.0299072</v>
      </c>
      <c r="J1713">
        <v>1265.8105469</v>
      </c>
      <c r="K1713">
        <v>2400</v>
      </c>
      <c r="L1713">
        <v>0</v>
      </c>
      <c r="M1713">
        <v>0</v>
      </c>
      <c r="N1713">
        <v>2400</v>
      </c>
    </row>
    <row r="1714" spans="1:14" x14ac:dyDescent="0.25">
      <c r="A1714">
        <v>1183.5010110000001</v>
      </c>
      <c r="B1714" s="1">
        <f>DATE(2013,7,27) + TIME(12,1,27)</f>
        <v>41482.501006944447</v>
      </c>
      <c r="C1714">
        <v>80</v>
      </c>
      <c r="D1714">
        <v>79.956741332999997</v>
      </c>
      <c r="E1714">
        <v>50</v>
      </c>
      <c r="F1714">
        <v>45.490154265999998</v>
      </c>
      <c r="G1714">
        <v>1380.5283202999999</v>
      </c>
      <c r="H1714">
        <v>1367.4537353999999</v>
      </c>
      <c r="I1714">
        <v>1285.9931641000001</v>
      </c>
      <c r="J1714">
        <v>1265.7529297000001</v>
      </c>
      <c r="K1714">
        <v>2400</v>
      </c>
      <c r="L1714">
        <v>0</v>
      </c>
      <c r="M1714">
        <v>0</v>
      </c>
      <c r="N1714">
        <v>2400</v>
      </c>
    </row>
    <row r="1715" spans="1:14" x14ac:dyDescent="0.25">
      <c r="A1715">
        <v>1184.245314</v>
      </c>
      <c r="B1715" s="1">
        <f>DATE(2013,7,28) + TIME(5,53,15)</f>
        <v>41483.245312500003</v>
      </c>
      <c r="C1715">
        <v>80</v>
      </c>
      <c r="D1715">
        <v>79.956756592000005</v>
      </c>
      <c r="E1715">
        <v>50</v>
      </c>
      <c r="F1715">
        <v>45.461235045999999</v>
      </c>
      <c r="G1715">
        <v>1380.5</v>
      </c>
      <c r="H1715">
        <v>1367.4285889</v>
      </c>
      <c r="I1715">
        <v>1285.9564209</v>
      </c>
      <c r="J1715">
        <v>1265.6955565999999</v>
      </c>
      <c r="K1715">
        <v>2400</v>
      </c>
      <c r="L1715">
        <v>0</v>
      </c>
      <c r="M1715">
        <v>0</v>
      </c>
      <c r="N1715">
        <v>2400</v>
      </c>
    </row>
    <row r="1716" spans="1:14" x14ac:dyDescent="0.25">
      <c r="A1716">
        <v>1184.989617</v>
      </c>
      <c r="B1716" s="1">
        <f>DATE(2013,7,28) + TIME(23,45,2)</f>
        <v>41483.989606481482</v>
      </c>
      <c r="C1716">
        <v>80</v>
      </c>
      <c r="D1716">
        <v>79.956764221</v>
      </c>
      <c r="E1716">
        <v>50</v>
      </c>
      <c r="F1716">
        <v>45.432907104000002</v>
      </c>
      <c r="G1716">
        <v>1380.4720459</v>
      </c>
      <c r="H1716">
        <v>1367.4038086</v>
      </c>
      <c r="I1716">
        <v>1285.9197998</v>
      </c>
      <c r="J1716">
        <v>1265.6384277</v>
      </c>
      <c r="K1716">
        <v>2400</v>
      </c>
      <c r="L1716">
        <v>0</v>
      </c>
      <c r="M1716">
        <v>0</v>
      </c>
      <c r="N1716">
        <v>2400</v>
      </c>
    </row>
    <row r="1717" spans="1:14" x14ac:dyDescent="0.25">
      <c r="A1717">
        <v>1185.7339199999999</v>
      </c>
      <c r="B1717" s="1">
        <f>DATE(2013,7,29) + TIME(17,36,50)</f>
        <v>41484.733912037038</v>
      </c>
      <c r="C1717">
        <v>80</v>
      </c>
      <c r="D1717">
        <v>79.956779479999994</v>
      </c>
      <c r="E1717">
        <v>50</v>
      </c>
      <c r="F1717">
        <v>45.404956818000002</v>
      </c>
      <c r="G1717">
        <v>1380.4443358999999</v>
      </c>
      <c r="H1717">
        <v>1367.3791504000001</v>
      </c>
      <c r="I1717">
        <v>1285.8829346</v>
      </c>
      <c r="J1717">
        <v>1265.5810547000001</v>
      </c>
      <c r="K1717">
        <v>2400</v>
      </c>
      <c r="L1717">
        <v>0</v>
      </c>
      <c r="M1717">
        <v>0</v>
      </c>
      <c r="N1717">
        <v>2400</v>
      </c>
    </row>
    <row r="1718" spans="1:14" x14ac:dyDescent="0.25">
      <c r="A1718">
        <v>1186.4782230000001</v>
      </c>
      <c r="B1718" s="1">
        <f>DATE(2013,7,30) + TIME(11,28,38)</f>
        <v>41485.478217592594</v>
      </c>
      <c r="C1718">
        <v>80</v>
      </c>
      <c r="D1718">
        <v>79.956794739000003</v>
      </c>
      <c r="E1718">
        <v>50</v>
      </c>
      <c r="F1718">
        <v>45.377281189000001</v>
      </c>
      <c r="G1718">
        <v>1380.4168701000001</v>
      </c>
      <c r="H1718">
        <v>1367.3547363</v>
      </c>
      <c r="I1718">
        <v>1285.8460693</v>
      </c>
      <c r="J1718">
        <v>1265.5235596</v>
      </c>
      <c r="K1718">
        <v>2400</v>
      </c>
      <c r="L1718">
        <v>0</v>
      </c>
      <c r="M1718">
        <v>0</v>
      </c>
      <c r="N1718">
        <v>2400</v>
      </c>
    </row>
    <row r="1719" spans="1:14" x14ac:dyDescent="0.25">
      <c r="A1719">
        <v>1187.2391110000001</v>
      </c>
      <c r="B1719" s="1">
        <f>DATE(2013,7,31) + TIME(5,44,19)</f>
        <v>41486.239108796297</v>
      </c>
      <c r="C1719">
        <v>80</v>
      </c>
      <c r="D1719">
        <v>79.956802367999998</v>
      </c>
      <c r="E1719">
        <v>50</v>
      </c>
      <c r="F1719">
        <v>45.349510193</v>
      </c>
      <c r="G1719">
        <v>1380.3894043</v>
      </c>
      <c r="H1719">
        <v>1367.3303223</v>
      </c>
      <c r="I1719">
        <v>1285.809082</v>
      </c>
      <c r="J1719">
        <v>1265.4655762</v>
      </c>
      <c r="K1719">
        <v>2400</v>
      </c>
      <c r="L1719">
        <v>0</v>
      </c>
      <c r="M1719">
        <v>0</v>
      </c>
      <c r="N1719">
        <v>2400</v>
      </c>
    </row>
    <row r="1720" spans="1:14" x14ac:dyDescent="0.25">
      <c r="A1720">
        <v>1188</v>
      </c>
      <c r="B1720" s="1">
        <f>DATE(2013,8,1) + TIME(0,0,0)</f>
        <v>41487</v>
      </c>
      <c r="C1720">
        <v>80</v>
      </c>
      <c r="D1720">
        <v>79.956817627000007</v>
      </c>
      <c r="E1720">
        <v>50</v>
      </c>
      <c r="F1720">
        <v>45.321788787999999</v>
      </c>
      <c r="G1720">
        <v>1380.3619385</v>
      </c>
      <c r="H1720">
        <v>1367.3059082</v>
      </c>
      <c r="I1720">
        <v>1285.7712402</v>
      </c>
      <c r="J1720">
        <v>1265.4064940999999</v>
      </c>
      <c r="K1720">
        <v>2400</v>
      </c>
      <c r="L1720">
        <v>0</v>
      </c>
      <c r="M1720">
        <v>0</v>
      </c>
      <c r="N1720">
        <v>2400</v>
      </c>
    </row>
    <row r="1721" spans="1:14" x14ac:dyDescent="0.25">
      <c r="A1721">
        <v>1188.7606470000001</v>
      </c>
      <c r="B1721" s="1">
        <f>DATE(2013,8,1) + TIME(18,15,19)</f>
        <v>41487.760636574072</v>
      </c>
      <c r="C1721">
        <v>80</v>
      </c>
      <c r="D1721">
        <v>79.956832886000001</v>
      </c>
      <c r="E1721">
        <v>50</v>
      </c>
      <c r="F1721">
        <v>45.294181823999999</v>
      </c>
      <c r="G1721">
        <v>1380.3344727000001</v>
      </c>
      <c r="H1721">
        <v>1367.2814940999999</v>
      </c>
      <c r="I1721">
        <v>1285.7332764</v>
      </c>
      <c r="J1721">
        <v>1265.3470459</v>
      </c>
      <c r="K1721">
        <v>2400</v>
      </c>
      <c r="L1721">
        <v>0</v>
      </c>
      <c r="M1721">
        <v>0</v>
      </c>
      <c r="N1721">
        <v>2400</v>
      </c>
    </row>
    <row r="1722" spans="1:14" x14ac:dyDescent="0.25">
      <c r="A1722">
        <v>1189.521295</v>
      </c>
      <c r="B1722" s="1">
        <f>DATE(2013,8,2) + TIME(12,30,39)</f>
        <v>41488.521284722221</v>
      </c>
      <c r="C1722">
        <v>80</v>
      </c>
      <c r="D1722">
        <v>79.956848144999995</v>
      </c>
      <c r="E1722">
        <v>50</v>
      </c>
      <c r="F1722">
        <v>45.266719817999999</v>
      </c>
      <c r="G1722">
        <v>1380.307251</v>
      </c>
      <c r="H1722">
        <v>1367.2572021000001</v>
      </c>
      <c r="I1722">
        <v>1285.6953125</v>
      </c>
      <c r="J1722">
        <v>1265.2873535000001</v>
      </c>
      <c r="K1722">
        <v>2400</v>
      </c>
      <c r="L1722">
        <v>0</v>
      </c>
      <c r="M1722">
        <v>0</v>
      </c>
      <c r="N1722">
        <v>2400</v>
      </c>
    </row>
    <row r="1723" spans="1:14" x14ac:dyDescent="0.25">
      <c r="A1723">
        <v>1190.2819420000001</v>
      </c>
      <c r="B1723" s="1">
        <f>DATE(2013,8,3) + TIME(6,45,59)</f>
        <v>41489.28193287037</v>
      </c>
      <c r="C1723">
        <v>80</v>
      </c>
      <c r="D1723">
        <v>79.956855774000005</v>
      </c>
      <c r="E1723">
        <v>50</v>
      </c>
      <c r="F1723">
        <v>45.239421843999999</v>
      </c>
      <c r="G1723">
        <v>1380.2802733999999</v>
      </c>
      <c r="H1723">
        <v>1367.2331543</v>
      </c>
      <c r="I1723">
        <v>1285.6572266000001</v>
      </c>
      <c r="J1723">
        <v>1265.2272949000001</v>
      </c>
      <c r="K1723">
        <v>2400</v>
      </c>
      <c r="L1723">
        <v>0</v>
      </c>
      <c r="M1723">
        <v>0</v>
      </c>
      <c r="N1723">
        <v>2400</v>
      </c>
    </row>
    <row r="1724" spans="1:14" x14ac:dyDescent="0.25">
      <c r="A1724">
        <v>1191.0425889999999</v>
      </c>
      <c r="B1724" s="1">
        <f>DATE(2013,8,4) + TIME(1,1,19)</f>
        <v>41490.042581018519</v>
      </c>
      <c r="C1724">
        <v>80</v>
      </c>
      <c r="D1724">
        <v>79.956871032999999</v>
      </c>
      <c r="E1724">
        <v>50</v>
      </c>
      <c r="F1724">
        <v>45.212299346999998</v>
      </c>
      <c r="G1724">
        <v>1380.253418</v>
      </c>
      <c r="H1724">
        <v>1367.2091064000001</v>
      </c>
      <c r="I1724">
        <v>1285.6190185999999</v>
      </c>
      <c r="J1724">
        <v>1265.1671143000001</v>
      </c>
      <c r="K1724">
        <v>2400</v>
      </c>
      <c r="L1724">
        <v>0</v>
      </c>
      <c r="M1724">
        <v>0</v>
      </c>
      <c r="N1724">
        <v>2400</v>
      </c>
    </row>
    <row r="1725" spans="1:14" x14ac:dyDescent="0.25">
      <c r="A1725">
        <v>1192.5638839999999</v>
      </c>
      <c r="B1725" s="1">
        <f>DATE(2013,8,5) + TIME(13,31,59)</f>
        <v>41491.563877314817</v>
      </c>
      <c r="C1725">
        <v>80</v>
      </c>
      <c r="D1725">
        <v>79.956916809000006</v>
      </c>
      <c r="E1725">
        <v>50</v>
      </c>
      <c r="F1725">
        <v>45.176021575999997</v>
      </c>
      <c r="G1725">
        <v>1380.2185059000001</v>
      </c>
      <c r="H1725">
        <v>1367.177124</v>
      </c>
      <c r="I1725">
        <v>1285.5765381000001</v>
      </c>
      <c r="J1725">
        <v>1265.0972899999999</v>
      </c>
      <c r="K1725">
        <v>2400</v>
      </c>
      <c r="L1725">
        <v>0</v>
      </c>
      <c r="M1725">
        <v>0</v>
      </c>
      <c r="N1725">
        <v>2400</v>
      </c>
    </row>
    <row r="1726" spans="1:14" x14ac:dyDescent="0.25">
      <c r="A1726">
        <v>1194.095247</v>
      </c>
      <c r="B1726" s="1">
        <f>DATE(2013,8,7) + TIME(2,17,9)</f>
        <v>41493.095243055555</v>
      </c>
      <c r="C1726">
        <v>80</v>
      </c>
      <c r="D1726">
        <v>79.956939696999996</v>
      </c>
      <c r="E1726">
        <v>50</v>
      </c>
      <c r="F1726">
        <v>45.128765106000003</v>
      </c>
      <c r="G1726">
        <v>1380.1696777</v>
      </c>
      <c r="H1726">
        <v>1367.1339111</v>
      </c>
      <c r="I1726">
        <v>1285.503418</v>
      </c>
      <c r="J1726">
        <v>1264.9840088000001</v>
      </c>
      <c r="K1726">
        <v>2400</v>
      </c>
      <c r="L1726">
        <v>0</v>
      </c>
      <c r="M1726">
        <v>0</v>
      </c>
      <c r="N1726">
        <v>2400</v>
      </c>
    </row>
    <row r="1727" spans="1:14" x14ac:dyDescent="0.25">
      <c r="A1727">
        <v>1195.654792</v>
      </c>
      <c r="B1727" s="1">
        <f>DATE(2013,8,8) + TIME(15,42,54)</f>
        <v>41494.654791666668</v>
      </c>
      <c r="C1727">
        <v>80</v>
      </c>
      <c r="D1727">
        <v>79.956962584999999</v>
      </c>
      <c r="E1727">
        <v>50</v>
      </c>
      <c r="F1727">
        <v>45.077819824000002</v>
      </c>
      <c r="G1727">
        <v>1380.1184082</v>
      </c>
      <c r="H1727">
        <v>1367.0880127</v>
      </c>
      <c r="I1727">
        <v>1285.427124</v>
      </c>
      <c r="J1727">
        <v>1264.8636475000001</v>
      </c>
      <c r="K1727">
        <v>2400</v>
      </c>
      <c r="L1727">
        <v>0</v>
      </c>
      <c r="M1727">
        <v>0</v>
      </c>
      <c r="N1727">
        <v>2400</v>
      </c>
    </row>
    <row r="1728" spans="1:14" x14ac:dyDescent="0.25">
      <c r="A1728">
        <v>1197.247359</v>
      </c>
      <c r="B1728" s="1">
        <f>DATE(2013,8,10) + TIME(5,56,11)</f>
        <v>41496.247349537036</v>
      </c>
      <c r="C1728">
        <v>80</v>
      </c>
      <c r="D1728">
        <v>79.956993103000002</v>
      </c>
      <c r="E1728">
        <v>50</v>
      </c>
      <c r="F1728">
        <v>45.025543212999999</v>
      </c>
      <c r="G1728">
        <v>1380.065918</v>
      </c>
      <c r="H1728">
        <v>1367.0410156</v>
      </c>
      <c r="I1728">
        <v>1285.3487548999999</v>
      </c>
      <c r="J1728">
        <v>1264.7387695</v>
      </c>
      <c r="K1728">
        <v>2400</v>
      </c>
      <c r="L1728">
        <v>0</v>
      </c>
      <c r="M1728">
        <v>0</v>
      </c>
      <c r="N1728">
        <v>2400</v>
      </c>
    </row>
    <row r="1729" spans="1:14" x14ac:dyDescent="0.25">
      <c r="A1729">
        <v>1198.8697079999999</v>
      </c>
      <c r="B1729" s="1">
        <f>DATE(2013,8,11) + TIME(20,52,22)</f>
        <v>41497.869699074072</v>
      </c>
      <c r="C1729">
        <v>80</v>
      </c>
      <c r="D1729">
        <v>79.957023621000005</v>
      </c>
      <c r="E1729">
        <v>50</v>
      </c>
      <c r="F1729">
        <v>44.972839354999998</v>
      </c>
      <c r="G1729">
        <v>1380.0126952999999</v>
      </c>
      <c r="H1729">
        <v>1366.9932861</v>
      </c>
      <c r="I1729">
        <v>1285.2684326000001</v>
      </c>
      <c r="J1729">
        <v>1264.6101074000001</v>
      </c>
      <c r="K1729">
        <v>2400</v>
      </c>
      <c r="L1729">
        <v>0</v>
      </c>
      <c r="M1729">
        <v>0</v>
      </c>
      <c r="N1729">
        <v>2400</v>
      </c>
    </row>
    <row r="1730" spans="1:14" x14ac:dyDescent="0.25">
      <c r="A1730">
        <v>1200.506584</v>
      </c>
      <c r="B1730" s="1">
        <f>DATE(2013,8,13) + TIME(12,9,28)</f>
        <v>41499.506574074076</v>
      </c>
      <c r="C1730">
        <v>80</v>
      </c>
      <c r="D1730">
        <v>79.957046508999994</v>
      </c>
      <c r="E1730">
        <v>50</v>
      </c>
      <c r="F1730">
        <v>44.920330047999997</v>
      </c>
      <c r="G1730">
        <v>1379.9589844</v>
      </c>
      <c r="H1730">
        <v>1366.9449463000001</v>
      </c>
      <c r="I1730">
        <v>1285.1865233999999</v>
      </c>
      <c r="J1730">
        <v>1264.4783935999999</v>
      </c>
      <c r="K1730">
        <v>2400</v>
      </c>
      <c r="L1730">
        <v>0</v>
      </c>
      <c r="M1730">
        <v>0</v>
      </c>
      <c r="N1730">
        <v>2400</v>
      </c>
    </row>
    <row r="1731" spans="1:14" x14ac:dyDescent="0.25">
      <c r="A1731">
        <v>1202.1630230000001</v>
      </c>
      <c r="B1731" s="1">
        <f>DATE(2013,8,15) + TIME(3,54,45)</f>
        <v>41501.16302083333</v>
      </c>
      <c r="C1731">
        <v>80</v>
      </c>
      <c r="D1731">
        <v>79.957077025999993</v>
      </c>
      <c r="E1731">
        <v>50</v>
      </c>
      <c r="F1731">
        <v>44.868446349999999</v>
      </c>
      <c r="G1731">
        <v>1379.9052733999999</v>
      </c>
      <c r="H1731">
        <v>1366.8964844</v>
      </c>
      <c r="I1731">
        <v>1285.1037598</v>
      </c>
      <c r="J1731">
        <v>1264.3447266000001</v>
      </c>
      <c r="K1731">
        <v>2400</v>
      </c>
      <c r="L1731">
        <v>0</v>
      </c>
      <c r="M1731">
        <v>0</v>
      </c>
      <c r="N1731">
        <v>2400</v>
      </c>
    </row>
    <row r="1732" spans="1:14" x14ac:dyDescent="0.25">
      <c r="A1732">
        <v>1203.844474</v>
      </c>
      <c r="B1732" s="1">
        <f>DATE(2013,8,16) + TIME(20,16,2)</f>
        <v>41502.844467592593</v>
      </c>
      <c r="C1732">
        <v>80</v>
      </c>
      <c r="D1732">
        <v>79.957107543999996</v>
      </c>
      <c r="E1732">
        <v>50</v>
      </c>
      <c r="F1732">
        <v>44.817340850999997</v>
      </c>
      <c r="G1732">
        <v>1379.8511963000001</v>
      </c>
      <c r="H1732">
        <v>1366.8476562000001</v>
      </c>
      <c r="I1732">
        <v>1285.0200195</v>
      </c>
      <c r="J1732">
        <v>1264.2088623</v>
      </c>
      <c r="K1732">
        <v>2400</v>
      </c>
      <c r="L1732">
        <v>0</v>
      </c>
      <c r="M1732">
        <v>0</v>
      </c>
      <c r="N1732">
        <v>2400</v>
      </c>
    </row>
    <row r="1733" spans="1:14" x14ac:dyDescent="0.25">
      <c r="A1733">
        <v>1205.556898</v>
      </c>
      <c r="B1733" s="1">
        <f>DATE(2013,8,18) + TIME(13,21,55)</f>
        <v>41504.556886574072</v>
      </c>
      <c r="C1733">
        <v>80</v>
      </c>
      <c r="D1733">
        <v>79.957138061999999</v>
      </c>
      <c r="E1733">
        <v>50</v>
      </c>
      <c r="F1733">
        <v>44.767082213999998</v>
      </c>
      <c r="G1733">
        <v>1379.7969971</v>
      </c>
      <c r="H1733">
        <v>1366.7984618999999</v>
      </c>
      <c r="I1733">
        <v>1284.9351807</v>
      </c>
      <c r="J1733">
        <v>1264.0706786999999</v>
      </c>
      <c r="K1733">
        <v>2400</v>
      </c>
      <c r="L1733">
        <v>0</v>
      </c>
      <c r="M1733">
        <v>0</v>
      </c>
      <c r="N1733">
        <v>2400</v>
      </c>
    </row>
    <row r="1734" spans="1:14" x14ac:dyDescent="0.25">
      <c r="A1734">
        <v>1207.306877</v>
      </c>
      <c r="B1734" s="1">
        <f>DATE(2013,8,20) + TIME(7,21,54)</f>
        <v>41506.306875000002</v>
      </c>
      <c r="C1734">
        <v>80</v>
      </c>
      <c r="D1734">
        <v>79.957176208000007</v>
      </c>
      <c r="E1734">
        <v>50</v>
      </c>
      <c r="F1734">
        <v>44.717739105</v>
      </c>
      <c r="G1734">
        <v>1379.7421875</v>
      </c>
      <c r="H1734">
        <v>1366.7487793</v>
      </c>
      <c r="I1734">
        <v>1284.8491211</v>
      </c>
      <c r="J1734">
        <v>1263.9299315999999</v>
      </c>
      <c r="K1734">
        <v>2400</v>
      </c>
      <c r="L1734">
        <v>0</v>
      </c>
      <c r="M1734">
        <v>0</v>
      </c>
      <c r="N1734">
        <v>2400</v>
      </c>
    </row>
    <row r="1735" spans="1:14" x14ac:dyDescent="0.25">
      <c r="A1735">
        <v>1209.101836</v>
      </c>
      <c r="B1735" s="1">
        <f>DATE(2013,8,22) + TIME(2,26,38)</f>
        <v>41508.1018287037</v>
      </c>
      <c r="C1735">
        <v>80</v>
      </c>
      <c r="D1735">
        <v>79.957206725999995</v>
      </c>
      <c r="E1735">
        <v>50</v>
      </c>
      <c r="F1735">
        <v>44.669418335000003</v>
      </c>
      <c r="G1735">
        <v>1379.6867675999999</v>
      </c>
      <c r="H1735">
        <v>1366.6983643000001</v>
      </c>
      <c r="I1735">
        <v>1284.7614745999999</v>
      </c>
      <c r="J1735">
        <v>1263.7861327999999</v>
      </c>
      <c r="K1735">
        <v>2400</v>
      </c>
      <c r="L1735">
        <v>0</v>
      </c>
      <c r="M1735">
        <v>0</v>
      </c>
      <c r="N1735">
        <v>2400</v>
      </c>
    </row>
    <row r="1736" spans="1:14" x14ac:dyDescent="0.25">
      <c r="A1736">
        <v>1210.907817</v>
      </c>
      <c r="B1736" s="1">
        <f>DATE(2013,8,23) + TIME(21,47,15)</f>
        <v>41509.907812500001</v>
      </c>
      <c r="C1736">
        <v>80</v>
      </c>
      <c r="D1736">
        <v>79.957244872999993</v>
      </c>
      <c r="E1736">
        <v>50</v>
      </c>
      <c r="F1736">
        <v>44.622592926000003</v>
      </c>
      <c r="G1736">
        <v>1379.6308594</v>
      </c>
      <c r="H1736">
        <v>1366.6475829999999</v>
      </c>
      <c r="I1736">
        <v>1284.6724853999999</v>
      </c>
      <c r="J1736">
        <v>1263.6395264</v>
      </c>
      <c r="K1736">
        <v>2400</v>
      </c>
      <c r="L1736">
        <v>0</v>
      </c>
      <c r="M1736">
        <v>0</v>
      </c>
      <c r="N1736">
        <v>2400</v>
      </c>
    </row>
    <row r="1737" spans="1:14" x14ac:dyDescent="0.25">
      <c r="A1737">
        <v>1212.7288169999999</v>
      </c>
      <c r="B1737" s="1">
        <f>DATE(2013,8,25) + TIME(17,29,29)</f>
        <v>41511.728807870371</v>
      </c>
      <c r="C1737">
        <v>80</v>
      </c>
      <c r="D1737">
        <v>79.957275390999996</v>
      </c>
      <c r="E1737">
        <v>50</v>
      </c>
      <c r="F1737">
        <v>44.577960967999999</v>
      </c>
      <c r="G1737">
        <v>1379.5749512</v>
      </c>
      <c r="H1737">
        <v>1366.5966797000001</v>
      </c>
      <c r="I1737">
        <v>1284.5834961</v>
      </c>
      <c r="J1737">
        <v>1263.4920654</v>
      </c>
      <c r="K1737">
        <v>2400</v>
      </c>
      <c r="L1737">
        <v>0</v>
      </c>
      <c r="M1737">
        <v>0</v>
      </c>
      <c r="N1737">
        <v>2400</v>
      </c>
    </row>
    <row r="1738" spans="1:14" x14ac:dyDescent="0.25">
      <c r="A1738">
        <v>1214.570532</v>
      </c>
      <c r="B1738" s="1">
        <f>DATE(2013,8,27) + TIME(13,41,33)</f>
        <v>41513.570520833331</v>
      </c>
      <c r="C1738">
        <v>80</v>
      </c>
      <c r="D1738">
        <v>79.957313537999994</v>
      </c>
      <c r="E1738">
        <v>50</v>
      </c>
      <c r="F1738">
        <v>44.535896301000001</v>
      </c>
      <c r="G1738">
        <v>1379.5191649999999</v>
      </c>
      <c r="H1738">
        <v>1366.5456543</v>
      </c>
      <c r="I1738">
        <v>1284.4945068</v>
      </c>
      <c r="J1738">
        <v>1263.3439940999999</v>
      </c>
      <c r="K1738">
        <v>2400</v>
      </c>
      <c r="L1738">
        <v>0</v>
      </c>
      <c r="M1738">
        <v>0</v>
      </c>
      <c r="N1738">
        <v>2400</v>
      </c>
    </row>
    <row r="1739" spans="1:14" x14ac:dyDescent="0.25">
      <c r="A1739">
        <v>1216.432969</v>
      </c>
      <c r="B1739" s="1">
        <f>DATE(2013,8,29) + TIME(10,23,28)</f>
        <v>41515.432962962965</v>
      </c>
      <c r="C1739">
        <v>80</v>
      </c>
      <c r="D1739">
        <v>79.957351685000006</v>
      </c>
      <c r="E1739">
        <v>50</v>
      </c>
      <c r="F1739">
        <v>44.496746063000003</v>
      </c>
      <c r="G1739">
        <v>1379.4632568</v>
      </c>
      <c r="H1739">
        <v>1366.4945068</v>
      </c>
      <c r="I1739">
        <v>1284.4055175999999</v>
      </c>
      <c r="J1739">
        <v>1263.1953125</v>
      </c>
      <c r="K1739">
        <v>2400</v>
      </c>
      <c r="L1739">
        <v>0</v>
      </c>
      <c r="M1739">
        <v>0</v>
      </c>
      <c r="N1739">
        <v>2400</v>
      </c>
    </row>
    <row r="1740" spans="1:14" x14ac:dyDescent="0.25">
      <c r="A1740">
        <v>1218.297804</v>
      </c>
      <c r="B1740" s="1">
        <f>DATE(2013,8,31) + TIME(7,8,50)</f>
        <v>41517.297800925924</v>
      </c>
      <c r="C1740">
        <v>80</v>
      </c>
      <c r="D1740">
        <v>79.957382202000005</v>
      </c>
      <c r="E1740">
        <v>50</v>
      </c>
      <c r="F1740">
        <v>44.461040496999999</v>
      </c>
      <c r="G1740">
        <v>1379.4074707</v>
      </c>
      <c r="H1740">
        <v>1366.4433594</v>
      </c>
      <c r="I1740">
        <v>1284.3167725000001</v>
      </c>
      <c r="J1740">
        <v>1263.0463867000001</v>
      </c>
      <c r="K1740">
        <v>2400</v>
      </c>
      <c r="L1740">
        <v>0</v>
      </c>
      <c r="M1740">
        <v>0</v>
      </c>
      <c r="N1740">
        <v>2400</v>
      </c>
    </row>
    <row r="1741" spans="1:14" x14ac:dyDescent="0.25">
      <c r="A1741">
        <v>1219</v>
      </c>
      <c r="B1741" s="1">
        <f>DATE(2013,9,1) + TIME(0,0,0)</f>
        <v>41518</v>
      </c>
      <c r="C1741">
        <v>80</v>
      </c>
      <c r="D1741">
        <v>79.957374572999996</v>
      </c>
      <c r="E1741">
        <v>50</v>
      </c>
      <c r="F1741">
        <v>44.439819335999999</v>
      </c>
      <c r="G1741">
        <v>1379.3692627</v>
      </c>
      <c r="H1741">
        <v>1366.4094238</v>
      </c>
      <c r="I1741">
        <v>1284.239624</v>
      </c>
      <c r="J1741">
        <v>1262.9205322</v>
      </c>
      <c r="K1741">
        <v>2400</v>
      </c>
      <c r="L1741">
        <v>0</v>
      </c>
      <c r="M1741">
        <v>0</v>
      </c>
      <c r="N1741">
        <v>2400</v>
      </c>
    </row>
    <row r="1742" spans="1:14" x14ac:dyDescent="0.25">
      <c r="A1742">
        <v>1220.8732379999999</v>
      </c>
      <c r="B1742" s="1">
        <f>DATE(2013,9,2) + TIME(20,57,27)</f>
        <v>41519.873229166667</v>
      </c>
      <c r="C1742">
        <v>80</v>
      </c>
      <c r="D1742">
        <v>79.957435607999997</v>
      </c>
      <c r="E1742">
        <v>50</v>
      </c>
      <c r="F1742">
        <v>44.416347504000001</v>
      </c>
      <c r="G1742">
        <v>1379.3273925999999</v>
      </c>
      <c r="H1742">
        <v>1366.3696289</v>
      </c>
      <c r="I1742">
        <v>1284.1928711</v>
      </c>
      <c r="J1742">
        <v>1262.8354492000001</v>
      </c>
      <c r="K1742">
        <v>2400</v>
      </c>
      <c r="L1742">
        <v>0</v>
      </c>
      <c r="M1742">
        <v>0</v>
      </c>
      <c r="N1742">
        <v>2400</v>
      </c>
    </row>
    <row r="1743" spans="1:14" x14ac:dyDescent="0.25">
      <c r="A1743">
        <v>1222.7691460000001</v>
      </c>
      <c r="B1743" s="1">
        <f>DATE(2013,9,4) + TIME(18,27,34)</f>
        <v>41521.769143518519</v>
      </c>
      <c r="C1743">
        <v>80</v>
      </c>
      <c r="D1743">
        <v>79.957473754999995</v>
      </c>
      <c r="E1743">
        <v>50</v>
      </c>
      <c r="F1743">
        <v>44.39289093</v>
      </c>
      <c r="G1743">
        <v>1379.2747803</v>
      </c>
      <c r="H1743">
        <v>1366.3212891000001</v>
      </c>
      <c r="I1743">
        <v>1284.1094971</v>
      </c>
      <c r="J1743">
        <v>1262.6949463000001</v>
      </c>
      <c r="K1743">
        <v>2400</v>
      </c>
      <c r="L1743">
        <v>0</v>
      </c>
      <c r="M1743">
        <v>0</v>
      </c>
      <c r="N1743">
        <v>2400</v>
      </c>
    </row>
    <row r="1744" spans="1:14" x14ac:dyDescent="0.25">
      <c r="A1744">
        <v>1224.6878899999999</v>
      </c>
      <c r="B1744" s="1">
        <f>DATE(2013,9,6) + TIME(16,30,33)</f>
        <v>41523.687881944446</v>
      </c>
      <c r="C1744">
        <v>80</v>
      </c>
      <c r="D1744">
        <v>79.957511901999993</v>
      </c>
      <c r="E1744">
        <v>50</v>
      </c>
      <c r="F1744">
        <v>44.373096466</v>
      </c>
      <c r="G1744">
        <v>1379.2202147999999</v>
      </c>
      <c r="H1744">
        <v>1366.2711182</v>
      </c>
      <c r="I1744">
        <v>1284.0247803</v>
      </c>
      <c r="J1744">
        <v>1262.5511475000001</v>
      </c>
      <c r="K1744">
        <v>2400</v>
      </c>
      <c r="L1744">
        <v>0</v>
      </c>
      <c r="M1744">
        <v>0</v>
      </c>
      <c r="N1744">
        <v>2400</v>
      </c>
    </row>
    <row r="1745" spans="1:14" x14ac:dyDescent="0.25">
      <c r="A1745">
        <v>1226.6320519999999</v>
      </c>
      <c r="B1745" s="1">
        <f>DATE(2013,9,8) + TIME(15,10,9)</f>
        <v>41525.632048611114</v>
      </c>
      <c r="C1745">
        <v>80</v>
      </c>
      <c r="D1745">
        <v>79.957550049000005</v>
      </c>
      <c r="E1745">
        <v>50</v>
      </c>
      <c r="F1745">
        <v>44.358554839999996</v>
      </c>
      <c r="G1745">
        <v>1379.1650391000001</v>
      </c>
      <c r="H1745">
        <v>1366.2202147999999</v>
      </c>
      <c r="I1745">
        <v>1283.9405518000001</v>
      </c>
      <c r="J1745">
        <v>1262.4069824000001</v>
      </c>
      <c r="K1745">
        <v>2400</v>
      </c>
      <c r="L1745">
        <v>0</v>
      </c>
      <c r="M1745">
        <v>0</v>
      </c>
      <c r="N1745">
        <v>2400</v>
      </c>
    </row>
    <row r="1746" spans="1:14" x14ac:dyDescent="0.25">
      <c r="A1746">
        <v>1228.598354</v>
      </c>
      <c r="B1746" s="1">
        <f>DATE(2013,9,10) + TIME(14,21,37)</f>
        <v>41527.598344907405</v>
      </c>
      <c r="C1746">
        <v>80</v>
      </c>
      <c r="D1746">
        <v>79.957588196000003</v>
      </c>
      <c r="E1746">
        <v>50</v>
      </c>
      <c r="F1746">
        <v>44.350284576</v>
      </c>
      <c r="G1746">
        <v>1379.1097411999999</v>
      </c>
      <c r="H1746">
        <v>1366.1690673999999</v>
      </c>
      <c r="I1746">
        <v>1283.8570557</v>
      </c>
      <c r="J1746">
        <v>1262.2636719</v>
      </c>
      <c r="K1746">
        <v>2400</v>
      </c>
      <c r="L1746">
        <v>0</v>
      </c>
      <c r="M1746">
        <v>0</v>
      </c>
      <c r="N1746">
        <v>2400</v>
      </c>
    </row>
    <row r="1747" spans="1:14" x14ac:dyDescent="0.25">
      <c r="A1747">
        <v>1230.5936850000001</v>
      </c>
      <c r="B1747" s="1">
        <f>DATE(2013,9,12) + TIME(14,14,54)</f>
        <v>41529.593680555554</v>
      </c>
      <c r="C1747">
        <v>80</v>
      </c>
      <c r="D1747">
        <v>79.957633971999996</v>
      </c>
      <c r="E1747">
        <v>50</v>
      </c>
      <c r="F1747">
        <v>44.349166869999998</v>
      </c>
      <c r="G1747">
        <v>1379.0540771000001</v>
      </c>
      <c r="H1747">
        <v>1366.1175536999999</v>
      </c>
      <c r="I1747">
        <v>1283.7749022999999</v>
      </c>
      <c r="J1747">
        <v>1262.1219481999999</v>
      </c>
      <c r="K1747">
        <v>2400</v>
      </c>
      <c r="L1747">
        <v>0</v>
      </c>
      <c r="M1747">
        <v>0</v>
      </c>
      <c r="N1747">
        <v>2400</v>
      </c>
    </row>
    <row r="1748" spans="1:14" x14ac:dyDescent="0.25">
      <c r="A1748">
        <v>1232.6254919999999</v>
      </c>
      <c r="B1748" s="1">
        <f>DATE(2013,9,14) + TIME(15,0,42)</f>
        <v>41531.625486111108</v>
      </c>
      <c r="C1748">
        <v>80</v>
      </c>
      <c r="D1748">
        <v>79.957672118999994</v>
      </c>
      <c r="E1748">
        <v>50</v>
      </c>
      <c r="F1748">
        <v>44.356113434000001</v>
      </c>
      <c r="G1748">
        <v>1378.9979248</v>
      </c>
      <c r="H1748">
        <v>1366.0655518000001</v>
      </c>
      <c r="I1748">
        <v>1283.6939697</v>
      </c>
      <c r="J1748">
        <v>1261.9816894999999</v>
      </c>
      <c r="K1748">
        <v>2400</v>
      </c>
      <c r="L1748">
        <v>0</v>
      </c>
      <c r="M1748">
        <v>0</v>
      </c>
      <c r="N1748">
        <v>2400</v>
      </c>
    </row>
    <row r="1749" spans="1:14" x14ac:dyDescent="0.25">
      <c r="A1749">
        <v>1234.7021629999999</v>
      </c>
      <c r="B1749" s="1">
        <f>DATE(2013,9,16) + TIME(16,51,6)</f>
        <v>41533.702152777776</v>
      </c>
      <c r="C1749">
        <v>80</v>
      </c>
      <c r="D1749">
        <v>79.957717896000005</v>
      </c>
      <c r="E1749">
        <v>50</v>
      </c>
      <c r="F1749">
        <v>44.372184752999999</v>
      </c>
      <c r="G1749">
        <v>1378.9414062000001</v>
      </c>
      <c r="H1749">
        <v>1366.0130615</v>
      </c>
      <c r="I1749">
        <v>1283.6141356999999</v>
      </c>
      <c r="J1749">
        <v>1261.8431396000001</v>
      </c>
      <c r="K1749">
        <v>2400</v>
      </c>
      <c r="L1749">
        <v>0</v>
      </c>
      <c r="M1749">
        <v>0</v>
      </c>
      <c r="N1749">
        <v>2400</v>
      </c>
    </row>
    <row r="1750" spans="1:14" x14ac:dyDescent="0.25">
      <c r="A1750">
        <v>1236.832991</v>
      </c>
      <c r="B1750" s="1">
        <f>DATE(2013,9,18) + TIME(19,59,30)</f>
        <v>41535.832986111112</v>
      </c>
      <c r="C1750">
        <v>80</v>
      </c>
      <c r="D1750">
        <v>79.957756042</v>
      </c>
      <c r="E1750">
        <v>50</v>
      </c>
      <c r="F1750">
        <v>44.398658752000003</v>
      </c>
      <c r="G1750">
        <v>1378.8840332</v>
      </c>
      <c r="H1750">
        <v>1365.9597168</v>
      </c>
      <c r="I1750">
        <v>1283.5355225000001</v>
      </c>
      <c r="J1750">
        <v>1261.7061768000001</v>
      </c>
      <c r="K1750">
        <v>2400</v>
      </c>
      <c r="L1750">
        <v>0</v>
      </c>
      <c r="M1750">
        <v>0</v>
      </c>
      <c r="N1750">
        <v>2400</v>
      </c>
    </row>
    <row r="1751" spans="1:14" x14ac:dyDescent="0.25">
      <c r="A1751">
        <v>1239.0101979999999</v>
      </c>
      <c r="B1751" s="1">
        <f>DATE(2013,9,21) + TIME(0,14,41)</f>
        <v>41538.010196759256</v>
      </c>
      <c r="C1751">
        <v>80</v>
      </c>
      <c r="D1751">
        <v>79.957801818999997</v>
      </c>
      <c r="E1751">
        <v>50</v>
      </c>
      <c r="F1751">
        <v>44.436977386000002</v>
      </c>
      <c r="G1751">
        <v>1378.8259277</v>
      </c>
      <c r="H1751">
        <v>1365.9055175999999</v>
      </c>
      <c r="I1751">
        <v>1283.4580077999999</v>
      </c>
      <c r="J1751">
        <v>1261.5710449000001</v>
      </c>
      <c r="K1751">
        <v>2400</v>
      </c>
      <c r="L1751">
        <v>0</v>
      </c>
      <c r="M1751">
        <v>0</v>
      </c>
      <c r="N1751">
        <v>2400</v>
      </c>
    </row>
    <row r="1752" spans="1:14" x14ac:dyDescent="0.25">
      <c r="A1752">
        <v>1241.195193</v>
      </c>
      <c r="B1752" s="1">
        <f>DATE(2013,9,23) + TIME(4,41,4)</f>
        <v>41540.195185185185</v>
      </c>
      <c r="C1752">
        <v>80</v>
      </c>
      <c r="D1752">
        <v>79.957847595000004</v>
      </c>
      <c r="E1752">
        <v>50</v>
      </c>
      <c r="F1752">
        <v>44.488407135000003</v>
      </c>
      <c r="G1752">
        <v>1378.7673339999999</v>
      </c>
      <c r="H1752">
        <v>1365.8509521000001</v>
      </c>
      <c r="I1752">
        <v>1283.3825684000001</v>
      </c>
      <c r="J1752">
        <v>1261.4392089999999</v>
      </c>
      <c r="K1752">
        <v>2400</v>
      </c>
      <c r="L1752">
        <v>0</v>
      </c>
      <c r="M1752">
        <v>0</v>
      </c>
      <c r="N1752">
        <v>2400</v>
      </c>
    </row>
    <row r="1753" spans="1:14" x14ac:dyDescent="0.25">
      <c r="A1753">
        <v>1243.39465</v>
      </c>
      <c r="B1753" s="1">
        <f>DATE(2013,9,25) + TIME(9,28,17)</f>
        <v>41542.394641203704</v>
      </c>
      <c r="C1753">
        <v>80</v>
      </c>
      <c r="D1753">
        <v>79.957893372000001</v>
      </c>
      <c r="E1753">
        <v>50</v>
      </c>
      <c r="F1753">
        <v>44.553623199</v>
      </c>
      <c r="G1753">
        <v>1378.7089844</v>
      </c>
      <c r="H1753">
        <v>1365.7963867000001</v>
      </c>
      <c r="I1753">
        <v>1283.3101807</v>
      </c>
      <c r="J1753">
        <v>1261.3128661999999</v>
      </c>
      <c r="K1753">
        <v>2400</v>
      </c>
      <c r="L1753">
        <v>0</v>
      </c>
      <c r="M1753">
        <v>0</v>
      </c>
      <c r="N1753">
        <v>2400</v>
      </c>
    </row>
    <row r="1754" spans="1:14" x14ac:dyDescent="0.25">
      <c r="A1754">
        <v>1245.604333</v>
      </c>
      <c r="B1754" s="1">
        <f>DATE(2013,9,27) + TIME(14,30,14)</f>
        <v>41544.604328703703</v>
      </c>
      <c r="C1754">
        <v>80</v>
      </c>
      <c r="D1754">
        <v>79.957939147999994</v>
      </c>
      <c r="E1754">
        <v>50</v>
      </c>
      <c r="F1754">
        <v>44.633449554000002</v>
      </c>
      <c r="G1754">
        <v>1378.6506348</v>
      </c>
      <c r="H1754">
        <v>1365.7419434000001</v>
      </c>
      <c r="I1754">
        <v>1283.2410889</v>
      </c>
      <c r="J1754">
        <v>1261.1925048999999</v>
      </c>
      <c r="K1754">
        <v>2400</v>
      </c>
      <c r="L1754">
        <v>0</v>
      </c>
      <c r="M1754">
        <v>0</v>
      </c>
      <c r="N1754">
        <v>2400</v>
      </c>
    </row>
    <row r="1755" spans="1:14" x14ac:dyDescent="0.25">
      <c r="A1755">
        <v>1247.8258249999999</v>
      </c>
      <c r="B1755" s="1">
        <f>DATE(2013,9,29) + TIME(19,49,11)</f>
        <v>41546.825821759259</v>
      </c>
      <c r="C1755">
        <v>80</v>
      </c>
      <c r="D1755">
        <v>79.957984924000002</v>
      </c>
      <c r="E1755">
        <v>50</v>
      </c>
      <c r="F1755">
        <v>44.728500365999999</v>
      </c>
      <c r="G1755">
        <v>1378.5926514</v>
      </c>
      <c r="H1755">
        <v>1365.6876221</v>
      </c>
      <c r="I1755">
        <v>1283.175293</v>
      </c>
      <c r="J1755">
        <v>1261.0784911999999</v>
      </c>
      <c r="K1755">
        <v>2400</v>
      </c>
      <c r="L1755">
        <v>0</v>
      </c>
      <c r="M1755">
        <v>0</v>
      </c>
      <c r="N1755">
        <v>2400</v>
      </c>
    </row>
    <row r="1756" spans="1:14" x14ac:dyDescent="0.25">
      <c r="A1756">
        <v>1249</v>
      </c>
      <c r="B1756" s="1">
        <f>DATE(2013,10,1) + TIME(0,0,0)</f>
        <v>41548</v>
      </c>
      <c r="C1756">
        <v>80</v>
      </c>
      <c r="D1756">
        <v>79.957984924000002</v>
      </c>
      <c r="E1756">
        <v>50</v>
      </c>
      <c r="F1756">
        <v>44.818931579999997</v>
      </c>
      <c r="G1756">
        <v>1378.5471190999999</v>
      </c>
      <c r="H1756">
        <v>1365.6456298999999</v>
      </c>
      <c r="I1756">
        <v>1283.1225586</v>
      </c>
      <c r="J1756">
        <v>1260.9815673999999</v>
      </c>
      <c r="K1756">
        <v>2400</v>
      </c>
      <c r="L1756">
        <v>0</v>
      </c>
      <c r="M1756">
        <v>0</v>
      </c>
      <c r="N1756">
        <v>2400</v>
      </c>
    </row>
    <row r="1757" spans="1:14" x14ac:dyDescent="0.25">
      <c r="A1757">
        <v>1251.241356</v>
      </c>
      <c r="B1757" s="1">
        <f>DATE(2013,10,3) + TIME(5,47,33)</f>
        <v>41550.241354166668</v>
      </c>
      <c r="C1757">
        <v>80</v>
      </c>
      <c r="D1757">
        <v>79.958053589000002</v>
      </c>
      <c r="E1757">
        <v>50</v>
      </c>
      <c r="F1757">
        <v>44.914268493999998</v>
      </c>
      <c r="G1757">
        <v>1378.5007324000001</v>
      </c>
      <c r="H1757">
        <v>1365.6013184000001</v>
      </c>
      <c r="I1757">
        <v>1283.0784911999999</v>
      </c>
      <c r="J1757">
        <v>1260.9141846</v>
      </c>
      <c r="K1757">
        <v>2400</v>
      </c>
      <c r="L1757">
        <v>0</v>
      </c>
      <c r="M1757">
        <v>0</v>
      </c>
      <c r="N1757">
        <v>2400</v>
      </c>
    </row>
    <row r="1758" spans="1:14" x14ac:dyDescent="0.25">
      <c r="A1758">
        <v>1253.529344</v>
      </c>
      <c r="B1758" s="1">
        <f>DATE(2013,10,5) + TIME(12,42,15)</f>
        <v>41552.529340277775</v>
      </c>
      <c r="C1758">
        <v>80</v>
      </c>
      <c r="D1758">
        <v>79.958106994999994</v>
      </c>
      <c r="E1758">
        <v>50</v>
      </c>
      <c r="F1758">
        <v>45.044662475999999</v>
      </c>
      <c r="G1758">
        <v>1378.4454346</v>
      </c>
      <c r="H1758">
        <v>1365.5494385</v>
      </c>
      <c r="I1758">
        <v>1283.0236815999999</v>
      </c>
      <c r="J1758">
        <v>1260.8199463000001</v>
      </c>
      <c r="K1758">
        <v>2400</v>
      </c>
      <c r="L1758">
        <v>0</v>
      </c>
      <c r="M1758">
        <v>0</v>
      </c>
      <c r="N1758">
        <v>2400</v>
      </c>
    </row>
    <row r="1759" spans="1:14" x14ac:dyDescent="0.25">
      <c r="A1759">
        <v>1255.857258</v>
      </c>
      <c r="B1759" s="1">
        <f>DATE(2013,10,7) + TIME(20,34,27)</f>
        <v>41554.857256944444</v>
      </c>
      <c r="C1759">
        <v>80</v>
      </c>
      <c r="D1759">
        <v>79.958152771000002</v>
      </c>
      <c r="E1759">
        <v>50</v>
      </c>
      <c r="F1759">
        <v>45.198295592999997</v>
      </c>
      <c r="G1759">
        <v>1378.3880615</v>
      </c>
      <c r="H1759">
        <v>1365.4954834</v>
      </c>
      <c r="I1759">
        <v>1282.9699707</v>
      </c>
      <c r="J1759">
        <v>1260.7299805</v>
      </c>
      <c r="K1759">
        <v>2400</v>
      </c>
      <c r="L1759">
        <v>0</v>
      </c>
      <c r="M1759">
        <v>0</v>
      </c>
      <c r="N1759">
        <v>2400</v>
      </c>
    </row>
    <row r="1760" spans="1:14" x14ac:dyDescent="0.25">
      <c r="A1760">
        <v>1258.2341309999999</v>
      </c>
      <c r="B1760" s="1">
        <f>DATE(2013,10,10) + TIME(5,37,8)</f>
        <v>41557.234120370369</v>
      </c>
      <c r="C1760">
        <v>80</v>
      </c>
      <c r="D1760">
        <v>79.958198546999995</v>
      </c>
      <c r="E1760">
        <v>50</v>
      </c>
      <c r="F1760">
        <v>45.372436522999998</v>
      </c>
      <c r="G1760">
        <v>1378.3298339999999</v>
      </c>
      <c r="H1760">
        <v>1365.4406738</v>
      </c>
      <c r="I1760">
        <v>1282.9187012</v>
      </c>
      <c r="J1760">
        <v>1260.645874</v>
      </c>
      <c r="K1760">
        <v>2400</v>
      </c>
      <c r="L1760">
        <v>0</v>
      </c>
      <c r="M1760">
        <v>0</v>
      </c>
      <c r="N1760">
        <v>2400</v>
      </c>
    </row>
    <row r="1761" spans="1:14" x14ac:dyDescent="0.25">
      <c r="A1761">
        <v>1260.6695569999999</v>
      </c>
      <c r="B1761" s="1">
        <f>DATE(2013,10,12) + TIME(16,4,9)</f>
        <v>41559.669548611113</v>
      </c>
      <c r="C1761">
        <v>80</v>
      </c>
      <c r="D1761">
        <v>79.958251953000001</v>
      </c>
      <c r="E1761">
        <v>50</v>
      </c>
      <c r="F1761">
        <v>45.567207336000003</v>
      </c>
      <c r="G1761">
        <v>1378.2707519999999</v>
      </c>
      <c r="H1761">
        <v>1365.3851318</v>
      </c>
      <c r="I1761">
        <v>1282.8699951000001</v>
      </c>
      <c r="J1761">
        <v>1260.5679932</v>
      </c>
      <c r="K1761">
        <v>2400</v>
      </c>
      <c r="L1761">
        <v>0</v>
      </c>
      <c r="M1761">
        <v>0</v>
      </c>
      <c r="N1761">
        <v>2400</v>
      </c>
    </row>
    <row r="1762" spans="1:14" x14ac:dyDescent="0.25">
      <c r="A1762">
        <v>1263.1545020000001</v>
      </c>
      <c r="B1762" s="1">
        <f>DATE(2013,10,15) + TIME(3,42,28)</f>
        <v>41562.154490740744</v>
      </c>
      <c r="C1762">
        <v>80</v>
      </c>
      <c r="D1762">
        <v>79.958305358999993</v>
      </c>
      <c r="E1762">
        <v>50</v>
      </c>
      <c r="F1762">
        <v>45.782932281000001</v>
      </c>
      <c r="G1762">
        <v>1378.2110596</v>
      </c>
      <c r="H1762">
        <v>1365.3288574000001</v>
      </c>
      <c r="I1762">
        <v>1282.8238524999999</v>
      </c>
      <c r="J1762">
        <v>1260.496582</v>
      </c>
      <c r="K1762">
        <v>2400</v>
      </c>
      <c r="L1762">
        <v>0</v>
      </c>
      <c r="M1762">
        <v>0</v>
      </c>
      <c r="N1762">
        <v>2400</v>
      </c>
    </row>
    <row r="1763" spans="1:14" x14ac:dyDescent="0.25">
      <c r="A1763">
        <v>1265.6437969999999</v>
      </c>
      <c r="B1763" s="1">
        <f>DATE(2013,10,17) + TIME(15,27,4)</f>
        <v>41564.643796296295</v>
      </c>
      <c r="C1763">
        <v>80</v>
      </c>
      <c r="D1763">
        <v>79.958351135000001</v>
      </c>
      <c r="E1763">
        <v>50</v>
      </c>
      <c r="F1763">
        <v>46.018028258999998</v>
      </c>
      <c r="G1763">
        <v>1378.1512451000001</v>
      </c>
      <c r="H1763">
        <v>1365.2723389</v>
      </c>
      <c r="I1763">
        <v>1282.7808838000001</v>
      </c>
      <c r="J1763">
        <v>1260.432251</v>
      </c>
      <c r="K1763">
        <v>2400</v>
      </c>
      <c r="L1763">
        <v>0</v>
      </c>
      <c r="M1763">
        <v>0</v>
      </c>
      <c r="N1763">
        <v>2400</v>
      </c>
    </row>
    <row r="1764" spans="1:14" x14ac:dyDescent="0.25">
      <c r="A1764">
        <v>1268.1461870000001</v>
      </c>
      <c r="B1764" s="1">
        <f>DATE(2013,10,20) + TIME(3,30,30)</f>
        <v>41567.146180555559</v>
      </c>
      <c r="C1764">
        <v>80</v>
      </c>
      <c r="D1764">
        <v>79.958404540999993</v>
      </c>
      <c r="E1764">
        <v>50</v>
      </c>
      <c r="F1764">
        <v>46.268890380999999</v>
      </c>
      <c r="G1764">
        <v>1378.0916748</v>
      </c>
      <c r="H1764">
        <v>1365.2160644999999</v>
      </c>
      <c r="I1764">
        <v>1282.7410889</v>
      </c>
      <c r="J1764">
        <v>1260.3756103999999</v>
      </c>
      <c r="K1764">
        <v>2400</v>
      </c>
      <c r="L1764">
        <v>0</v>
      </c>
      <c r="M1764">
        <v>0</v>
      </c>
      <c r="N1764">
        <v>2400</v>
      </c>
    </row>
    <row r="1765" spans="1:14" x14ac:dyDescent="0.25">
      <c r="A1765">
        <v>1270.6714549999999</v>
      </c>
      <c r="B1765" s="1">
        <f>DATE(2013,10,22) + TIME(16,6,53)</f>
        <v>41569.671446759261</v>
      </c>
      <c r="C1765">
        <v>80</v>
      </c>
      <c r="D1765">
        <v>79.958457946999999</v>
      </c>
      <c r="E1765">
        <v>50</v>
      </c>
      <c r="F1765">
        <v>46.533966063999998</v>
      </c>
      <c r="G1765">
        <v>1378.0325928</v>
      </c>
      <c r="H1765">
        <v>1365.1600341999999</v>
      </c>
      <c r="I1765">
        <v>1282.7044678</v>
      </c>
      <c r="J1765">
        <v>1260.3262939000001</v>
      </c>
      <c r="K1765">
        <v>2400</v>
      </c>
      <c r="L1765">
        <v>0</v>
      </c>
      <c r="M1765">
        <v>0</v>
      </c>
      <c r="N1765">
        <v>2400</v>
      </c>
    </row>
    <row r="1766" spans="1:14" x14ac:dyDescent="0.25">
      <c r="A1766">
        <v>1273.2294360000001</v>
      </c>
      <c r="B1766" s="1">
        <f>DATE(2013,10,25) + TIME(5,30,23)</f>
        <v>41572.229432870372</v>
      </c>
      <c r="C1766">
        <v>80</v>
      </c>
      <c r="D1766">
        <v>79.958511353000006</v>
      </c>
      <c r="E1766">
        <v>50</v>
      </c>
      <c r="F1766">
        <v>46.812263489000003</v>
      </c>
      <c r="G1766">
        <v>1377.9735106999999</v>
      </c>
      <c r="H1766">
        <v>1365.1042480000001</v>
      </c>
      <c r="I1766">
        <v>1282.6705322</v>
      </c>
      <c r="J1766">
        <v>1260.2834473</v>
      </c>
      <c r="K1766">
        <v>2400</v>
      </c>
      <c r="L1766">
        <v>0</v>
      </c>
      <c r="M1766">
        <v>0</v>
      </c>
      <c r="N1766">
        <v>2400</v>
      </c>
    </row>
    <row r="1767" spans="1:14" x14ac:dyDescent="0.25">
      <c r="A1767">
        <v>1275.829555</v>
      </c>
      <c r="B1767" s="1">
        <f>DATE(2013,10,27) + TIME(19,54,33)</f>
        <v>41574.829548611109</v>
      </c>
      <c r="C1767">
        <v>80</v>
      </c>
      <c r="D1767">
        <v>79.958564757999994</v>
      </c>
      <c r="E1767">
        <v>50</v>
      </c>
      <c r="F1767">
        <v>47.102912903000004</v>
      </c>
      <c r="G1767">
        <v>1377.9146728999999</v>
      </c>
      <c r="H1767">
        <v>1365.0484618999999</v>
      </c>
      <c r="I1767">
        <v>1282.6390381000001</v>
      </c>
      <c r="J1767">
        <v>1260.246582</v>
      </c>
      <c r="K1767">
        <v>2400</v>
      </c>
      <c r="L1767">
        <v>0</v>
      </c>
      <c r="M1767">
        <v>0</v>
      </c>
      <c r="N1767">
        <v>2400</v>
      </c>
    </row>
    <row r="1768" spans="1:14" x14ac:dyDescent="0.25">
      <c r="A1768">
        <v>1278.482591</v>
      </c>
      <c r="B1768" s="1">
        <f>DATE(2013,10,30) + TIME(11,34,55)</f>
        <v>41577.482581018521</v>
      </c>
      <c r="C1768">
        <v>80</v>
      </c>
      <c r="D1768">
        <v>79.958618164000001</v>
      </c>
      <c r="E1768">
        <v>50</v>
      </c>
      <c r="F1768">
        <v>47.405616760000001</v>
      </c>
      <c r="G1768">
        <v>1377.8555908000001</v>
      </c>
      <c r="H1768">
        <v>1364.9924315999999</v>
      </c>
      <c r="I1768">
        <v>1282.6097411999999</v>
      </c>
      <c r="J1768">
        <v>1260.2150879000001</v>
      </c>
      <c r="K1768">
        <v>2400</v>
      </c>
      <c r="L1768">
        <v>0</v>
      </c>
      <c r="M1768">
        <v>0</v>
      </c>
      <c r="N1768">
        <v>2400</v>
      </c>
    </row>
    <row r="1769" spans="1:14" x14ac:dyDescent="0.25">
      <c r="A1769">
        <v>1280</v>
      </c>
      <c r="B1769" s="1">
        <f>DATE(2013,11,1) + TIME(0,0,0)</f>
        <v>41579</v>
      </c>
      <c r="C1769">
        <v>80</v>
      </c>
      <c r="D1769">
        <v>79.958633422999995</v>
      </c>
      <c r="E1769">
        <v>50</v>
      </c>
      <c r="F1769">
        <v>47.675704955999997</v>
      </c>
      <c r="G1769">
        <v>1377.8074951000001</v>
      </c>
      <c r="H1769">
        <v>1364.9472656</v>
      </c>
      <c r="I1769">
        <v>1282.5930175999999</v>
      </c>
      <c r="J1769">
        <v>1260.1926269999999</v>
      </c>
      <c r="K1769">
        <v>2400</v>
      </c>
      <c r="L1769">
        <v>0</v>
      </c>
      <c r="M1769">
        <v>0</v>
      </c>
      <c r="N1769">
        <v>2400</v>
      </c>
    </row>
    <row r="1770" spans="1:14" x14ac:dyDescent="0.25">
      <c r="A1770">
        <v>1280.0000010000001</v>
      </c>
      <c r="B1770" s="1">
        <f>DATE(2013,11,1) + TIME(0,0,0)</f>
        <v>41579</v>
      </c>
      <c r="C1770">
        <v>80</v>
      </c>
      <c r="D1770">
        <v>79.958602905000006</v>
      </c>
      <c r="E1770">
        <v>50</v>
      </c>
      <c r="F1770">
        <v>47.675724029999998</v>
      </c>
      <c r="G1770">
        <v>1364.9372559000001</v>
      </c>
      <c r="H1770">
        <v>1352.4838867000001</v>
      </c>
      <c r="I1770">
        <v>1305.0681152</v>
      </c>
      <c r="J1770">
        <v>1282.6040039</v>
      </c>
      <c r="K1770">
        <v>0</v>
      </c>
      <c r="L1770">
        <v>2400</v>
      </c>
      <c r="M1770">
        <v>2400</v>
      </c>
      <c r="N1770">
        <v>0</v>
      </c>
    </row>
    <row r="1771" spans="1:14" x14ac:dyDescent="0.25">
      <c r="A1771">
        <v>1280.000004</v>
      </c>
      <c r="B1771" s="1">
        <f>DATE(2013,11,1) + TIME(0,0,0)</f>
        <v>41579</v>
      </c>
      <c r="C1771">
        <v>80</v>
      </c>
      <c r="D1771">
        <v>79.958503723000007</v>
      </c>
      <c r="E1771">
        <v>50</v>
      </c>
      <c r="F1771">
        <v>47.675785064999999</v>
      </c>
      <c r="G1771">
        <v>1364.9073486</v>
      </c>
      <c r="H1771">
        <v>1352.4539795000001</v>
      </c>
      <c r="I1771">
        <v>1305.0980225000001</v>
      </c>
      <c r="J1771">
        <v>1282.637207</v>
      </c>
      <c r="K1771">
        <v>0</v>
      </c>
      <c r="L1771">
        <v>2400</v>
      </c>
      <c r="M1771">
        <v>2400</v>
      </c>
      <c r="N1771">
        <v>0</v>
      </c>
    </row>
    <row r="1772" spans="1:14" x14ac:dyDescent="0.25">
      <c r="A1772">
        <v>1280.0000130000001</v>
      </c>
      <c r="B1772" s="1">
        <f>DATE(2013,11,1) + TIME(0,0,1)</f>
        <v>41579.000011574077</v>
      </c>
      <c r="C1772">
        <v>80</v>
      </c>
      <c r="D1772">
        <v>79.958221436000002</v>
      </c>
      <c r="E1772">
        <v>50</v>
      </c>
      <c r="F1772">
        <v>47.675964354999998</v>
      </c>
      <c r="G1772">
        <v>1364.8179932</v>
      </c>
      <c r="H1772">
        <v>1352.3645019999999</v>
      </c>
      <c r="I1772">
        <v>1305.1872559000001</v>
      </c>
      <c r="J1772">
        <v>1282.7363281</v>
      </c>
      <c r="K1772">
        <v>0</v>
      </c>
      <c r="L1772">
        <v>2400</v>
      </c>
      <c r="M1772">
        <v>2400</v>
      </c>
      <c r="N1772">
        <v>0</v>
      </c>
    </row>
    <row r="1773" spans="1:14" x14ac:dyDescent="0.25">
      <c r="A1773">
        <v>1280.0000399999999</v>
      </c>
      <c r="B1773" s="1">
        <f>DATE(2013,11,1) + TIME(0,0,3)</f>
        <v>41579.000034722223</v>
      </c>
      <c r="C1773">
        <v>80</v>
      </c>
      <c r="D1773">
        <v>79.957374572999996</v>
      </c>
      <c r="E1773">
        <v>50</v>
      </c>
      <c r="F1773">
        <v>47.676506042</v>
      </c>
      <c r="G1773">
        <v>1364.5552978999999</v>
      </c>
      <c r="H1773">
        <v>1352.1015625</v>
      </c>
      <c r="I1773">
        <v>1305.4517822</v>
      </c>
      <c r="J1773">
        <v>1283.0300293</v>
      </c>
      <c r="K1773">
        <v>0</v>
      </c>
      <c r="L1773">
        <v>2400</v>
      </c>
      <c r="M1773">
        <v>2400</v>
      </c>
      <c r="N1773">
        <v>0</v>
      </c>
    </row>
    <row r="1774" spans="1:14" x14ac:dyDescent="0.25">
      <c r="A1774">
        <v>1280.000121</v>
      </c>
      <c r="B1774" s="1">
        <f>DATE(2013,11,1) + TIME(0,0,10)</f>
        <v>41579.000115740739</v>
      </c>
      <c r="C1774">
        <v>80</v>
      </c>
      <c r="D1774">
        <v>79.954986571999996</v>
      </c>
      <c r="E1774">
        <v>50</v>
      </c>
      <c r="F1774">
        <v>47.678073883000003</v>
      </c>
      <c r="G1774">
        <v>1363.8096923999999</v>
      </c>
      <c r="H1774">
        <v>1351.3552245999999</v>
      </c>
      <c r="I1774">
        <v>1306.2202147999999</v>
      </c>
      <c r="J1774">
        <v>1283.8797606999999</v>
      </c>
      <c r="K1774">
        <v>0</v>
      </c>
      <c r="L1774">
        <v>2400</v>
      </c>
      <c r="M1774">
        <v>2400</v>
      </c>
      <c r="N1774">
        <v>0</v>
      </c>
    </row>
    <row r="1775" spans="1:14" x14ac:dyDescent="0.25">
      <c r="A1775">
        <v>1280.000364</v>
      </c>
      <c r="B1775" s="1">
        <f>DATE(2013,11,1) + TIME(0,0,31)</f>
        <v>41579.000358796293</v>
      </c>
      <c r="C1775">
        <v>80</v>
      </c>
      <c r="D1775">
        <v>79.948814392000003</v>
      </c>
      <c r="E1775">
        <v>50</v>
      </c>
      <c r="F1775">
        <v>47.682415009000003</v>
      </c>
      <c r="G1775">
        <v>1361.8874512</v>
      </c>
      <c r="H1775">
        <v>1349.4312743999999</v>
      </c>
      <c r="I1775">
        <v>1308.3240966999999</v>
      </c>
      <c r="J1775">
        <v>1286.1833495999999</v>
      </c>
      <c r="K1775">
        <v>0</v>
      </c>
      <c r="L1775">
        <v>2400</v>
      </c>
      <c r="M1775">
        <v>2400</v>
      </c>
      <c r="N1775">
        <v>0</v>
      </c>
    </row>
    <row r="1776" spans="1:14" x14ac:dyDescent="0.25">
      <c r="A1776">
        <v>1280.0010930000001</v>
      </c>
      <c r="B1776" s="1">
        <f>DATE(2013,11,1) + TIME(0,1,34)</f>
        <v>41579.001087962963</v>
      </c>
      <c r="C1776">
        <v>80</v>
      </c>
      <c r="D1776">
        <v>79.935859679999993</v>
      </c>
      <c r="E1776">
        <v>50</v>
      </c>
      <c r="F1776">
        <v>47.693145752</v>
      </c>
      <c r="G1776">
        <v>1357.8538818</v>
      </c>
      <c r="H1776">
        <v>1345.3947754000001</v>
      </c>
      <c r="I1776">
        <v>1313.3225098</v>
      </c>
      <c r="J1776">
        <v>1291.5325928</v>
      </c>
      <c r="K1776">
        <v>0</v>
      </c>
      <c r="L1776">
        <v>2400</v>
      </c>
      <c r="M1776">
        <v>2400</v>
      </c>
      <c r="N1776">
        <v>0</v>
      </c>
    </row>
    <row r="1777" spans="1:14" x14ac:dyDescent="0.25">
      <c r="A1777">
        <v>1280.0032799999999</v>
      </c>
      <c r="B1777" s="1">
        <f>DATE(2013,11,1) + TIME(0,4,43)</f>
        <v>41579.003275462965</v>
      </c>
      <c r="C1777">
        <v>80</v>
      </c>
      <c r="D1777">
        <v>79.915840149000005</v>
      </c>
      <c r="E1777">
        <v>50</v>
      </c>
      <c r="F1777">
        <v>47.713928223000003</v>
      </c>
      <c r="G1777">
        <v>1351.6702881000001</v>
      </c>
      <c r="H1777">
        <v>1339.2089844</v>
      </c>
      <c r="I1777">
        <v>1322.4244385</v>
      </c>
      <c r="J1777">
        <v>1300.9040527</v>
      </c>
      <c r="K1777">
        <v>0</v>
      </c>
      <c r="L1777">
        <v>2400</v>
      </c>
      <c r="M1777">
        <v>2400</v>
      </c>
      <c r="N1777">
        <v>0</v>
      </c>
    </row>
    <row r="1778" spans="1:14" x14ac:dyDescent="0.25">
      <c r="A1778">
        <v>1280.0098410000001</v>
      </c>
      <c r="B1778" s="1">
        <f>DATE(2013,11,1) + TIME(0,14,10)</f>
        <v>41579.009837962964</v>
      </c>
      <c r="C1778">
        <v>80</v>
      </c>
      <c r="D1778">
        <v>79.892234802000004</v>
      </c>
      <c r="E1778">
        <v>50</v>
      </c>
      <c r="F1778">
        <v>47.751831054999997</v>
      </c>
      <c r="G1778">
        <v>1344.5528564000001</v>
      </c>
      <c r="H1778">
        <v>1332.090332</v>
      </c>
      <c r="I1778">
        <v>1334.4536132999999</v>
      </c>
      <c r="J1778">
        <v>1312.9382324000001</v>
      </c>
      <c r="K1778">
        <v>0</v>
      </c>
      <c r="L1778">
        <v>2400</v>
      </c>
      <c r="M1778">
        <v>2400</v>
      </c>
      <c r="N1778">
        <v>0</v>
      </c>
    </row>
    <row r="1779" spans="1:14" x14ac:dyDescent="0.25">
      <c r="A1779">
        <v>1280.029524</v>
      </c>
      <c r="B1779" s="1">
        <f>DATE(2013,11,1) + TIME(0,42,30)</f>
        <v>41579.029513888891</v>
      </c>
      <c r="C1779">
        <v>80</v>
      </c>
      <c r="D1779">
        <v>79.866645813000005</v>
      </c>
      <c r="E1779">
        <v>50</v>
      </c>
      <c r="F1779">
        <v>47.828559875000003</v>
      </c>
      <c r="G1779">
        <v>1337.3144531</v>
      </c>
      <c r="H1779">
        <v>1324.8472899999999</v>
      </c>
      <c r="I1779">
        <v>1347.2768555</v>
      </c>
      <c r="J1779">
        <v>1325.6733397999999</v>
      </c>
      <c r="K1779">
        <v>0</v>
      </c>
      <c r="L1779">
        <v>2400</v>
      </c>
      <c r="M1779">
        <v>2400</v>
      </c>
      <c r="N1779">
        <v>0</v>
      </c>
    </row>
    <row r="1780" spans="1:14" x14ac:dyDescent="0.25">
      <c r="A1780">
        <v>1280.080132</v>
      </c>
      <c r="B1780" s="1">
        <f>DATE(2013,11,1) + TIME(1,55,23)</f>
        <v>41579.080127314817</v>
      </c>
      <c r="C1780">
        <v>80</v>
      </c>
      <c r="D1780">
        <v>79.839035034000005</v>
      </c>
      <c r="E1780">
        <v>50</v>
      </c>
      <c r="F1780">
        <v>47.984111786</v>
      </c>
      <c r="G1780">
        <v>1330.5683594</v>
      </c>
      <c r="H1780">
        <v>1318.0762939000001</v>
      </c>
      <c r="I1780">
        <v>1359.1119385</v>
      </c>
      <c r="J1780">
        <v>1337.4521483999999</v>
      </c>
      <c r="K1780">
        <v>0</v>
      </c>
      <c r="L1780">
        <v>2400</v>
      </c>
      <c r="M1780">
        <v>2400</v>
      </c>
      <c r="N1780">
        <v>0</v>
      </c>
    </row>
    <row r="1781" spans="1:14" x14ac:dyDescent="0.25">
      <c r="A1781">
        <v>1280.1345220000001</v>
      </c>
      <c r="B1781" s="1">
        <f>DATE(2013,11,1) + TIME(3,13,42)</f>
        <v>41579.134513888886</v>
      </c>
      <c r="C1781">
        <v>80</v>
      </c>
      <c r="D1781">
        <v>79.819450377999999</v>
      </c>
      <c r="E1781">
        <v>50</v>
      </c>
      <c r="F1781">
        <v>48.131465912000003</v>
      </c>
      <c r="G1781">
        <v>1326.6293945</v>
      </c>
      <c r="H1781">
        <v>1314.1098632999999</v>
      </c>
      <c r="I1781">
        <v>1365.8195800999999</v>
      </c>
      <c r="J1781">
        <v>1344.1546631000001</v>
      </c>
      <c r="K1781">
        <v>0</v>
      </c>
      <c r="L1781">
        <v>2400</v>
      </c>
      <c r="M1781">
        <v>2400</v>
      </c>
      <c r="N1781">
        <v>0</v>
      </c>
    </row>
    <row r="1782" spans="1:14" x14ac:dyDescent="0.25">
      <c r="A1782">
        <v>1280.192088</v>
      </c>
      <c r="B1782" s="1">
        <f>DATE(2013,11,1) + TIME(4,36,36)</f>
        <v>41579.192083333335</v>
      </c>
      <c r="C1782">
        <v>80</v>
      </c>
      <c r="D1782">
        <v>79.802947997999993</v>
      </c>
      <c r="E1782">
        <v>50</v>
      </c>
      <c r="F1782">
        <v>48.272521973000003</v>
      </c>
      <c r="G1782">
        <v>1323.8472899999999</v>
      </c>
      <c r="H1782">
        <v>1311.3045654</v>
      </c>
      <c r="I1782">
        <v>1370.378418</v>
      </c>
      <c r="J1782">
        <v>1348.7416992000001</v>
      </c>
      <c r="K1782">
        <v>0</v>
      </c>
      <c r="L1782">
        <v>2400</v>
      </c>
      <c r="M1782">
        <v>2400</v>
      </c>
      <c r="N1782">
        <v>0</v>
      </c>
    </row>
    <row r="1783" spans="1:14" x14ac:dyDescent="0.25">
      <c r="A1783">
        <v>1280.252778</v>
      </c>
      <c r="B1783" s="1">
        <f>DATE(2013,11,1) + TIME(6,3,59)</f>
        <v>41579.252766203703</v>
      </c>
      <c r="C1783">
        <v>80</v>
      </c>
      <c r="D1783">
        <v>79.787895203000005</v>
      </c>
      <c r="E1783">
        <v>50</v>
      </c>
      <c r="F1783">
        <v>48.407833099000001</v>
      </c>
      <c r="G1783">
        <v>1321.6719971</v>
      </c>
      <c r="H1783">
        <v>1309.1110839999999</v>
      </c>
      <c r="I1783">
        <v>1373.8066406</v>
      </c>
      <c r="J1783">
        <v>1352.2189940999999</v>
      </c>
      <c r="K1783">
        <v>0</v>
      </c>
      <c r="L1783">
        <v>2400</v>
      </c>
      <c r="M1783">
        <v>2400</v>
      </c>
      <c r="N1783">
        <v>0</v>
      </c>
    </row>
    <row r="1784" spans="1:14" x14ac:dyDescent="0.25">
      <c r="A1784">
        <v>1280.3167390000001</v>
      </c>
      <c r="B1784" s="1">
        <f>DATE(2013,11,1) + TIME(7,36,6)</f>
        <v>41579.316736111112</v>
      </c>
      <c r="C1784">
        <v>80</v>
      </c>
      <c r="D1784">
        <v>79.773574828999998</v>
      </c>
      <c r="E1784">
        <v>50</v>
      </c>
      <c r="F1784">
        <v>48.537609099999997</v>
      </c>
      <c r="G1784">
        <v>1319.8717041</v>
      </c>
      <c r="H1784">
        <v>1307.296875</v>
      </c>
      <c r="I1784">
        <v>1376.5438231999999</v>
      </c>
      <c r="J1784">
        <v>1355.0180664</v>
      </c>
      <c r="K1784">
        <v>0</v>
      </c>
      <c r="L1784">
        <v>2400</v>
      </c>
      <c r="M1784">
        <v>2400</v>
      </c>
      <c r="N1784">
        <v>0</v>
      </c>
    </row>
    <row r="1785" spans="1:14" x14ac:dyDescent="0.25">
      <c r="A1785">
        <v>1280.3842460000001</v>
      </c>
      <c r="B1785" s="1">
        <f>DATE(2013,11,1) + TIME(9,13,18)</f>
        <v>41579.384236111109</v>
      </c>
      <c r="C1785">
        <v>80</v>
      </c>
      <c r="D1785">
        <v>79.759620666999993</v>
      </c>
      <c r="E1785">
        <v>50</v>
      </c>
      <c r="F1785">
        <v>48.661972046000002</v>
      </c>
      <c r="G1785">
        <v>1318.3294678</v>
      </c>
      <c r="H1785">
        <v>1305.7438964999999</v>
      </c>
      <c r="I1785">
        <v>1378.8148193</v>
      </c>
      <c r="J1785">
        <v>1357.3588867000001</v>
      </c>
      <c r="K1785">
        <v>0</v>
      </c>
      <c r="L1785">
        <v>2400</v>
      </c>
      <c r="M1785">
        <v>2400</v>
      </c>
      <c r="N1785">
        <v>0</v>
      </c>
    </row>
    <row r="1786" spans="1:14" x14ac:dyDescent="0.25">
      <c r="A1786">
        <v>1280.4556700000001</v>
      </c>
      <c r="B1786" s="1">
        <f>DATE(2013,11,1) + TIME(10,56,9)</f>
        <v>41579.455659722225</v>
      </c>
      <c r="C1786">
        <v>80</v>
      </c>
      <c r="D1786">
        <v>79.745788574000002</v>
      </c>
      <c r="E1786">
        <v>50</v>
      </c>
      <c r="F1786">
        <v>48.781021117999998</v>
      </c>
      <c r="G1786">
        <v>1316.9770507999999</v>
      </c>
      <c r="H1786">
        <v>1304.3831786999999</v>
      </c>
      <c r="I1786">
        <v>1380.7497559000001</v>
      </c>
      <c r="J1786">
        <v>1359.3685303</v>
      </c>
      <c r="K1786">
        <v>0</v>
      </c>
      <c r="L1786">
        <v>2400</v>
      </c>
      <c r="M1786">
        <v>2400</v>
      </c>
      <c r="N1786">
        <v>0</v>
      </c>
    </row>
    <row r="1787" spans="1:14" x14ac:dyDescent="0.25">
      <c r="A1787">
        <v>1280.531479</v>
      </c>
      <c r="B1787" s="1">
        <f>DATE(2013,11,1) + TIME(12,45,19)</f>
        <v>41579.531469907408</v>
      </c>
      <c r="C1787">
        <v>80</v>
      </c>
      <c r="D1787">
        <v>79.731887817</v>
      </c>
      <c r="E1787">
        <v>50</v>
      </c>
      <c r="F1787">
        <v>48.894832610999998</v>
      </c>
      <c r="G1787">
        <v>1315.7707519999999</v>
      </c>
      <c r="H1787">
        <v>1303.1702881000001</v>
      </c>
      <c r="I1787">
        <v>1382.4310303</v>
      </c>
      <c r="J1787">
        <v>1361.1271973</v>
      </c>
      <c r="K1787">
        <v>0</v>
      </c>
      <c r="L1787">
        <v>2400</v>
      </c>
      <c r="M1787">
        <v>2400</v>
      </c>
      <c r="N1787">
        <v>0</v>
      </c>
    </row>
    <row r="1788" spans="1:14" x14ac:dyDescent="0.25">
      <c r="A1788">
        <v>1280.612251</v>
      </c>
      <c r="B1788" s="1">
        <f>DATE(2013,11,1) + TIME(14,41,38)</f>
        <v>41579.612245370372</v>
      </c>
      <c r="C1788">
        <v>80</v>
      </c>
      <c r="D1788">
        <v>79.717781067000004</v>
      </c>
      <c r="E1788">
        <v>50</v>
      </c>
      <c r="F1788">
        <v>49.003471374999997</v>
      </c>
      <c r="G1788">
        <v>1314.6804199000001</v>
      </c>
      <c r="H1788">
        <v>1302.0745850000001</v>
      </c>
      <c r="I1788">
        <v>1383.9144286999999</v>
      </c>
      <c r="J1788">
        <v>1362.6893310999999</v>
      </c>
      <c r="K1788">
        <v>0</v>
      </c>
      <c r="L1788">
        <v>2400</v>
      </c>
      <c r="M1788">
        <v>2400</v>
      </c>
      <c r="N1788">
        <v>0</v>
      </c>
    </row>
    <row r="1789" spans="1:14" x14ac:dyDescent="0.25">
      <c r="A1789">
        <v>1280.6987059999999</v>
      </c>
      <c r="B1789" s="1">
        <f>DATE(2013,11,1) + TIME(16,46,8)</f>
        <v>41579.698703703703</v>
      </c>
      <c r="C1789">
        <v>80</v>
      </c>
      <c r="D1789">
        <v>79.703315735000004</v>
      </c>
      <c r="E1789">
        <v>50</v>
      </c>
      <c r="F1789">
        <v>49.106979369999998</v>
      </c>
      <c r="G1789">
        <v>1313.6833495999999</v>
      </c>
      <c r="H1789">
        <v>1301.0732422000001</v>
      </c>
      <c r="I1789">
        <v>1385.239624</v>
      </c>
      <c r="J1789">
        <v>1364.0938721</v>
      </c>
      <c r="K1789">
        <v>0</v>
      </c>
      <c r="L1789">
        <v>2400</v>
      </c>
      <c r="M1789">
        <v>2400</v>
      </c>
      <c r="N1789">
        <v>0</v>
      </c>
    </row>
    <row r="1790" spans="1:14" x14ac:dyDescent="0.25">
      <c r="A1790">
        <v>1280.7917359999999</v>
      </c>
      <c r="B1790" s="1">
        <f>DATE(2013,11,1) + TIME(19,0,6)</f>
        <v>41579.79173611111</v>
      </c>
      <c r="C1790">
        <v>80</v>
      </c>
      <c r="D1790">
        <v>79.688354492000002</v>
      </c>
      <c r="E1790">
        <v>50</v>
      </c>
      <c r="F1790">
        <v>49.205387115000001</v>
      </c>
      <c r="G1790">
        <v>1312.7624512</v>
      </c>
      <c r="H1790">
        <v>1300.1489257999999</v>
      </c>
      <c r="I1790">
        <v>1386.4365233999999</v>
      </c>
      <c r="J1790">
        <v>1365.369751</v>
      </c>
      <c r="K1790">
        <v>0</v>
      </c>
      <c r="L1790">
        <v>2400</v>
      </c>
      <c r="M1790">
        <v>2400</v>
      </c>
      <c r="N1790">
        <v>0</v>
      </c>
    </row>
    <row r="1791" spans="1:14" x14ac:dyDescent="0.25">
      <c r="A1791">
        <v>1280.8924669999999</v>
      </c>
      <c r="B1791" s="1">
        <f>DATE(2013,11,1) + TIME(21,25,9)</f>
        <v>41579.892465277779</v>
      </c>
      <c r="C1791">
        <v>80</v>
      </c>
      <c r="D1791">
        <v>79.672744750999996</v>
      </c>
      <c r="E1791">
        <v>50</v>
      </c>
      <c r="F1791">
        <v>49.298706054999997</v>
      </c>
      <c r="G1791">
        <v>1311.9039307</v>
      </c>
      <c r="H1791">
        <v>1299.2874756000001</v>
      </c>
      <c r="I1791">
        <v>1387.527832</v>
      </c>
      <c r="J1791">
        <v>1366.5395507999999</v>
      </c>
      <c r="K1791">
        <v>0</v>
      </c>
      <c r="L1791">
        <v>2400</v>
      </c>
      <c r="M1791">
        <v>2400</v>
      </c>
      <c r="N1791">
        <v>0</v>
      </c>
    </row>
    <row r="1792" spans="1:14" x14ac:dyDescent="0.25">
      <c r="A1792">
        <v>1281.0023160000001</v>
      </c>
      <c r="B1792" s="1">
        <f>DATE(2013,11,2) + TIME(0,3,20)</f>
        <v>41580.002314814818</v>
      </c>
      <c r="C1792">
        <v>80</v>
      </c>
      <c r="D1792">
        <v>79.656303406000006</v>
      </c>
      <c r="E1792">
        <v>50</v>
      </c>
      <c r="F1792">
        <v>49.386917113999999</v>
      </c>
      <c r="G1792">
        <v>1311.0966797000001</v>
      </c>
      <c r="H1792">
        <v>1298.4779053</v>
      </c>
      <c r="I1792">
        <v>1388.5314940999999</v>
      </c>
      <c r="J1792">
        <v>1367.6207274999999</v>
      </c>
      <c r="K1792">
        <v>0</v>
      </c>
      <c r="L1792">
        <v>2400</v>
      </c>
      <c r="M1792">
        <v>2400</v>
      </c>
      <c r="N1792">
        <v>0</v>
      </c>
    </row>
    <row r="1793" spans="1:14" x14ac:dyDescent="0.25">
      <c r="A1793">
        <v>1281.123153</v>
      </c>
      <c r="B1793" s="1">
        <f>DATE(2013,11,2) + TIME(2,57,20)</f>
        <v>41580.123148148145</v>
      </c>
      <c r="C1793">
        <v>80</v>
      </c>
      <c r="D1793">
        <v>79.638824463000006</v>
      </c>
      <c r="E1793">
        <v>50</v>
      </c>
      <c r="F1793">
        <v>49.469978333</v>
      </c>
      <c r="G1793">
        <v>1310.3312988</v>
      </c>
      <c r="H1793">
        <v>1297.7103271000001</v>
      </c>
      <c r="I1793">
        <v>1389.4621582</v>
      </c>
      <c r="J1793">
        <v>1368.6278076000001</v>
      </c>
      <c r="K1793">
        <v>0</v>
      </c>
      <c r="L1793">
        <v>2400</v>
      </c>
      <c r="M1793">
        <v>2400</v>
      </c>
      <c r="N1793">
        <v>0</v>
      </c>
    </row>
    <row r="1794" spans="1:14" x14ac:dyDescent="0.25">
      <c r="A1794">
        <v>1281.2574689999999</v>
      </c>
      <c r="B1794" s="1">
        <f>DATE(2013,11,2) + TIME(6,10,45)</f>
        <v>41580.257465277777</v>
      </c>
      <c r="C1794">
        <v>80</v>
      </c>
      <c r="D1794">
        <v>79.620033264</v>
      </c>
      <c r="E1794">
        <v>50</v>
      </c>
      <c r="F1794">
        <v>49.547832489000001</v>
      </c>
      <c r="G1794">
        <v>1309.5992432</v>
      </c>
      <c r="H1794">
        <v>1296.9764404</v>
      </c>
      <c r="I1794">
        <v>1390.3319091999999</v>
      </c>
      <c r="J1794">
        <v>1369.5727539</v>
      </c>
      <c r="K1794">
        <v>0</v>
      </c>
      <c r="L1794">
        <v>2400</v>
      </c>
      <c r="M1794">
        <v>2400</v>
      </c>
      <c r="N1794">
        <v>0</v>
      </c>
    </row>
    <row r="1795" spans="1:14" x14ac:dyDescent="0.25">
      <c r="A1795">
        <v>1281.4086520000001</v>
      </c>
      <c r="B1795" s="1">
        <f>DATE(2013,11,2) + TIME(9,48,27)</f>
        <v>41580.408645833333</v>
      </c>
      <c r="C1795">
        <v>80</v>
      </c>
      <c r="D1795">
        <v>79.599586486999996</v>
      </c>
      <c r="E1795">
        <v>50</v>
      </c>
      <c r="F1795">
        <v>49.620361328000001</v>
      </c>
      <c r="G1795">
        <v>1308.8935547000001</v>
      </c>
      <c r="H1795">
        <v>1296.269043</v>
      </c>
      <c r="I1795">
        <v>1391.1508789</v>
      </c>
      <c r="J1795">
        <v>1370.4654541</v>
      </c>
      <c r="K1795">
        <v>0</v>
      </c>
      <c r="L1795">
        <v>2400</v>
      </c>
      <c r="M1795">
        <v>2400</v>
      </c>
      <c r="N1795">
        <v>0</v>
      </c>
    </row>
    <row r="1796" spans="1:14" x14ac:dyDescent="0.25">
      <c r="A1796">
        <v>1281.5814780000001</v>
      </c>
      <c r="B1796" s="1">
        <f>DATE(2013,11,2) + TIME(13,57,19)</f>
        <v>41580.581469907411</v>
      </c>
      <c r="C1796">
        <v>80</v>
      </c>
      <c r="D1796">
        <v>79.577026367000002</v>
      </c>
      <c r="E1796">
        <v>50</v>
      </c>
      <c r="F1796">
        <v>49.687397003000001</v>
      </c>
      <c r="G1796">
        <v>1308.2073975000001</v>
      </c>
      <c r="H1796">
        <v>1295.5814209</v>
      </c>
      <c r="I1796">
        <v>1391.9273682</v>
      </c>
      <c r="J1796">
        <v>1371.3145752</v>
      </c>
      <c r="K1796">
        <v>0</v>
      </c>
      <c r="L1796">
        <v>2400</v>
      </c>
      <c r="M1796">
        <v>2400</v>
      </c>
      <c r="N1796">
        <v>0</v>
      </c>
    </row>
    <row r="1797" spans="1:14" x14ac:dyDescent="0.25">
      <c r="A1797">
        <v>1281.78295</v>
      </c>
      <c r="B1797" s="1">
        <f>DATE(2013,11,2) + TIME(18,47,26)</f>
        <v>41580.782939814817</v>
      </c>
      <c r="C1797">
        <v>80</v>
      </c>
      <c r="D1797">
        <v>79.551712035999998</v>
      </c>
      <c r="E1797">
        <v>50</v>
      </c>
      <c r="F1797">
        <v>49.748699188000003</v>
      </c>
      <c r="G1797">
        <v>1307.5350341999999</v>
      </c>
      <c r="H1797">
        <v>1294.9074707</v>
      </c>
      <c r="I1797">
        <v>1392.6683350000001</v>
      </c>
      <c r="J1797">
        <v>1372.1268310999999</v>
      </c>
      <c r="K1797">
        <v>0</v>
      </c>
      <c r="L1797">
        <v>2400</v>
      </c>
      <c r="M1797">
        <v>2400</v>
      </c>
      <c r="N1797">
        <v>0</v>
      </c>
    </row>
    <row r="1798" spans="1:14" x14ac:dyDescent="0.25">
      <c r="A1798">
        <v>1281.9991</v>
      </c>
      <c r="B1798" s="1">
        <f>DATE(2013,11,2) + TIME(23,58,42)</f>
        <v>41580.999097222222</v>
      </c>
      <c r="C1798">
        <v>80</v>
      </c>
      <c r="D1798">
        <v>79.525016785000005</v>
      </c>
      <c r="E1798">
        <v>50</v>
      </c>
      <c r="F1798">
        <v>49.799533844000003</v>
      </c>
      <c r="G1798">
        <v>1306.9281006000001</v>
      </c>
      <c r="H1798">
        <v>1294.2991943</v>
      </c>
      <c r="I1798">
        <v>1393.3155518000001</v>
      </c>
      <c r="J1798">
        <v>1372.8389893000001</v>
      </c>
      <c r="K1798">
        <v>0</v>
      </c>
      <c r="L1798">
        <v>2400</v>
      </c>
      <c r="M1798">
        <v>2400</v>
      </c>
      <c r="N1798">
        <v>0</v>
      </c>
    </row>
    <row r="1799" spans="1:14" x14ac:dyDescent="0.25">
      <c r="A1799">
        <v>1282.217206</v>
      </c>
      <c r="B1799" s="1">
        <f>DATE(2013,11,3) + TIME(5,12,46)</f>
        <v>41581.217199074075</v>
      </c>
      <c r="C1799">
        <v>80</v>
      </c>
      <c r="D1799">
        <v>79.498146057</v>
      </c>
      <c r="E1799">
        <v>50</v>
      </c>
      <c r="F1799">
        <v>49.839141845999997</v>
      </c>
      <c r="G1799">
        <v>1306.4088135</v>
      </c>
      <c r="H1799">
        <v>1293.7786865</v>
      </c>
      <c r="I1799">
        <v>1393.8502197</v>
      </c>
      <c r="J1799">
        <v>1373.4299315999999</v>
      </c>
      <c r="K1799">
        <v>0</v>
      </c>
      <c r="L1799">
        <v>2400</v>
      </c>
      <c r="M1799">
        <v>2400</v>
      </c>
      <c r="N1799">
        <v>0</v>
      </c>
    </row>
    <row r="1800" spans="1:14" x14ac:dyDescent="0.25">
      <c r="A1800">
        <v>1282.4407920000001</v>
      </c>
      <c r="B1800" s="1">
        <f>DATE(2013,11,3) + TIME(10,34,44)</f>
        <v>41581.440787037034</v>
      </c>
      <c r="C1800">
        <v>80</v>
      </c>
      <c r="D1800">
        <v>79.470809936999999</v>
      </c>
      <c r="E1800">
        <v>50</v>
      </c>
      <c r="F1800">
        <v>49.870338439999998</v>
      </c>
      <c r="G1800">
        <v>1305.9561768000001</v>
      </c>
      <c r="H1800">
        <v>1293.3249512</v>
      </c>
      <c r="I1800">
        <v>1394.3015137</v>
      </c>
      <c r="J1800">
        <v>1373.9305420000001</v>
      </c>
      <c r="K1800">
        <v>0</v>
      </c>
      <c r="L1800">
        <v>2400</v>
      </c>
      <c r="M1800">
        <v>2400</v>
      </c>
      <c r="N1800">
        <v>0</v>
      </c>
    </row>
    <row r="1801" spans="1:14" x14ac:dyDescent="0.25">
      <c r="A1801">
        <v>1282.671981</v>
      </c>
      <c r="B1801" s="1">
        <f>DATE(2013,11,3) + TIME(16,7,39)</f>
        <v>41581.671979166669</v>
      </c>
      <c r="C1801">
        <v>80</v>
      </c>
      <c r="D1801">
        <v>79.442848205999994</v>
      </c>
      <c r="E1801">
        <v>50</v>
      </c>
      <c r="F1801">
        <v>49.894947051999999</v>
      </c>
      <c r="G1801">
        <v>1305.5578613</v>
      </c>
      <c r="H1801">
        <v>1292.9254149999999</v>
      </c>
      <c r="I1801">
        <v>1394.6853027</v>
      </c>
      <c r="J1801">
        <v>1374.3579102000001</v>
      </c>
      <c r="K1801">
        <v>0</v>
      </c>
      <c r="L1801">
        <v>2400</v>
      </c>
      <c r="M1801">
        <v>2400</v>
      </c>
      <c r="N1801">
        <v>0</v>
      </c>
    </row>
    <row r="1802" spans="1:14" x14ac:dyDescent="0.25">
      <c r="A1802">
        <v>1282.91311</v>
      </c>
      <c r="B1802" s="1">
        <f>DATE(2013,11,3) + TIME(21,54,52)</f>
        <v>41581.913101851853</v>
      </c>
      <c r="C1802">
        <v>80</v>
      </c>
      <c r="D1802">
        <v>79.414047241000006</v>
      </c>
      <c r="E1802">
        <v>50</v>
      </c>
      <c r="F1802">
        <v>49.914348601999997</v>
      </c>
      <c r="G1802">
        <v>1305.2045897999999</v>
      </c>
      <c r="H1802">
        <v>1292.5709228999999</v>
      </c>
      <c r="I1802">
        <v>1395.0126952999999</v>
      </c>
      <c r="J1802">
        <v>1374.7243652</v>
      </c>
      <c r="K1802">
        <v>0</v>
      </c>
      <c r="L1802">
        <v>2400</v>
      </c>
      <c r="M1802">
        <v>2400</v>
      </c>
      <c r="N1802">
        <v>0</v>
      </c>
    </row>
    <row r="1803" spans="1:14" x14ac:dyDescent="0.25">
      <c r="A1803">
        <v>1283.166745</v>
      </c>
      <c r="B1803" s="1">
        <f>DATE(2013,11,4) + TIME(4,0,6)</f>
        <v>41582.16673611111</v>
      </c>
      <c r="C1803">
        <v>80</v>
      </c>
      <c r="D1803">
        <v>79.384201050000001</v>
      </c>
      <c r="E1803">
        <v>50</v>
      </c>
      <c r="F1803">
        <v>49.929588318</v>
      </c>
      <c r="G1803">
        <v>1304.8897704999999</v>
      </c>
      <c r="H1803">
        <v>1292.2548827999999</v>
      </c>
      <c r="I1803">
        <v>1395.2918701000001</v>
      </c>
      <c r="J1803">
        <v>1375.0390625</v>
      </c>
      <c r="K1803">
        <v>0</v>
      </c>
      <c r="L1803">
        <v>2400</v>
      </c>
      <c r="M1803">
        <v>2400</v>
      </c>
      <c r="N1803">
        <v>0</v>
      </c>
    </row>
    <row r="1804" spans="1:14" x14ac:dyDescent="0.25">
      <c r="A1804">
        <v>1283.43586</v>
      </c>
      <c r="B1804" s="1">
        <f>DATE(2013,11,4) + TIME(10,27,38)</f>
        <v>41582.435856481483</v>
      </c>
      <c r="C1804">
        <v>80</v>
      </c>
      <c r="D1804">
        <v>79.353034973000007</v>
      </c>
      <c r="E1804">
        <v>50</v>
      </c>
      <c r="F1804">
        <v>49.941486359000002</v>
      </c>
      <c r="G1804">
        <v>1304.6079102000001</v>
      </c>
      <c r="H1804">
        <v>1291.9716797000001</v>
      </c>
      <c r="I1804">
        <v>1395.5286865</v>
      </c>
      <c r="J1804">
        <v>1375.3084716999999</v>
      </c>
      <c r="K1804">
        <v>0</v>
      </c>
      <c r="L1804">
        <v>2400</v>
      </c>
      <c r="M1804">
        <v>2400</v>
      </c>
      <c r="N1804">
        <v>0</v>
      </c>
    </row>
    <row r="1805" spans="1:14" x14ac:dyDescent="0.25">
      <c r="A1805">
        <v>1283.723984</v>
      </c>
      <c r="B1805" s="1">
        <f>DATE(2013,11,4) + TIME(17,22,32)</f>
        <v>41582.723981481482</v>
      </c>
      <c r="C1805">
        <v>80</v>
      </c>
      <c r="D1805">
        <v>79.320251464999998</v>
      </c>
      <c r="E1805">
        <v>50</v>
      </c>
      <c r="F1805">
        <v>49.950702667000002</v>
      </c>
      <c r="G1805">
        <v>1304.3551024999999</v>
      </c>
      <c r="H1805">
        <v>1291.7176514</v>
      </c>
      <c r="I1805">
        <v>1395.7276611</v>
      </c>
      <c r="J1805">
        <v>1375.5377197</v>
      </c>
      <c r="K1805">
        <v>0</v>
      </c>
      <c r="L1805">
        <v>2400</v>
      </c>
      <c r="M1805">
        <v>2400</v>
      </c>
      <c r="N1805">
        <v>0</v>
      </c>
    </row>
    <row r="1806" spans="1:14" x14ac:dyDescent="0.25">
      <c r="A1806">
        <v>1284.0355689999999</v>
      </c>
      <c r="B1806" s="1">
        <f>DATE(2013,11,5) + TIME(0,51,13)</f>
        <v>41583.035567129627</v>
      </c>
      <c r="C1806">
        <v>80</v>
      </c>
      <c r="D1806">
        <v>79.285476685000006</v>
      </c>
      <c r="E1806">
        <v>50</v>
      </c>
      <c r="F1806">
        <v>49.957759856999999</v>
      </c>
      <c r="G1806">
        <v>1304.1281738</v>
      </c>
      <c r="H1806">
        <v>1291.4891356999999</v>
      </c>
      <c r="I1806">
        <v>1395.8922118999999</v>
      </c>
      <c r="J1806">
        <v>1375.7307129000001</v>
      </c>
      <c r="K1806">
        <v>0</v>
      </c>
      <c r="L1806">
        <v>2400</v>
      </c>
      <c r="M1806">
        <v>2400</v>
      </c>
      <c r="N1806">
        <v>0</v>
      </c>
    </row>
    <row r="1807" spans="1:14" x14ac:dyDescent="0.25">
      <c r="A1807">
        <v>1284.3731230000001</v>
      </c>
      <c r="B1807" s="1">
        <f>DATE(2013,11,5) + TIME(8,57,17)</f>
        <v>41583.373113425929</v>
      </c>
      <c r="C1807">
        <v>80</v>
      </c>
      <c r="D1807">
        <v>79.248474121000001</v>
      </c>
      <c r="E1807">
        <v>50</v>
      </c>
      <c r="F1807">
        <v>49.963050842000001</v>
      </c>
      <c r="G1807">
        <v>1303.9256591999999</v>
      </c>
      <c r="H1807">
        <v>1291.2851562000001</v>
      </c>
      <c r="I1807">
        <v>1396.0231934000001</v>
      </c>
      <c r="J1807">
        <v>1375.8890381000001</v>
      </c>
      <c r="K1807">
        <v>0</v>
      </c>
      <c r="L1807">
        <v>2400</v>
      </c>
      <c r="M1807">
        <v>2400</v>
      </c>
      <c r="N1807">
        <v>0</v>
      </c>
    </row>
    <row r="1808" spans="1:14" x14ac:dyDescent="0.25">
      <c r="A1808">
        <v>1284.738713</v>
      </c>
      <c r="B1808" s="1">
        <f>DATE(2013,11,5) + TIME(17,43,44)</f>
        <v>41583.738703703704</v>
      </c>
      <c r="C1808">
        <v>80</v>
      </c>
      <c r="D1808">
        <v>79.209053040000001</v>
      </c>
      <c r="E1808">
        <v>50</v>
      </c>
      <c r="F1808">
        <v>49.966922760000003</v>
      </c>
      <c r="G1808">
        <v>1303.746582</v>
      </c>
      <c r="H1808">
        <v>1291.1043701000001</v>
      </c>
      <c r="I1808">
        <v>1396.1223144999999</v>
      </c>
      <c r="J1808">
        <v>1376.0144043</v>
      </c>
      <c r="K1808">
        <v>0</v>
      </c>
      <c r="L1808">
        <v>2400</v>
      </c>
      <c r="M1808">
        <v>2400</v>
      </c>
      <c r="N1808">
        <v>0</v>
      </c>
    </row>
    <row r="1809" spans="1:14" x14ac:dyDescent="0.25">
      <c r="A1809">
        <v>1285.1390719999999</v>
      </c>
      <c r="B1809" s="1">
        <f>DATE(2013,11,6) + TIME(3,20,15)</f>
        <v>41584.139062499999</v>
      </c>
      <c r="C1809">
        <v>80</v>
      </c>
      <c r="D1809">
        <v>79.166694641000007</v>
      </c>
      <c r="E1809">
        <v>50</v>
      </c>
      <c r="F1809">
        <v>49.969715118000003</v>
      </c>
      <c r="G1809">
        <v>1303.5881348</v>
      </c>
      <c r="H1809">
        <v>1290.9440918</v>
      </c>
      <c r="I1809">
        <v>1396.1926269999999</v>
      </c>
      <c r="J1809">
        <v>1376.1102295000001</v>
      </c>
      <c r="K1809">
        <v>0</v>
      </c>
      <c r="L1809">
        <v>2400</v>
      </c>
      <c r="M1809">
        <v>2400</v>
      </c>
      <c r="N1809">
        <v>0</v>
      </c>
    </row>
    <row r="1810" spans="1:14" x14ac:dyDescent="0.25">
      <c r="A1810">
        <v>1285.5826079999999</v>
      </c>
      <c r="B1810" s="1">
        <f>DATE(2013,11,6) + TIME(13,58,57)</f>
        <v>41584.582604166666</v>
      </c>
      <c r="C1810">
        <v>80</v>
      </c>
      <c r="D1810">
        <v>79.120758057000003</v>
      </c>
      <c r="E1810">
        <v>50</v>
      </c>
      <c r="F1810">
        <v>49.971687316999997</v>
      </c>
      <c r="G1810">
        <v>1303.447876</v>
      </c>
      <c r="H1810">
        <v>1290.8018798999999</v>
      </c>
      <c r="I1810">
        <v>1396.2362060999999</v>
      </c>
      <c r="J1810">
        <v>1376.1790771000001</v>
      </c>
      <c r="K1810">
        <v>0</v>
      </c>
      <c r="L1810">
        <v>2400</v>
      </c>
      <c r="M1810">
        <v>2400</v>
      </c>
      <c r="N1810">
        <v>0</v>
      </c>
    </row>
    <row r="1811" spans="1:14" x14ac:dyDescent="0.25">
      <c r="A1811">
        <v>1286.032692</v>
      </c>
      <c r="B1811" s="1">
        <f>DATE(2013,11,7) + TIME(0,47,4)</f>
        <v>41585.032685185186</v>
      </c>
      <c r="C1811">
        <v>80</v>
      </c>
      <c r="D1811">
        <v>79.073471068999993</v>
      </c>
      <c r="E1811">
        <v>50</v>
      </c>
      <c r="F1811">
        <v>49.972957610999998</v>
      </c>
      <c r="G1811">
        <v>1303.3321533000001</v>
      </c>
      <c r="H1811">
        <v>1290.6842041</v>
      </c>
      <c r="I1811">
        <v>1396.2493896000001</v>
      </c>
      <c r="J1811">
        <v>1376.2174072</v>
      </c>
      <c r="K1811">
        <v>0</v>
      </c>
      <c r="L1811">
        <v>2400</v>
      </c>
      <c r="M1811">
        <v>2400</v>
      </c>
      <c r="N1811">
        <v>0</v>
      </c>
    </row>
    <row r="1812" spans="1:14" x14ac:dyDescent="0.25">
      <c r="A1812">
        <v>1286.492207</v>
      </c>
      <c r="B1812" s="1">
        <f>DATE(2013,11,7) + TIME(11,48,46)</f>
        <v>41585.492199074077</v>
      </c>
      <c r="C1812">
        <v>80</v>
      </c>
      <c r="D1812">
        <v>79.025054932000003</v>
      </c>
      <c r="E1812">
        <v>50</v>
      </c>
      <c r="F1812">
        <v>49.973785399999997</v>
      </c>
      <c r="G1812">
        <v>1303.2358397999999</v>
      </c>
      <c r="H1812">
        <v>1290.5856934000001</v>
      </c>
      <c r="I1812">
        <v>1396.2441406</v>
      </c>
      <c r="J1812">
        <v>1376.2357178</v>
      </c>
      <c r="K1812">
        <v>0</v>
      </c>
      <c r="L1812">
        <v>2400</v>
      </c>
      <c r="M1812">
        <v>2400</v>
      </c>
      <c r="N1812">
        <v>0</v>
      </c>
    </row>
    <row r="1813" spans="1:14" x14ac:dyDescent="0.25">
      <c r="A1813">
        <v>1286.9673780000001</v>
      </c>
      <c r="B1813" s="1">
        <f>DATE(2013,11,7) + TIME(23,13,1)</f>
        <v>41585.967372685183</v>
      </c>
      <c r="C1813">
        <v>80</v>
      </c>
      <c r="D1813">
        <v>78.975334167</v>
      </c>
      <c r="E1813">
        <v>50</v>
      </c>
      <c r="F1813">
        <v>49.974330901999998</v>
      </c>
      <c r="G1813">
        <v>1303.1540527</v>
      </c>
      <c r="H1813">
        <v>1290.5015868999999</v>
      </c>
      <c r="I1813">
        <v>1396.2255858999999</v>
      </c>
      <c r="J1813">
        <v>1376.2392577999999</v>
      </c>
      <c r="K1813">
        <v>0</v>
      </c>
      <c r="L1813">
        <v>2400</v>
      </c>
      <c r="M1813">
        <v>2400</v>
      </c>
      <c r="N1813">
        <v>0</v>
      </c>
    </row>
    <row r="1814" spans="1:14" x14ac:dyDescent="0.25">
      <c r="A1814">
        <v>1287.464377</v>
      </c>
      <c r="B1814" s="1">
        <f>DATE(2013,11,8) + TIME(11,8,42)</f>
        <v>41586.464375000003</v>
      </c>
      <c r="C1814">
        <v>80</v>
      </c>
      <c r="D1814">
        <v>78.923995972</v>
      </c>
      <c r="E1814">
        <v>50</v>
      </c>
      <c r="F1814">
        <v>49.974689484000002</v>
      </c>
      <c r="G1814">
        <v>1303.0832519999999</v>
      </c>
      <c r="H1814">
        <v>1290.4283447</v>
      </c>
      <c r="I1814">
        <v>1396.1965332</v>
      </c>
      <c r="J1814">
        <v>1376.2313231999999</v>
      </c>
      <c r="K1814">
        <v>0</v>
      </c>
      <c r="L1814">
        <v>2400</v>
      </c>
      <c r="M1814">
        <v>2400</v>
      </c>
      <c r="N1814">
        <v>0</v>
      </c>
    </row>
    <row r="1815" spans="1:14" x14ac:dyDescent="0.25">
      <c r="A1815">
        <v>1287.978689</v>
      </c>
      <c r="B1815" s="1">
        <f>DATE(2013,11,8) + TIME(23,29,18)</f>
        <v>41586.978680555556</v>
      </c>
      <c r="C1815">
        <v>80</v>
      </c>
      <c r="D1815">
        <v>78.871269225999995</v>
      </c>
      <c r="E1815">
        <v>50</v>
      </c>
      <c r="F1815">
        <v>49.974929809999999</v>
      </c>
      <c r="G1815">
        <v>1303.0216064000001</v>
      </c>
      <c r="H1815">
        <v>1290.3641356999999</v>
      </c>
      <c r="I1815">
        <v>1396.1589355000001</v>
      </c>
      <c r="J1815">
        <v>1376.2143555</v>
      </c>
      <c r="K1815">
        <v>0</v>
      </c>
      <c r="L1815">
        <v>2400</v>
      </c>
      <c r="M1815">
        <v>2400</v>
      </c>
      <c r="N1815">
        <v>0</v>
      </c>
    </row>
    <row r="1816" spans="1:14" x14ac:dyDescent="0.25">
      <c r="A1816">
        <v>1288.5157850000001</v>
      </c>
      <c r="B1816" s="1">
        <f>DATE(2013,11,9) + TIME(12,22,43)</f>
        <v>41587.515775462962</v>
      </c>
      <c r="C1816">
        <v>80</v>
      </c>
      <c r="D1816">
        <v>78.816909789999997</v>
      </c>
      <c r="E1816">
        <v>50</v>
      </c>
      <c r="F1816">
        <v>49.975090027</v>
      </c>
      <c r="G1816">
        <v>1302.9669189000001</v>
      </c>
      <c r="H1816">
        <v>1290.3066406</v>
      </c>
      <c r="I1816">
        <v>1396.1157227000001</v>
      </c>
      <c r="J1816">
        <v>1376.1910399999999</v>
      </c>
      <c r="K1816">
        <v>0</v>
      </c>
      <c r="L1816">
        <v>2400</v>
      </c>
      <c r="M1816">
        <v>2400</v>
      </c>
      <c r="N1816">
        <v>0</v>
      </c>
    </row>
    <row r="1817" spans="1:14" x14ac:dyDescent="0.25">
      <c r="A1817">
        <v>1289.0815660000001</v>
      </c>
      <c r="B1817" s="1">
        <f>DATE(2013,11,10) + TIME(1,57,27)</f>
        <v>41588.081562500003</v>
      </c>
      <c r="C1817">
        <v>80</v>
      </c>
      <c r="D1817">
        <v>78.760520935000002</v>
      </c>
      <c r="E1817">
        <v>50</v>
      </c>
      <c r="F1817">
        <v>49.975200653000002</v>
      </c>
      <c r="G1817">
        <v>1302.9173584</v>
      </c>
      <c r="H1817">
        <v>1290.2539062000001</v>
      </c>
      <c r="I1817">
        <v>1396.0681152</v>
      </c>
      <c r="J1817">
        <v>1376.1628418</v>
      </c>
      <c r="K1817">
        <v>0</v>
      </c>
      <c r="L1817">
        <v>2400</v>
      </c>
      <c r="M1817">
        <v>2400</v>
      </c>
      <c r="N1817">
        <v>0</v>
      </c>
    </row>
    <row r="1818" spans="1:14" x14ac:dyDescent="0.25">
      <c r="A1818">
        <v>1289.682955</v>
      </c>
      <c r="B1818" s="1">
        <f>DATE(2013,11,10) + TIME(16,23,27)</f>
        <v>41588.682951388888</v>
      </c>
      <c r="C1818">
        <v>80</v>
      </c>
      <c r="D1818">
        <v>78.701629639000004</v>
      </c>
      <c r="E1818">
        <v>50</v>
      </c>
      <c r="F1818">
        <v>49.975276946999998</v>
      </c>
      <c r="G1818">
        <v>1302.8712158000001</v>
      </c>
      <c r="H1818">
        <v>1290.2044678</v>
      </c>
      <c r="I1818">
        <v>1396.0170897999999</v>
      </c>
      <c r="J1818">
        <v>1376.1309814000001</v>
      </c>
      <c r="K1818">
        <v>0</v>
      </c>
      <c r="L1818">
        <v>2400</v>
      </c>
      <c r="M1818">
        <v>2400</v>
      </c>
      <c r="N1818">
        <v>0</v>
      </c>
    </row>
    <row r="1819" spans="1:14" x14ac:dyDescent="0.25">
      <c r="A1819">
        <v>1290.3286149999999</v>
      </c>
      <c r="B1819" s="1">
        <f>DATE(2013,11,11) + TIME(7,53,12)</f>
        <v>41589.328611111108</v>
      </c>
      <c r="C1819">
        <v>80</v>
      </c>
      <c r="D1819">
        <v>78.639633179</v>
      </c>
      <c r="E1819">
        <v>50</v>
      </c>
      <c r="F1819">
        <v>49.975330352999997</v>
      </c>
      <c r="G1819">
        <v>1302.8273925999999</v>
      </c>
      <c r="H1819">
        <v>1290.1571045000001</v>
      </c>
      <c r="I1819">
        <v>1395.9632568</v>
      </c>
      <c r="J1819">
        <v>1376.0960693</v>
      </c>
      <c r="K1819">
        <v>0</v>
      </c>
      <c r="L1819">
        <v>2400</v>
      </c>
      <c r="M1819">
        <v>2400</v>
      </c>
      <c r="N1819">
        <v>0</v>
      </c>
    </row>
    <row r="1820" spans="1:14" x14ac:dyDescent="0.25">
      <c r="A1820">
        <v>1291.0270230000001</v>
      </c>
      <c r="B1820" s="1">
        <f>DATE(2013,11,12) + TIME(0,38,54)</f>
        <v>41590.027013888888</v>
      </c>
      <c r="C1820">
        <v>80</v>
      </c>
      <c r="D1820">
        <v>78.573890685999999</v>
      </c>
      <c r="E1820">
        <v>50</v>
      </c>
      <c r="F1820">
        <v>49.975372313999998</v>
      </c>
      <c r="G1820">
        <v>1302.784668</v>
      </c>
      <c r="H1820">
        <v>1290.1103516000001</v>
      </c>
      <c r="I1820">
        <v>1395.9068603999999</v>
      </c>
      <c r="J1820">
        <v>1376.0588379000001</v>
      </c>
      <c r="K1820">
        <v>0</v>
      </c>
      <c r="L1820">
        <v>2400</v>
      </c>
      <c r="M1820">
        <v>2400</v>
      </c>
      <c r="N1820">
        <v>0</v>
      </c>
    </row>
    <row r="1821" spans="1:14" x14ac:dyDescent="0.25">
      <c r="A1821">
        <v>1291.740499</v>
      </c>
      <c r="B1821" s="1">
        <f>DATE(2013,11,12) + TIME(17,46,19)</f>
        <v>41590.740497685183</v>
      </c>
      <c r="C1821">
        <v>80</v>
      </c>
      <c r="D1821">
        <v>78.505989075000002</v>
      </c>
      <c r="E1821">
        <v>50</v>
      </c>
      <c r="F1821">
        <v>49.975395202999998</v>
      </c>
      <c r="G1821">
        <v>1302.7432861</v>
      </c>
      <c r="H1821">
        <v>1290.0645752</v>
      </c>
      <c r="I1821">
        <v>1395.8486327999999</v>
      </c>
      <c r="J1821">
        <v>1376.0198975000001</v>
      </c>
      <c r="K1821">
        <v>0</v>
      </c>
      <c r="L1821">
        <v>2400</v>
      </c>
      <c r="M1821">
        <v>2400</v>
      </c>
      <c r="N1821">
        <v>0</v>
      </c>
    </row>
    <row r="1822" spans="1:14" x14ac:dyDescent="0.25">
      <c r="A1822">
        <v>1292.47064</v>
      </c>
      <c r="B1822" s="1">
        <f>DATE(2013,11,13) + TIME(11,17,43)</f>
        <v>41591.470636574071</v>
      </c>
      <c r="C1822">
        <v>80</v>
      </c>
      <c r="D1822">
        <v>78.436561584000003</v>
      </c>
      <c r="E1822">
        <v>50</v>
      </c>
      <c r="F1822">
        <v>49.975414276000002</v>
      </c>
      <c r="G1822">
        <v>1302.7032471</v>
      </c>
      <c r="H1822">
        <v>1290.0198975000001</v>
      </c>
      <c r="I1822">
        <v>1395.7919922000001</v>
      </c>
      <c r="J1822">
        <v>1375.9816894999999</v>
      </c>
      <c r="K1822">
        <v>0</v>
      </c>
      <c r="L1822">
        <v>2400</v>
      </c>
      <c r="M1822">
        <v>2400</v>
      </c>
      <c r="N1822">
        <v>0</v>
      </c>
    </row>
    <row r="1823" spans="1:14" x14ac:dyDescent="0.25">
      <c r="A1823">
        <v>1293.226568</v>
      </c>
      <c r="B1823" s="1">
        <f>DATE(2013,11,14) + TIME(5,26,15)</f>
        <v>41592.2265625</v>
      </c>
      <c r="C1823">
        <v>80</v>
      </c>
      <c r="D1823">
        <v>78.365524292000003</v>
      </c>
      <c r="E1823">
        <v>50</v>
      </c>
      <c r="F1823">
        <v>49.975429535000004</v>
      </c>
      <c r="G1823">
        <v>1302.6638184000001</v>
      </c>
      <c r="H1823">
        <v>1289.9754639</v>
      </c>
      <c r="I1823">
        <v>1395.7370605000001</v>
      </c>
      <c r="J1823">
        <v>1375.9444579999999</v>
      </c>
      <c r="K1823">
        <v>0</v>
      </c>
      <c r="L1823">
        <v>2400</v>
      </c>
      <c r="M1823">
        <v>2400</v>
      </c>
      <c r="N1823">
        <v>0</v>
      </c>
    </row>
    <row r="1824" spans="1:14" x14ac:dyDescent="0.25">
      <c r="A1824">
        <v>1294.0178940000001</v>
      </c>
      <c r="B1824" s="1">
        <f>DATE(2013,11,15) + TIME(0,25,46)</f>
        <v>41593.017893518518</v>
      </c>
      <c r="C1824">
        <v>80</v>
      </c>
      <c r="D1824">
        <v>78.292449950999995</v>
      </c>
      <c r="E1824">
        <v>50</v>
      </c>
      <c r="F1824">
        <v>49.975437163999999</v>
      </c>
      <c r="G1824">
        <v>1302.6243896000001</v>
      </c>
      <c r="H1824">
        <v>1289.9304199000001</v>
      </c>
      <c r="I1824">
        <v>1395.6833495999999</v>
      </c>
      <c r="J1824">
        <v>1375.9079589999999</v>
      </c>
      <c r="K1824">
        <v>0</v>
      </c>
      <c r="L1824">
        <v>2400</v>
      </c>
      <c r="M1824">
        <v>2400</v>
      </c>
      <c r="N1824">
        <v>0</v>
      </c>
    </row>
    <row r="1825" spans="1:14" x14ac:dyDescent="0.25">
      <c r="A1825">
        <v>1294.834349</v>
      </c>
      <c r="B1825" s="1">
        <f>DATE(2013,11,15) + TIME(20,1,27)</f>
        <v>41593.834340277775</v>
      </c>
      <c r="C1825">
        <v>80</v>
      </c>
      <c r="D1825">
        <v>78.217628478999998</v>
      </c>
      <c r="E1825">
        <v>50</v>
      </c>
      <c r="F1825">
        <v>49.975444793999998</v>
      </c>
      <c r="G1825">
        <v>1302.5843506000001</v>
      </c>
      <c r="H1825">
        <v>1289.8843993999999</v>
      </c>
      <c r="I1825">
        <v>1395.6304932</v>
      </c>
      <c r="J1825">
        <v>1375.8719481999999</v>
      </c>
      <c r="K1825">
        <v>0</v>
      </c>
      <c r="L1825">
        <v>2400</v>
      </c>
      <c r="M1825">
        <v>2400</v>
      </c>
      <c r="N1825">
        <v>0</v>
      </c>
    </row>
    <row r="1826" spans="1:14" x14ac:dyDescent="0.25">
      <c r="A1826">
        <v>1295.677432</v>
      </c>
      <c r="B1826" s="1">
        <f>DATE(2013,11,16) + TIME(16,15,30)</f>
        <v>41594.677430555559</v>
      </c>
      <c r="C1826">
        <v>80</v>
      </c>
      <c r="D1826">
        <v>78.141181946000003</v>
      </c>
      <c r="E1826">
        <v>50</v>
      </c>
      <c r="F1826">
        <v>49.975448608000001</v>
      </c>
      <c r="G1826">
        <v>1302.5435791</v>
      </c>
      <c r="H1826">
        <v>1289.8371582</v>
      </c>
      <c r="I1826">
        <v>1395.5791016000001</v>
      </c>
      <c r="J1826">
        <v>1375.8367920000001</v>
      </c>
      <c r="K1826">
        <v>0</v>
      </c>
      <c r="L1826">
        <v>2400</v>
      </c>
      <c r="M1826">
        <v>2400</v>
      </c>
      <c r="N1826">
        <v>0</v>
      </c>
    </row>
    <row r="1827" spans="1:14" x14ac:dyDescent="0.25">
      <c r="A1827">
        <v>1296.5559949999999</v>
      </c>
      <c r="B1827" s="1">
        <f>DATE(2013,11,17) + TIME(13,20,37)</f>
        <v>41595.555983796294</v>
      </c>
      <c r="C1827">
        <v>80</v>
      </c>
      <c r="D1827">
        <v>78.062820435000006</v>
      </c>
      <c r="E1827">
        <v>50</v>
      </c>
      <c r="F1827">
        <v>49.975452423</v>
      </c>
      <c r="G1827">
        <v>1302.5019531</v>
      </c>
      <c r="H1827">
        <v>1289.7883300999999</v>
      </c>
      <c r="I1827">
        <v>1395.5289307</v>
      </c>
      <c r="J1827">
        <v>1375.8024902</v>
      </c>
      <c r="K1827">
        <v>0</v>
      </c>
      <c r="L1827">
        <v>2400</v>
      </c>
      <c r="M1827">
        <v>2400</v>
      </c>
      <c r="N1827">
        <v>0</v>
      </c>
    </row>
    <row r="1828" spans="1:14" x14ac:dyDescent="0.25">
      <c r="A1828">
        <v>1297.4799499999999</v>
      </c>
      <c r="B1828" s="1">
        <f>DATE(2013,11,18) + TIME(11,31,7)</f>
        <v>41596.479942129627</v>
      </c>
      <c r="C1828">
        <v>80</v>
      </c>
      <c r="D1828">
        <v>77.982002257999994</v>
      </c>
      <c r="E1828">
        <v>50</v>
      </c>
      <c r="F1828">
        <v>49.975456238</v>
      </c>
      <c r="G1828">
        <v>1302.4584961</v>
      </c>
      <c r="H1828">
        <v>1289.7371826000001</v>
      </c>
      <c r="I1828">
        <v>1395.4796143000001</v>
      </c>
      <c r="J1828">
        <v>1375.7686768000001</v>
      </c>
      <c r="K1828">
        <v>0</v>
      </c>
      <c r="L1828">
        <v>2400</v>
      </c>
      <c r="M1828">
        <v>2400</v>
      </c>
      <c r="N1828">
        <v>0</v>
      </c>
    </row>
    <row r="1829" spans="1:14" x14ac:dyDescent="0.25">
      <c r="A1829">
        <v>1298.459944</v>
      </c>
      <c r="B1829" s="1">
        <f>DATE(2013,11,19) + TIME(11,2,19)</f>
        <v>41597.45994212963</v>
      </c>
      <c r="C1829">
        <v>80</v>
      </c>
      <c r="D1829">
        <v>77.898071289000001</v>
      </c>
      <c r="E1829">
        <v>50</v>
      </c>
      <c r="F1829">
        <v>49.975460052000003</v>
      </c>
      <c r="G1829">
        <v>1302.4129639</v>
      </c>
      <c r="H1829">
        <v>1289.6828613</v>
      </c>
      <c r="I1829">
        <v>1395.4306641000001</v>
      </c>
      <c r="J1829">
        <v>1375.7351074000001</v>
      </c>
      <c r="K1829">
        <v>0</v>
      </c>
      <c r="L1829">
        <v>2400</v>
      </c>
      <c r="M1829">
        <v>2400</v>
      </c>
      <c r="N1829">
        <v>0</v>
      </c>
    </row>
    <row r="1830" spans="1:14" x14ac:dyDescent="0.25">
      <c r="A1830">
        <v>1299.465954</v>
      </c>
      <c r="B1830" s="1">
        <f>DATE(2013,11,20) + TIME(11,10,58)</f>
        <v>41598.465949074074</v>
      </c>
      <c r="C1830">
        <v>80</v>
      </c>
      <c r="D1830">
        <v>77.811798096000004</v>
      </c>
      <c r="E1830">
        <v>50</v>
      </c>
      <c r="F1830">
        <v>49.975463867000002</v>
      </c>
      <c r="G1830">
        <v>1302.3647461</v>
      </c>
      <c r="H1830">
        <v>1289.6251221</v>
      </c>
      <c r="I1830">
        <v>1395.3818358999999</v>
      </c>
      <c r="J1830">
        <v>1375.7015381000001</v>
      </c>
      <c r="K1830">
        <v>0</v>
      </c>
      <c r="L1830">
        <v>2400</v>
      </c>
      <c r="M1830">
        <v>2400</v>
      </c>
      <c r="N1830">
        <v>0</v>
      </c>
    </row>
    <row r="1831" spans="1:14" x14ac:dyDescent="0.25">
      <c r="A1831">
        <v>1300.5118829999999</v>
      </c>
      <c r="B1831" s="1">
        <f>DATE(2013,11,21) + TIME(12,17,6)</f>
        <v>41599.511874999997</v>
      </c>
      <c r="C1831">
        <v>80</v>
      </c>
      <c r="D1831">
        <v>77.723381042</v>
      </c>
      <c r="E1831">
        <v>50</v>
      </c>
      <c r="F1831">
        <v>49.975463867000002</v>
      </c>
      <c r="G1831">
        <v>1302.3146973</v>
      </c>
      <c r="H1831">
        <v>1289.5645752</v>
      </c>
      <c r="I1831">
        <v>1395.3342285000001</v>
      </c>
      <c r="J1831">
        <v>1375.6687012</v>
      </c>
      <c r="K1831">
        <v>0</v>
      </c>
      <c r="L1831">
        <v>2400</v>
      </c>
      <c r="M1831">
        <v>2400</v>
      </c>
      <c r="N1831">
        <v>0</v>
      </c>
    </row>
    <row r="1832" spans="1:14" x14ac:dyDescent="0.25">
      <c r="A1832">
        <v>1301.6123419999999</v>
      </c>
      <c r="B1832" s="1">
        <f>DATE(2013,11,22) + TIME(14,41,46)</f>
        <v>41600.612337962964</v>
      </c>
      <c r="C1832">
        <v>80</v>
      </c>
      <c r="D1832">
        <v>77.632293700999995</v>
      </c>
      <c r="E1832">
        <v>50</v>
      </c>
      <c r="F1832">
        <v>49.975471497000001</v>
      </c>
      <c r="G1832">
        <v>1302.2619629000001</v>
      </c>
      <c r="H1832">
        <v>1289.5003661999999</v>
      </c>
      <c r="I1832">
        <v>1395.2873535000001</v>
      </c>
      <c r="J1832">
        <v>1375.6362305</v>
      </c>
      <c r="K1832">
        <v>0</v>
      </c>
      <c r="L1832">
        <v>2400</v>
      </c>
      <c r="M1832">
        <v>2400</v>
      </c>
      <c r="N1832">
        <v>0</v>
      </c>
    </row>
    <row r="1833" spans="1:14" x14ac:dyDescent="0.25">
      <c r="A1833">
        <v>1302.7516479999999</v>
      </c>
      <c r="B1833" s="1">
        <f>DATE(2013,11,23) + TIME(18,2,22)</f>
        <v>41601.751643518517</v>
      </c>
      <c r="C1833">
        <v>80</v>
      </c>
      <c r="D1833">
        <v>77.538711547999995</v>
      </c>
      <c r="E1833">
        <v>50</v>
      </c>
      <c r="F1833">
        <v>49.975475310999997</v>
      </c>
      <c r="G1833">
        <v>1302.2059326000001</v>
      </c>
      <c r="H1833">
        <v>1289.4316406</v>
      </c>
      <c r="I1833">
        <v>1395.2407227000001</v>
      </c>
      <c r="J1833">
        <v>1375.6038818</v>
      </c>
      <c r="K1833">
        <v>0</v>
      </c>
      <c r="L1833">
        <v>2400</v>
      </c>
      <c r="M1833">
        <v>2400</v>
      </c>
      <c r="N1833">
        <v>0</v>
      </c>
    </row>
    <row r="1834" spans="1:14" x14ac:dyDescent="0.25">
      <c r="A1834">
        <v>1303.913511</v>
      </c>
      <c r="B1834" s="1">
        <f>DATE(2013,11,24) + TIME(21,55,27)</f>
        <v>41602.913506944446</v>
      </c>
      <c r="C1834">
        <v>80</v>
      </c>
      <c r="D1834">
        <v>77.443534850999995</v>
      </c>
      <c r="E1834">
        <v>50</v>
      </c>
      <c r="F1834">
        <v>49.975479126000003</v>
      </c>
      <c r="G1834">
        <v>1302.1472168</v>
      </c>
      <c r="H1834">
        <v>1289.3591309000001</v>
      </c>
      <c r="I1834">
        <v>1395.1948242000001</v>
      </c>
      <c r="J1834">
        <v>1375.5718993999999</v>
      </c>
      <c r="K1834">
        <v>0</v>
      </c>
      <c r="L1834">
        <v>2400</v>
      </c>
      <c r="M1834">
        <v>2400</v>
      </c>
      <c r="N1834">
        <v>0</v>
      </c>
    </row>
    <row r="1835" spans="1:14" x14ac:dyDescent="0.25">
      <c r="A1835">
        <v>1305.105949</v>
      </c>
      <c r="B1835" s="1">
        <f>DATE(2013,11,26) + TIME(2,32,34)</f>
        <v>41604.105949074074</v>
      </c>
      <c r="C1835">
        <v>80</v>
      </c>
      <c r="D1835">
        <v>77.347160338999998</v>
      </c>
      <c r="E1835">
        <v>50</v>
      </c>
      <c r="F1835">
        <v>49.975482941000003</v>
      </c>
      <c r="G1835">
        <v>1302.0861815999999</v>
      </c>
      <c r="H1835">
        <v>1289.2829589999999</v>
      </c>
      <c r="I1835">
        <v>1395.1502685999999</v>
      </c>
      <c r="J1835">
        <v>1375.5406493999999</v>
      </c>
      <c r="K1835">
        <v>0</v>
      </c>
      <c r="L1835">
        <v>2400</v>
      </c>
      <c r="M1835">
        <v>2400</v>
      </c>
      <c r="N1835">
        <v>0</v>
      </c>
    </row>
    <row r="1836" spans="1:14" x14ac:dyDescent="0.25">
      <c r="A1836">
        <v>1306.327164</v>
      </c>
      <c r="B1836" s="1">
        <f>DATE(2013,11,27) + TIME(7,51,6)</f>
        <v>41605.327152777776</v>
      </c>
      <c r="C1836">
        <v>80</v>
      </c>
      <c r="D1836">
        <v>77.249702454000001</v>
      </c>
      <c r="E1836">
        <v>50</v>
      </c>
      <c r="F1836">
        <v>49.975490569999998</v>
      </c>
      <c r="G1836">
        <v>1302.0223389</v>
      </c>
      <c r="H1836">
        <v>1289.2028809000001</v>
      </c>
      <c r="I1836">
        <v>1395.1066894999999</v>
      </c>
      <c r="J1836">
        <v>1375.5100098</v>
      </c>
      <c r="K1836">
        <v>0</v>
      </c>
      <c r="L1836">
        <v>2400</v>
      </c>
      <c r="M1836">
        <v>2400</v>
      </c>
      <c r="N1836">
        <v>0</v>
      </c>
    </row>
    <row r="1837" spans="1:14" x14ac:dyDescent="0.25">
      <c r="A1837">
        <v>1307.5802169999999</v>
      </c>
      <c r="B1837" s="1">
        <f>DATE(2013,11,28) + TIME(13,55,30)</f>
        <v>41606.580208333333</v>
      </c>
      <c r="C1837">
        <v>80</v>
      </c>
      <c r="D1837">
        <v>77.151176453000005</v>
      </c>
      <c r="E1837">
        <v>50</v>
      </c>
      <c r="F1837">
        <v>49.975498199</v>
      </c>
      <c r="G1837">
        <v>1301.9558105000001</v>
      </c>
      <c r="H1837">
        <v>1289.1187743999999</v>
      </c>
      <c r="I1837">
        <v>1395.0640868999999</v>
      </c>
      <c r="J1837">
        <v>1375.4799805</v>
      </c>
      <c r="K1837">
        <v>0</v>
      </c>
      <c r="L1837">
        <v>2400</v>
      </c>
      <c r="M1837">
        <v>2400</v>
      </c>
      <c r="N1837">
        <v>0</v>
      </c>
    </row>
    <row r="1838" spans="1:14" x14ac:dyDescent="0.25">
      <c r="A1838">
        <v>1308.8681509999999</v>
      </c>
      <c r="B1838" s="1">
        <f>DATE(2013,11,29) + TIME(20,50,8)</f>
        <v>41607.868148148147</v>
      </c>
      <c r="C1838">
        <v>80</v>
      </c>
      <c r="D1838">
        <v>77.051483153999996</v>
      </c>
      <c r="E1838">
        <v>50</v>
      </c>
      <c r="F1838">
        <v>49.975505828999999</v>
      </c>
      <c r="G1838">
        <v>1301.8862305</v>
      </c>
      <c r="H1838">
        <v>1289.0301514</v>
      </c>
      <c r="I1838">
        <v>1395.0223389</v>
      </c>
      <c r="J1838">
        <v>1375.4501952999999</v>
      </c>
      <c r="K1838">
        <v>0</v>
      </c>
      <c r="L1838">
        <v>2400</v>
      </c>
      <c r="M1838">
        <v>2400</v>
      </c>
      <c r="N1838">
        <v>0</v>
      </c>
    </row>
    <row r="1839" spans="1:14" x14ac:dyDescent="0.25">
      <c r="A1839">
        <v>1310</v>
      </c>
      <c r="B1839" s="1">
        <f>DATE(2013,12,1) + TIME(0,0,0)</f>
        <v>41609</v>
      </c>
      <c r="C1839">
        <v>80</v>
      </c>
      <c r="D1839">
        <v>76.956565857000001</v>
      </c>
      <c r="E1839">
        <v>50</v>
      </c>
      <c r="F1839">
        <v>49.975509643999999</v>
      </c>
      <c r="G1839">
        <v>1301.8151855000001</v>
      </c>
      <c r="H1839">
        <v>1288.9395752</v>
      </c>
      <c r="I1839">
        <v>1394.9816894999999</v>
      </c>
      <c r="J1839">
        <v>1375.4212646000001</v>
      </c>
      <c r="K1839">
        <v>0</v>
      </c>
      <c r="L1839">
        <v>2400</v>
      </c>
      <c r="M1839">
        <v>2400</v>
      </c>
      <c r="N1839">
        <v>0</v>
      </c>
    </row>
    <row r="1840" spans="1:14" x14ac:dyDescent="0.25">
      <c r="A1840">
        <v>1311.318299</v>
      </c>
      <c r="B1840" s="1">
        <f>DATE(2013,12,2) + TIME(7,38,21)</f>
        <v>41610.318298611113</v>
      </c>
      <c r="C1840">
        <v>80</v>
      </c>
      <c r="D1840">
        <v>76.860862732000001</v>
      </c>
      <c r="E1840">
        <v>50</v>
      </c>
      <c r="F1840">
        <v>49.975524901999997</v>
      </c>
      <c r="G1840">
        <v>1301.7471923999999</v>
      </c>
      <c r="H1840">
        <v>1288.8511963000001</v>
      </c>
      <c r="I1840">
        <v>1394.9464111</v>
      </c>
      <c r="J1840">
        <v>1375.395874</v>
      </c>
      <c r="K1840">
        <v>0</v>
      </c>
      <c r="L1840">
        <v>2400</v>
      </c>
      <c r="M1840">
        <v>2400</v>
      </c>
      <c r="N1840">
        <v>0</v>
      </c>
    </row>
    <row r="1841" spans="1:14" x14ac:dyDescent="0.25">
      <c r="A1841">
        <v>1312.6849500000001</v>
      </c>
      <c r="B1841" s="1">
        <f>DATE(2013,12,3) + TIME(16,26,19)</f>
        <v>41611.684942129628</v>
      </c>
      <c r="C1841">
        <v>80</v>
      </c>
      <c r="D1841">
        <v>76.761283875000004</v>
      </c>
      <c r="E1841">
        <v>50</v>
      </c>
      <c r="F1841">
        <v>49.975532532000003</v>
      </c>
      <c r="G1841">
        <v>1301.6702881000001</v>
      </c>
      <c r="H1841">
        <v>1288.7517089999999</v>
      </c>
      <c r="I1841">
        <v>1394.9077147999999</v>
      </c>
      <c r="J1841">
        <v>1375.3679199000001</v>
      </c>
      <c r="K1841">
        <v>0</v>
      </c>
      <c r="L1841">
        <v>2400</v>
      </c>
      <c r="M1841">
        <v>2400</v>
      </c>
      <c r="N1841">
        <v>0</v>
      </c>
    </row>
    <row r="1842" spans="1:14" x14ac:dyDescent="0.25">
      <c r="A1842">
        <v>1314.0821539999999</v>
      </c>
      <c r="B1842" s="1">
        <f>DATE(2013,12,5) + TIME(1,58,18)</f>
        <v>41613.082152777781</v>
      </c>
      <c r="C1842">
        <v>80</v>
      </c>
      <c r="D1842">
        <v>76.659347534000005</v>
      </c>
      <c r="E1842">
        <v>50</v>
      </c>
      <c r="F1842">
        <v>49.975543975999997</v>
      </c>
      <c r="G1842">
        <v>1301.5888672000001</v>
      </c>
      <c r="H1842">
        <v>1288.6456298999999</v>
      </c>
      <c r="I1842">
        <v>1394.8690185999999</v>
      </c>
      <c r="J1842">
        <v>1375.3397216999999</v>
      </c>
      <c r="K1842">
        <v>0</v>
      </c>
      <c r="L1842">
        <v>2400</v>
      </c>
      <c r="M1842">
        <v>2400</v>
      </c>
      <c r="N1842">
        <v>0</v>
      </c>
    </row>
    <row r="1843" spans="1:14" x14ac:dyDescent="0.25">
      <c r="A1843">
        <v>1315.51361</v>
      </c>
      <c r="B1843" s="1">
        <f>DATE(2013,12,6) + TIME(12,19,35)</f>
        <v>41614.513599537036</v>
      </c>
      <c r="C1843">
        <v>80</v>
      </c>
      <c r="D1843">
        <v>76.555915833</v>
      </c>
      <c r="E1843">
        <v>50</v>
      </c>
      <c r="F1843">
        <v>49.975559234999999</v>
      </c>
      <c r="G1843">
        <v>1301.5037841999999</v>
      </c>
      <c r="H1843">
        <v>1288.5341797000001</v>
      </c>
      <c r="I1843">
        <v>1394.8309326000001</v>
      </c>
      <c r="J1843">
        <v>1375.3120117000001</v>
      </c>
      <c r="K1843">
        <v>0</v>
      </c>
      <c r="L1843">
        <v>2400</v>
      </c>
      <c r="M1843">
        <v>2400</v>
      </c>
      <c r="N1843">
        <v>0</v>
      </c>
    </row>
    <row r="1844" spans="1:14" x14ac:dyDescent="0.25">
      <c r="A1844">
        <v>1316.972845</v>
      </c>
      <c r="B1844" s="1">
        <f>DATE(2013,12,7) + TIME(23,20,53)</f>
        <v>41615.97283564815</v>
      </c>
      <c r="C1844">
        <v>80</v>
      </c>
      <c r="D1844">
        <v>76.451431274000001</v>
      </c>
      <c r="E1844">
        <v>50</v>
      </c>
      <c r="F1844">
        <v>49.975570679</v>
      </c>
      <c r="G1844">
        <v>1301.4150391000001</v>
      </c>
      <c r="H1844">
        <v>1288.4172363</v>
      </c>
      <c r="I1844">
        <v>1394.793457</v>
      </c>
      <c r="J1844">
        <v>1375.2844238</v>
      </c>
      <c r="K1844">
        <v>0</v>
      </c>
      <c r="L1844">
        <v>2400</v>
      </c>
      <c r="M1844">
        <v>2400</v>
      </c>
      <c r="N1844">
        <v>0</v>
      </c>
    </row>
    <row r="1845" spans="1:14" x14ac:dyDescent="0.25">
      <c r="A1845">
        <v>1318.4565749999999</v>
      </c>
      <c r="B1845" s="1">
        <f>DATE(2013,12,9) + TIME(10,57,28)</f>
        <v>41617.456574074073</v>
      </c>
      <c r="C1845">
        <v>80</v>
      </c>
      <c r="D1845">
        <v>76.346282959000007</v>
      </c>
      <c r="E1845">
        <v>50</v>
      </c>
      <c r="F1845">
        <v>49.975585938000002</v>
      </c>
      <c r="G1845">
        <v>1301.322876</v>
      </c>
      <c r="H1845">
        <v>1288.2950439000001</v>
      </c>
      <c r="I1845">
        <v>1394.7565918</v>
      </c>
      <c r="J1845">
        <v>1375.2573242000001</v>
      </c>
      <c r="K1845">
        <v>0</v>
      </c>
      <c r="L1845">
        <v>2400</v>
      </c>
      <c r="M1845">
        <v>2400</v>
      </c>
      <c r="N1845">
        <v>0</v>
      </c>
    </row>
    <row r="1846" spans="1:14" x14ac:dyDescent="0.25">
      <c r="A1846">
        <v>1319.969122</v>
      </c>
      <c r="B1846" s="1">
        <f>DATE(2013,12,10) + TIME(23,15,32)</f>
        <v>41618.96912037037</v>
      </c>
      <c r="C1846">
        <v>80</v>
      </c>
      <c r="D1846">
        <v>76.240585327000005</v>
      </c>
      <c r="E1846">
        <v>50</v>
      </c>
      <c r="F1846">
        <v>49.975601196</v>
      </c>
      <c r="G1846">
        <v>1301.2272949000001</v>
      </c>
      <c r="H1846">
        <v>1288.1677245999999</v>
      </c>
      <c r="I1846">
        <v>1394.7205810999999</v>
      </c>
      <c r="J1846">
        <v>1375.2304687999999</v>
      </c>
      <c r="K1846">
        <v>0</v>
      </c>
      <c r="L1846">
        <v>2400</v>
      </c>
      <c r="M1846">
        <v>2400</v>
      </c>
      <c r="N1846">
        <v>0</v>
      </c>
    </row>
    <row r="1847" spans="1:14" x14ac:dyDescent="0.25">
      <c r="A1847">
        <v>1321.514146</v>
      </c>
      <c r="B1847" s="1">
        <f>DATE(2013,12,12) + TIME(12,20,22)</f>
        <v>41620.514143518521</v>
      </c>
      <c r="C1847">
        <v>80</v>
      </c>
      <c r="D1847">
        <v>76.134208678999997</v>
      </c>
      <c r="E1847">
        <v>50</v>
      </c>
      <c r="F1847">
        <v>49.975616455000001</v>
      </c>
      <c r="G1847">
        <v>1301.1280518000001</v>
      </c>
      <c r="H1847">
        <v>1288.0350341999999</v>
      </c>
      <c r="I1847">
        <v>1394.6850586</v>
      </c>
      <c r="J1847">
        <v>1375.2039795000001</v>
      </c>
      <c r="K1847">
        <v>0</v>
      </c>
      <c r="L1847">
        <v>2400</v>
      </c>
      <c r="M1847">
        <v>2400</v>
      </c>
      <c r="N1847">
        <v>0</v>
      </c>
    </row>
    <row r="1848" spans="1:14" x14ac:dyDescent="0.25">
      <c r="A1848">
        <v>1323.095307</v>
      </c>
      <c r="B1848" s="1">
        <f>DATE(2013,12,14) + TIME(2,17,14)</f>
        <v>41622.095300925925</v>
      </c>
      <c r="C1848">
        <v>80</v>
      </c>
      <c r="D1848">
        <v>76.026954650999997</v>
      </c>
      <c r="E1848">
        <v>50</v>
      </c>
      <c r="F1848">
        <v>49.975631714000002</v>
      </c>
      <c r="G1848">
        <v>1301.0249022999999</v>
      </c>
      <c r="H1848">
        <v>1287.8964844</v>
      </c>
      <c r="I1848">
        <v>1394.6500243999999</v>
      </c>
      <c r="J1848">
        <v>1375.1777344</v>
      </c>
      <c r="K1848">
        <v>0</v>
      </c>
      <c r="L1848">
        <v>2400</v>
      </c>
      <c r="M1848">
        <v>2400</v>
      </c>
      <c r="N1848">
        <v>0</v>
      </c>
    </row>
    <row r="1849" spans="1:14" x14ac:dyDescent="0.25">
      <c r="A1849">
        <v>1324.7163049999999</v>
      </c>
      <c r="B1849" s="1">
        <f>DATE(2013,12,15) + TIME(17,11,28)</f>
        <v>41623.716296296298</v>
      </c>
      <c r="C1849">
        <v>80</v>
      </c>
      <c r="D1849">
        <v>75.91859436</v>
      </c>
      <c r="E1849">
        <v>50</v>
      </c>
      <c r="F1849">
        <v>49.975650786999999</v>
      </c>
      <c r="G1849">
        <v>1300.9176024999999</v>
      </c>
      <c r="H1849">
        <v>1287.7515868999999</v>
      </c>
      <c r="I1849">
        <v>1394.6153564000001</v>
      </c>
      <c r="J1849">
        <v>1375.1516113</v>
      </c>
      <c r="K1849">
        <v>0</v>
      </c>
      <c r="L1849">
        <v>2400</v>
      </c>
      <c r="M1849">
        <v>2400</v>
      </c>
      <c r="N1849">
        <v>0</v>
      </c>
    </row>
    <row r="1850" spans="1:14" x14ac:dyDescent="0.25">
      <c r="A1850">
        <v>1326.3731560000001</v>
      </c>
      <c r="B1850" s="1">
        <f>DATE(2013,12,17) + TIME(8,57,20)</f>
        <v>41625.373148148145</v>
      </c>
      <c r="C1850">
        <v>80</v>
      </c>
      <c r="D1850">
        <v>75.809074401999993</v>
      </c>
      <c r="E1850">
        <v>50</v>
      </c>
      <c r="F1850">
        <v>49.975669861</v>
      </c>
      <c r="G1850">
        <v>1300.8059082</v>
      </c>
      <c r="H1850">
        <v>1287.6002197</v>
      </c>
      <c r="I1850">
        <v>1394.5810547000001</v>
      </c>
      <c r="J1850">
        <v>1375.1254882999999</v>
      </c>
      <c r="K1850">
        <v>0</v>
      </c>
      <c r="L1850">
        <v>2400</v>
      </c>
      <c r="M1850">
        <v>2400</v>
      </c>
      <c r="N1850">
        <v>0</v>
      </c>
    </row>
    <row r="1851" spans="1:14" x14ac:dyDescent="0.25">
      <c r="A1851">
        <v>1328.0632909999999</v>
      </c>
      <c r="B1851" s="1">
        <f>DATE(2013,12,19) + TIME(1,31,8)</f>
        <v>41627.063287037039</v>
      </c>
      <c r="C1851">
        <v>80</v>
      </c>
      <c r="D1851">
        <v>75.698532103999995</v>
      </c>
      <c r="E1851">
        <v>50</v>
      </c>
      <c r="F1851">
        <v>49.975688933999997</v>
      </c>
      <c r="G1851">
        <v>1300.6898193</v>
      </c>
      <c r="H1851">
        <v>1287.4422606999999</v>
      </c>
      <c r="I1851">
        <v>1394.5471190999999</v>
      </c>
      <c r="J1851">
        <v>1375.0996094</v>
      </c>
      <c r="K1851">
        <v>0</v>
      </c>
      <c r="L1851">
        <v>2400</v>
      </c>
      <c r="M1851">
        <v>2400</v>
      </c>
      <c r="N1851">
        <v>0</v>
      </c>
    </row>
    <row r="1852" spans="1:14" x14ac:dyDescent="0.25">
      <c r="A1852">
        <v>1329.7845050000001</v>
      </c>
      <c r="B1852" s="1">
        <f>DATE(2013,12,20) + TIME(18,49,41)</f>
        <v>41628.784502314818</v>
      </c>
      <c r="C1852">
        <v>80</v>
      </c>
      <c r="D1852">
        <v>75.587120056000003</v>
      </c>
      <c r="E1852">
        <v>50</v>
      </c>
      <c r="F1852">
        <v>49.975708007999998</v>
      </c>
      <c r="G1852">
        <v>1300.5695800999999</v>
      </c>
      <c r="H1852">
        <v>1287.2780762</v>
      </c>
      <c r="I1852">
        <v>1394.5136719</v>
      </c>
      <c r="J1852">
        <v>1375.0739745999999</v>
      </c>
      <c r="K1852">
        <v>0</v>
      </c>
      <c r="L1852">
        <v>2400</v>
      </c>
      <c r="M1852">
        <v>2400</v>
      </c>
      <c r="N1852">
        <v>0</v>
      </c>
    </row>
    <row r="1853" spans="1:14" x14ac:dyDescent="0.25">
      <c r="A1853">
        <v>1331.541093</v>
      </c>
      <c r="B1853" s="1">
        <f>DATE(2013,12,22) + TIME(12,59,10)</f>
        <v>41630.541087962964</v>
      </c>
      <c r="C1853">
        <v>80</v>
      </c>
      <c r="D1853">
        <v>75.474838257000002</v>
      </c>
      <c r="E1853">
        <v>50</v>
      </c>
      <c r="F1853">
        <v>49.975727081000002</v>
      </c>
      <c r="G1853">
        <v>1300.4450684000001</v>
      </c>
      <c r="H1853">
        <v>1287.1074219</v>
      </c>
      <c r="I1853">
        <v>1394.4805908000001</v>
      </c>
      <c r="J1853">
        <v>1375.0484618999999</v>
      </c>
      <c r="K1853">
        <v>0</v>
      </c>
      <c r="L1853">
        <v>2400</v>
      </c>
      <c r="M1853">
        <v>2400</v>
      </c>
      <c r="N1853">
        <v>0</v>
      </c>
    </row>
    <row r="1854" spans="1:14" x14ac:dyDescent="0.25">
      <c r="A1854">
        <v>1333.337207</v>
      </c>
      <c r="B1854" s="1">
        <f>DATE(2013,12,24) + TIME(8,5,34)</f>
        <v>41632.337199074071</v>
      </c>
      <c r="C1854">
        <v>80</v>
      </c>
      <c r="D1854">
        <v>75.361511230000005</v>
      </c>
      <c r="E1854">
        <v>50</v>
      </c>
      <c r="F1854">
        <v>49.975749968999999</v>
      </c>
      <c r="G1854">
        <v>1300.3161620999999</v>
      </c>
      <c r="H1854">
        <v>1286.9301757999999</v>
      </c>
      <c r="I1854">
        <v>1394.447876</v>
      </c>
      <c r="J1854">
        <v>1375.0230713000001</v>
      </c>
      <c r="K1854">
        <v>0</v>
      </c>
      <c r="L1854">
        <v>2400</v>
      </c>
      <c r="M1854">
        <v>2400</v>
      </c>
      <c r="N1854">
        <v>0</v>
      </c>
    </row>
    <row r="1855" spans="1:14" x14ac:dyDescent="0.25">
      <c r="A1855">
        <v>1335.177015</v>
      </c>
      <c r="B1855" s="1">
        <f>DATE(2013,12,26) + TIME(4,14,54)</f>
        <v>41634.17701388889</v>
      </c>
      <c r="C1855">
        <v>80</v>
      </c>
      <c r="D1855">
        <v>75.246887207</v>
      </c>
      <c r="E1855">
        <v>50</v>
      </c>
      <c r="F1855">
        <v>49.975769043</v>
      </c>
      <c r="G1855">
        <v>1300.1826172000001</v>
      </c>
      <c r="H1855">
        <v>1286.7458495999999</v>
      </c>
      <c r="I1855">
        <v>1394.4154053</v>
      </c>
      <c r="J1855">
        <v>1374.9978027</v>
      </c>
      <c r="K1855">
        <v>0</v>
      </c>
      <c r="L1855">
        <v>2400</v>
      </c>
      <c r="M1855">
        <v>2400</v>
      </c>
      <c r="N1855">
        <v>0</v>
      </c>
    </row>
    <row r="1856" spans="1:14" x14ac:dyDescent="0.25">
      <c r="A1856">
        <v>1337.0647719999999</v>
      </c>
      <c r="B1856" s="1">
        <f>DATE(2013,12,28) + TIME(1,33,16)</f>
        <v>41636.064768518518</v>
      </c>
      <c r="C1856">
        <v>80</v>
      </c>
      <c r="D1856">
        <v>75.130714416999993</v>
      </c>
      <c r="E1856">
        <v>50</v>
      </c>
      <c r="F1856">
        <v>49.975795746000003</v>
      </c>
      <c r="G1856">
        <v>1300.0438231999999</v>
      </c>
      <c r="H1856">
        <v>1286.5538329999999</v>
      </c>
      <c r="I1856">
        <v>1394.3830565999999</v>
      </c>
      <c r="J1856">
        <v>1374.9724120999999</v>
      </c>
      <c r="K1856">
        <v>0</v>
      </c>
      <c r="L1856">
        <v>2400</v>
      </c>
      <c r="M1856">
        <v>2400</v>
      </c>
      <c r="N1856">
        <v>0</v>
      </c>
    </row>
    <row r="1857" spans="1:14" x14ac:dyDescent="0.25">
      <c r="A1857">
        <v>1339.004942</v>
      </c>
      <c r="B1857" s="1">
        <f>DATE(2013,12,30) + TIME(0,7,7)</f>
        <v>41638.004942129628</v>
      </c>
      <c r="C1857">
        <v>80</v>
      </c>
      <c r="D1857">
        <v>75.012756347999996</v>
      </c>
      <c r="E1857">
        <v>50</v>
      </c>
      <c r="F1857">
        <v>49.975818633999999</v>
      </c>
      <c r="G1857">
        <v>1299.8995361</v>
      </c>
      <c r="H1857">
        <v>1286.3536377</v>
      </c>
      <c r="I1857">
        <v>1394.3509521000001</v>
      </c>
      <c r="J1857">
        <v>1374.9471435999999</v>
      </c>
      <c r="K1857">
        <v>0</v>
      </c>
      <c r="L1857">
        <v>2400</v>
      </c>
      <c r="M1857">
        <v>2400</v>
      </c>
      <c r="N1857">
        <v>0</v>
      </c>
    </row>
    <row r="1858" spans="1:14" x14ac:dyDescent="0.25">
      <c r="A1858">
        <v>1341</v>
      </c>
      <c r="B1858" s="1">
        <f>DATE(2014,1,1) + TIME(0,0,0)</f>
        <v>41640</v>
      </c>
      <c r="C1858">
        <v>80</v>
      </c>
      <c r="D1858">
        <v>74.892654418999996</v>
      </c>
      <c r="E1858">
        <v>50</v>
      </c>
      <c r="F1858">
        <v>49.975841522000003</v>
      </c>
      <c r="G1858">
        <v>1299.7493896000001</v>
      </c>
      <c r="H1858">
        <v>1286.1446533000001</v>
      </c>
      <c r="I1858">
        <v>1394.3188477000001</v>
      </c>
      <c r="J1858">
        <v>1374.9217529</v>
      </c>
      <c r="K1858">
        <v>0</v>
      </c>
      <c r="L1858">
        <v>2400</v>
      </c>
      <c r="M1858">
        <v>2400</v>
      </c>
      <c r="N1858">
        <v>0</v>
      </c>
    </row>
    <row r="1859" spans="1:14" x14ac:dyDescent="0.25">
      <c r="A1859">
        <v>1342.997149</v>
      </c>
      <c r="B1859" s="1">
        <f>DATE(2014,1,2) + TIME(23,55,53)</f>
        <v>41641.997141203705</v>
      </c>
      <c r="C1859">
        <v>80</v>
      </c>
      <c r="D1859">
        <v>74.771209717000005</v>
      </c>
      <c r="E1859">
        <v>50</v>
      </c>
      <c r="F1859">
        <v>49.975868224999999</v>
      </c>
      <c r="G1859">
        <v>1299.5935059000001</v>
      </c>
      <c r="H1859">
        <v>1285.9274902</v>
      </c>
      <c r="I1859">
        <v>1394.2867432</v>
      </c>
      <c r="J1859">
        <v>1374.8962402</v>
      </c>
      <c r="K1859">
        <v>0</v>
      </c>
      <c r="L1859">
        <v>2400</v>
      </c>
      <c r="M1859">
        <v>2400</v>
      </c>
      <c r="N1859">
        <v>0</v>
      </c>
    </row>
    <row r="1860" spans="1:14" x14ac:dyDescent="0.25">
      <c r="A1860">
        <v>1345.0980079999999</v>
      </c>
      <c r="B1860" s="1">
        <f>DATE(2014,1,5) + TIME(2,21,7)</f>
        <v>41644.097997685189</v>
      </c>
      <c r="C1860">
        <v>80</v>
      </c>
      <c r="D1860">
        <v>74.648307799999998</v>
      </c>
      <c r="E1860">
        <v>50</v>
      </c>
      <c r="F1860">
        <v>49.975894928000002</v>
      </c>
      <c r="G1860">
        <v>1299.4342041</v>
      </c>
      <c r="H1860">
        <v>1285.7044678</v>
      </c>
      <c r="I1860">
        <v>1394.2554932</v>
      </c>
      <c r="J1860">
        <v>1374.8710937999999</v>
      </c>
      <c r="K1860">
        <v>0</v>
      </c>
      <c r="L1860">
        <v>2400</v>
      </c>
      <c r="M1860">
        <v>2400</v>
      </c>
      <c r="N1860">
        <v>0</v>
      </c>
    </row>
    <row r="1861" spans="1:14" x14ac:dyDescent="0.25">
      <c r="A1861">
        <v>1347.2348380000001</v>
      </c>
      <c r="B1861" s="1">
        <f>DATE(2014,1,7) + TIME(5,38,9)</f>
        <v>41646.234826388885</v>
      </c>
      <c r="C1861">
        <v>80</v>
      </c>
      <c r="D1861">
        <v>74.522216796999999</v>
      </c>
      <c r="E1861">
        <v>50</v>
      </c>
      <c r="F1861">
        <v>49.975921630999999</v>
      </c>
      <c r="G1861">
        <v>1299.2662353999999</v>
      </c>
      <c r="H1861">
        <v>1285.4691161999999</v>
      </c>
      <c r="I1861">
        <v>1394.2235106999999</v>
      </c>
      <c r="J1861">
        <v>1374.8454589999999</v>
      </c>
      <c r="K1861">
        <v>0</v>
      </c>
      <c r="L1861">
        <v>2400</v>
      </c>
      <c r="M1861">
        <v>2400</v>
      </c>
      <c r="N1861">
        <v>0</v>
      </c>
    </row>
    <row r="1862" spans="1:14" x14ac:dyDescent="0.25">
      <c r="A1862">
        <v>1349.4135960000001</v>
      </c>
      <c r="B1862" s="1">
        <f>DATE(2014,1,9) + TIME(9,55,34)</f>
        <v>41648.413587962961</v>
      </c>
      <c r="C1862">
        <v>80</v>
      </c>
      <c r="D1862">
        <v>74.394195557000003</v>
      </c>
      <c r="E1862">
        <v>50</v>
      </c>
      <c r="F1862">
        <v>49.975948334000002</v>
      </c>
      <c r="G1862">
        <v>1299.0928954999999</v>
      </c>
      <c r="H1862">
        <v>1285.2257079999999</v>
      </c>
      <c r="I1862">
        <v>1394.1918945</v>
      </c>
      <c r="J1862">
        <v>1374.8198242000001</v>
      </c>
      <c r="K1862">
        <v>0</v>
      </c>
      <c r="L1862">
        <v>2400</v>
      </c>
      <c r="M1862">
        <v>2400</v>
      </c>
      <c r="N1862">
        <v>0</v>
      </c>
    </row>
    <row r="1863" spans="1:14" x14ac:dyDescent="0.25">
      <c r="A1863">
        <v>1351.638348</v>
      </c>
      <c r="B1863" s="1">
        <f>DATE(2014,1,11) + TIME(15,19,13)</f>
        <v>41650.638344907406</v>
      </c>
      <c r="C1863">
        <v>80</v>
      </c>
      <c r="D1863">
        <v>74.264274596999996</v>
      </c>
      <c r="E1863">
        <v>50</v>
      </c>
      <c r="F1863">
        <v>49.975978851000001</v>
      </c>
      <c r="G1863">
        <v>1298.9141846</v>
      </c>
      <c r="H1863">
        <v>1284.9741211</v>
      </c>
      <c r="I1863">
        <v>1394.1604004000001</v>
      </c>
      <c r="J1863">
        <v>1374.7943115</v>
      </c>
      <c r="K1863">
        <v>0</v>
      </c>
      <c r="L1863">
        <v>2400</v>
      </c>
      <c r="M1863">
        <v>2400</v>
      </c>
      <c r="N1863">
        <v>0</v>
      </c>
    </row>
    <row r="1864" spans="1:14" x14ac:dyDescent="0.25">
      <c r="A1864">
        <v>1353.9133750000001</v>
      </c>
      <c r="B1864" s="1">
        <f>DATE(2014,1,13) + TIME(21,55,15)</f>
        <v>41652.913368055553</v>
      </c>
      <c r="C1864">
        <v>80</v>
      </c>
      <c r="D1864">
        <v>74.132232665999993</v>
      </c>
      <c r="E1864">
        <v>50</v>
      </c>
      <c r="F1864">
        <v>49.976009369000003</v>
      </c>
      <c r="G1864">
        <v>1298.7298584</v>
      </c>
      <c r="H1864">
        <v>1284.7141113</v>
      </c>
      <c r="I1864">
        <v>1394.1290283000001</v>
      </c>
      <c r="J1864">
        <v>1374.7686768000001</v>
      </c>
      <c r="K1864">
        <v>0</v>
      </c>
      <c r="L1864">
        <v>2400</v>
      </c>
      <c r="M1864">
        <v>2400</v>
      </c>
      <c r="N1864">
        <v>0</v>
      </c>
    </row>
    <row r="1865" spans="1:14" x14ac:dyDescent="0.25">
      <c r="A1865">
        <v>1356.2430549999999</v>
      </c>
      <c r="B1865" s="1">
        <f>DATE(2014,1,16) + TIME(5,49,59)</f>
        <v>41655.243043981478</v>
      </c>
      <c r="C1865">
        <v>80</v>
      </c>
      <c r="D1865">
        <v>73.997726439999994</v>
      </c>
      <c r="E1865">
        <v>50</v>
      </c>
      <c r="F1865">
        <v>49.976039886000002</v>
      </c>
      <c r="G1865">
        <v>1298.5394286999999</v>
      </c>
      <c r="H1865">
        <v>1284.4449463000001</v>
      </c>
      <c r="I1865">
        <v>1394.0977783000001</v>
      </c>
      <c r="J1865">
        <v>1374.7430420000001</v>
      </c>
      <c r="K1865">
        <v>0</v>
      </c>
      <c r="L1865">
        <v>2400</v>
      </c>
      <c r="M1865">
        <v>2400</v>
      </c>
      <c r="N1865">
        <v>0</v>
      </c>
    </row>
    <row r="1866" spans="1:14" x14ac:dyDescent="0.25">
      <c r="A1866">
        <v>1358.631854</v>
      </c>
      <c r="B1866" s="1">
        <f>DATE(2014,1,18) + TIME(15,9,52)</f>
        <v>41657.631851851853</v>
      </c>
      <c r="C1866">
        <v>80</v>
      </c>
      <c r="D1866">
        <v>73.860382079999994</v>
      </c>
      <c r="E1866">
        <v>50</v>
      </c>
      <c r="F1866">
        <v>49.976070403999998</v>
      </c>
      <c r="G1866">
        <v>1298.3426514</v>
      </c>
      <c r="H1866">
        <v>1284.1662598</v>
      </c>
      <c r="I1866">
        <v>1394.0665283000001</v>
      </c>
      <c r="J1866">
        <v>1374.7171631000001</v>
      </c>
      <c r="K1866">
        <v>0</v>
      </c>
      <c r="L1866">
        <v>2400</v>
      </c>
      <c r="M1866">
        <v>2400</v>
      </c>
      <c r="N1866">
        <v>0</v>
      </c>
    </row>
    <row r="1867" spans="1:14" x14ac:dyDescent="0.25">
      <c r="A1867">
        <v>1361.068904</v>
      </c>
      <c r="B1867" s="1">
        <f>DATE(2014,1,21) + TIME(1,39,13)</f>
        <v>41660.06890046296</v>
      </c>
      <c r="C1867">
        <v>80</v>
      </c>
      <c r="D1867">
        <v>73.720001221000004</v>
      </c>
      <c r="E1867">
        <v>50</v>
      </c>
      <c r="F1867">
        <v>49.976100922000001</v>
      </c>
      <c r="G1867">
        <v>1298.1391602000001</v>
      </c>
      <c r="H1867">
        <v>1283.8776855000001</v>
      </c>
      <c r="I1867">
        <v>1394.0352783000001</v>
      </c>
      <c r="J1867">
        <v>1374.6912841999999</v>
      </c>
      <c r="K1867">
        <v>0</v>
      </c>
      <c r="L1867">
        <v>2400</v>
      </c>
      <c r="M1867">
        <v>2400</v>
      </c>
      <c r="N1867">
        <v>0</v>
      </c>
    </row>
    <row r="1868" spans="1:14" x14ac:dyDescent="0.25">
      <c r="A1868">
        <v>1363.5475779999999</v>
      </c>
      <c r="B1868" s="1">
        <f>DATE(2014,1,23) + TIME(13,8,30)</f>
        <v>41662.547569444447</v>
      </c>
      <c r="C1868">
        <v>80</v>
      </c>
      <c r="D1868">
        <v>73.576820373999993</v>
      </c>
      <c r="E1868">
        <v>50</v>
      </c>
      <c r="F1868">
        <v>49.976135253999999</v>
      </c>
      <c r="G1868">
        <v>1297.9296875</v>
      </c>
      <c r="H1868">
        <v>1283.5800781</v>
      </c>
      <c r="I1868">
        <v>1394.0041504000001</v>
      </c>
      <c r="J1868">
        <v>1374.6652832</v>
      </c>
      <c r="K1868">
        <v>0</v>
      </c>
      <c r="L1868">
        <v>2400</v>
      </c>
      <c r="M1868">
        <v>2400</v>
      </c>
      <c r="N1868">
        <v>0</v>
      </c>
    </row>
    <row r="1869" spans="1:14" x14ac:dyDescent="0.25">
      <c r="A1869">
        <v>1366.073048</v>
      </c>
      <c r="B1869" s="1">
        <f>DATE(2014,1,26) + TIME(1,45,11)</f>
        <v>41665.07304398148</v>
      </c>
      <c r="C1869">
        <v>80</v>
      </c>
      <c r="D1869">
        <v>73.430900574000006</v>
      </c>
      <c r="E1869">
        <v>50</v>
      </c>
      <c r="F1869">
        <v>49.976169585999997</v>
      </c>
      <c r="G1869">
        <v>1297.7147216999999</v>
      </c>
      <c r="H1869">
        <v>1283.2740478999999</v>
      </c>
      <c r="I1869">
        <v>1393.9730225000001</v>
      </c>
      <c r="J1869">
        <v>1374.6391602000001</v>
      </c>
      <c r="K1869">
        <v>0</v>
      </c>
      <c r="L1869">
        <v>2400</v>
      </c>
      <c r="M1869">
        <v>2400</v>
      </c>
      <c r="N1869">
        <v>0</v>
      </c>
    </row>
    <row r="1870" spans="1:14" x14ac:dyDescent="0.25">
      <c r="A1870">
        <v>1368.6503520000001</v>
      </c>
      <c r="B1870" s="1">
        <f>DATE(2014,1,28) + TIME(15,36,30)</f>
        <v>41667.650347222225</v>
      </c>
      <c r="C1870">
        <v>80</v>
      </c>
      <c r="D1870">
        <v>73.281860351999995</v>
      </c>
      <c r="E1870">
        <v>50</v>
      </c>
      <c r="F1870">
        <v>49.976203918000003</v>
      </c>
      <c r="G1870">
        <v>1297.4940185999999</v>
      </c>
      <c r="H1870">
        <v>1282.9593506000001</v>
      </c>
      <c r="I1870">
        <v>1393.9421387</v>
      </c>
      <c r="J1870">
        <v>1374.6130370999999</v>
      </c>
      <c r="K1870">
        <v>0</v>
      </c>
      <c r="L1870">
        <v>2400</v>
      </c>
      <c r="M1870">
        <v>2400</v>
      </c>
      <c r="N1870">
        <v>0</v>
      </c>
    </row>
    <row r="1871" spans="1:14" x14ac:dyDescent="0.25">
      <c r="A1871">
        <v>1371.28467</v>
      </c>
      <c r="B1871" s="1">
        <f>DATE(2014,1,31) + TIME(6,49,55)</f>
        <v>41670.28466435185</v>
      </c>
      <c r="C1871">
        <v>80</v>
      </c>
      <c r="D1871">
        <v>73.129203795999999</v>
      </c>
      <c r="E1871">
        <v>50</v>
      </c>
      <c r="F1871">
        <v>49.976238250999998</v>
      </c>
      <c r="G1871">
        <v>1297.2669678</v>
      </c>
      <c r="H1871">
        <v>1282.6352539</v>
      </c>
      <c r="I1871">
        <v>1393.9111327999999</v>
      </c>
      <c r="J1871">
        <v>1374.5869141000001</v>
      </c>
      <c r="K1871">
        <v>0</v>
      </c>
      <c r="L1871">
        <v>2400</v>
      </c>
      <c r="M1871">
        <v>2400</v>
      </c>
      <c r="N1871">
        <v>0</v>
      </c>
    </row>
    <row r="1872" spans="1:14" x14ac:dyDescent="0.25">
      <c r="A1872">
        <v>1372</v>
      </c>
      <c r="B1872" s="1">
        <f>DATE(2014,2,1) + TIME(0,0,0)</f>
        <v>41671</v>
      </c>
      <c r="C1872">
        <v>80</v>
      </c>
      <c r="D1872">
        <v>73.030563353999995</v>
      </c>
      <c r="E1872">
        <v>50</v>
      </c>
      <c r="F1872">
        <v>49.976234435999999</v>
      </c>
      <c r="G1872">
        <v>1297.0678711</v>
      </c>
      <c r="H1872">
        <v>1282.3590088000001</v>
      </c>
      <c r="I1872">
        <v>1393.8857422000001</v>
      </c>
      <c r="J1872">
        <v>1374.5657959</v>
      </c>
      <c r="K1872">
        <v>0</v>
      </c>
      <c r="L1872">
        <v>2400</v>
      </c>
      <c r="M1872">
        <v>2400</v>
      </c>
      <c r="N1872">
        <v>0</v>
      </c>
    </row>
    <row r="1873" spans="1:14" x14ac:dyDescent="0.25">
      <c r="A1873">
        <v>1374.6965379999999</v>
      </c>
      <c r="B1873" s="1">
        <f>DATE(2014,2,3) + TIME(16,43,0)</f>
        <v>41673.696527777778</v>
      </c>
      <c r="C1873">
        <v>80</v>
      </c>
      <c r="D1873">
        <v>72.917274474999999</v>
      </c>
      <c r="E1873">
        <v>50</v>
      </c>
      <c r="F1873">
        <v>49.976284026999998</v>
      </c>
      <c r="G1873">
        <v>1296.9556885</v>
      </c>
      <c r="H1873">
        <v>1282.1846923999999</v>
      </c>
      <c r="I1873">
        <v>1393.8707274999999</v>
      </c>
      <c r="J1873">
        <v>1374.5523682</v>
      </c>
      <c r="K1873">
        <v>0</v>
      </c>
      <c r="L1873">
        <v>2400</v>
      </c>
      <c r="M1873">
        <v>2400</v>
      </c>
      <c r="N1873">
        <v>0</v>
      </c>
    </row>
    <row r="1874" spans="1:14" x14ac:dyDescent="0.25">
      <c r="A1874">
        <v>1377.4602190000001</v>
      </c>
      <c r="B1874" s="1">
        <f>DATE(2014,2,6) + TIME(11,2,42)</f>
        <v>41676.46020833333</v>
      </c>
      <c r="C1874">
        <v>80</v>
      </c>
      <c r="D1874">
        <v>72.765129088999998</v>
      </c>
      <c r="E1874">
        <v>50</v>
      </c>
      <c r="F1874">
        <v>49.976322174000003</v>
      </c>
      <c r="G1874">
        <v>1296.7249756000001</v>
      </c>
      <c r="H1874">
        <v>1281.8583983999999</v>
      </c>
      <c r="I1874">
        <v>1393.8405762</v>
      </c>
      <c r="J1874">
        <v>1374.5266113</v>
      </c>
      <c r="K1874">
        <v>0</v>
      </c>
      <c r="L1874">
        <v>2400</v>
      </c>
      <c r="M1874">
        <v>2400</v>
      </c>
      <c r="N1874">
        <v>0</v>
      </c>
    </row>
    <row r="1875" spans="1:14" x14ac:dyDescent="0.25">
      <c r="A1875">
        <v>1380.284308</v>
      </c>
      <c r="B1875" s="1">
        <f>DATE(2014,2,9) + TIME(6,49,24)</f>
        <v>41679.284305555557</v>
      </c>
      <c r="C1875">
        <v>80</v>
      </c>
      <c r="D1875">
        <v>72.599876404</v>
      </c>
      <c r="E1875">
        <v>50</v>
      </c>
      <c r="F1875">
        <v>49.976356506000002</v>
      </c>
      <c r="G1875">
        <v>1296.4785156</v>
      </c>
      <c r="H1875">
        <v>1281.5059814000001</v>
      </c>
      <c r="I1875">
        <v>1393.8094481999999</v>
      </c>
      <c r="J1875">
        <v>1374.4998779</v>
      </c>
      <c r="K1875">
        <v>0</v>
      </c>
      <c r="L1875">
        <v>2400</v>
      </c>
      <c r="M1875">
        <v>2400</v>
      </c>
      <c r="N1875">
        <v>0</v>
      </c>
    </row>
    <row r="1876" spans="1:14" x14ac:dyDescent="0.25">
      <c r="A1876">
        <v>1383.172982</v>
      </c>
      <c r="B1876" s="1">
        <f>DATE(2014,2,12) + TIME(4,9,5)</f>
        <v>41682.172974537039</v>
      </c>
      <c r="C1876">
        <v>80</v>
      </c>
      <c r="D1876">
        <v>72.427474975999999</v>
      </c>
      <c r="E1876">
        <v>50</v>
      </c>
      <c r="F1876">
        <v>49.976394653</v>
      </c>
      <c r="G1876">
        <v>1296.2232666</v>
      </c>
      <c r="H1876">
        <v>1281.1395264</v>
      </c>
      <c r="I1876">
        <v>1393.7781981999999</v>
      </c>
      <c r="J1876">
        <v>1374.4727783000001</v>
      </c>
      <c r="K1876">
        <v>0</v>
      </c>
      <c r="L1876">
        <v>2400</v>
      </c>
      <c r="M1876">
        <v>2400</v>
      </c>
      <c r="N1876">
        <v>0</v>
      </c>
    </row>
    <row r="1877" spans="1:14" x14ac:dyDescent="0.25">
      <c r="A1877">
        <v>1386.1323890000001</v>
      </c>
      <c r="B1877" s="1">
        <f>DATE(2014,2,15) + TIME(3,10,38)</f>
        <v>41685.132384259261</v>
      </c>
      <c r="C1877">
        <v>80</v>
      </c>
      <c r="D1877">
        <v>72.248634338000002</v>
      </c>
      <c r="E1877">
        <v>50</v>
      </c>
      <c r="F1877">
        <v>49.976436614999997</v>
      </c>
      <c r="G1877">
        <v>1295.9602050999999</v>
      </c>
      <c r="H1877">
        <v>1280.7612305</v>
      </c>
      <c r="I1877">
        <v>1393.7467041</v>
      </c>
      <c r="J1877">
        <v>1374.4454346</v>
      </c>
      <c r="K1877">
        <v>0</v>
      </c>
      <c r="L1877">
        <v>2400</v>
      </c>
      <c r="M1877">
        <v>2400</v>
      </c>
      <c r="N1877">
        <v>0</v>
      </c>
    </row>
    <row r="1878" spans="1:14" x14ac:dyDescent="0.25">
      <c r="A1878">
        <v>1389.169167</v>
      </c>
      <c r="B1878" s="1">
        <f>DATE(2014,2,18) + TIME(4,3,36)</f>
        <v>41688.169166666667</v>
      </c>
      <c r="C1878">
        <v>80</v>
      </c>
      <c r="D1878">
        <v>72.062843322999996</v>
      </c>
      <c r="E1878">
        <v>50</v>
      </c>
      <c r="F1878">
        <v>49.976474762000002</v>
      </c>
      <c r="G1878">
        <v>1295.6890868999999</v>
      </c>
      <c r="H1878">
        <v>1280.3707274999999</v>
      </c>
      <c r="I1878">
        <v>1393.7149658000001</v>
      </c>
      <c r="J1878">
        <v>1374.4177245999999</v>
      </c>
      <c r="K1878">
        <v>0</v>
      </c>
      <c r="L1878">
        <v>2400</v>
      </c>
      <c r="M1878">
        <v>2400</v>
      </c>
      <c r="N1878">
        <v>0</v>
      </c>
    </row>
    <row r="1879" spans="1:14" x14ac:dyDescent="0.25">
      <c r="A1879">
        <v>1392.2899729999999</v>
      </c>
      <c r="B1879" s="1">
        <f>DATE(2014,2,21) + TIME(6,57,33)</f>
        <v>41691.289965277778</v>
      </c>
      <c r="C1879">
        <v>80</v>
      </c>
      <c r="D1879">
        <v>71.869247436999999</v>
      </c>
      <c r="E1879">
        <v>50</v>
      </c>
      <c r="F1879">
        <v>49.976516724</v>
      </c>
      <c r="G1879">
        <v>1295.4093018000001</v>
      </c>
      <c r="H1879">
        <v>1279.9674072</v>
      </c>
      <c r="I1879">
        <v>1393.6828613</v>
      </c>
      <c r="J1879">
        <v>1374.3895264</v>
      </c>
      <c r="K1879">
        <v>0</v>
      </c>
      <c r="L1879">
        <v>2400</v>
      </c>
      <c r="M1879">
        <v>2400</v>
      </c>
      <c r="N1879">
        <v>0</v>
      </c>
    </row>
    <row r="1880" spans="1:14" x14ac:dyDescent="0.25">
      <c r="A1880">
        <v>1395.486592</v>
      </c>
      <c r="B1880" s="1">
        <f>DATE(2014,2,24) + TIME(11,40,41)</f>
        <v>41694.486585648148</v>
      </c>
      <c r="C1880">
        <v>80</v>
      </c>
      <c r="D1880">
        <v>71.667030334000003</v>
      </c>
      <c r="E1880">
        <v>50</v>
      </c>
      <c r="F1880">
        <v>49.976558685000001</v>
      </c>
      <c r="G1880">
        <v>1295.1203613</v>
      </c>
      <c r="H1880">
        <v>1279.550293</v>
      </c>
      <c r="I1880">
        <v>1393.6503906</v>
      </c>
      <c r="J1880">
        <v>1374.3609618999999</v>
      </c>
      <c r="K1880">
        <v>0</v>
      </c>
      <c r="L1880">
        <v>2400</v>
      </c>
      <c r="M1880">
        <v>2400</v>
      </c>
      <c r="N1880">
        <v>0</v>
      </c>
    </row>
    <row r="1881" spans="1:14" x14ac:dyDescent="0.25">
      <c r="A1881">
        <v>1398.747292</v>
      </c>
      <c r="B1881" s="1">
        <f>DATE(2014,2,27) + TIME(17,56,6)</f>
        <v>41697.747291666667</v>
      </c>
      <c r="C1881">
        <v>80</v>
      </c>
      <c r="D1881">
        <v>71.456001282000003</v>
      </c>
      <c r="E1881">
        <v>50</v>
      </c>
      <c r="F1881">
        <v>49.976600646999998</v>
      </c>
      <c r="G1881">
        <v>1294.8231201000001</v>
      </c>
      <c r="H1881">
        <v>1279.1203613</v>
      </c>
      <c r="I1881">
        <v>1393.6176757999999</v>
      </c>
      <c r="J1881">
        <v>1374.3319091999999</v>
      </c>
      <c r="K1881">
        <v>0</v>
      </c>
      <c r="L1881">
        <v>2400</v>
      </c>
      <c r="M1881">
        <v>2400</v>
      </c>
      <c r="N1881">
        <v>0</v>
      </c>
    </row>
    <row r="1882" spans="1:14" x14ac:dyDescent="0.25">
      <c r="A1882">
        <v>1400</v>
      </c>
      <c r="B1882" s="1">
        <f>DATE(2014,3,1) + TIME(0,0,0)</f>
        <v>41699</v>
      </c>
      <c r="C1882">
        <v>80</v>
      </c>
      <c r="D1882">
        <v>71.284965514999996</v>
      </c>
      <c r="E1882">
        <v>50</v>
      </c>
      <c r="F1882">
        <v>49.976608276</v>
      </c>
      <c r="G1882">
        <v>1294.5449219</v>
      </c>
      <c r="H1882">
        <v>1278.7269286999999</v>
      </c>
      <c r="I1882">
        <v>1393.5895995999999</v>
      </c>
      <c r="J1882">
        <v>1374.3073730000001</v>
      </c>
      <c r="K1882">
        <v>0</v>
      </c>
      <c r="L1882">
        <v>2400</v>
      </c>
      <c r="M1882">
        <v>2400</v>
      </c>
      <c r="N1882">
        <v>0</v>
      </c>
    </row>
    <row r="1883" spans="1:14" x14ac:dyDescent="0.25">
      <c r="A1883">
        <v>1403.332621</v>
      </c>
      <c r="B1883" s="1">
        <f>DATE(2014,3,4) + TIME(7,58,58)</f>
        <v>41702.332615740743</v>
      </c>
      <c r="C1883">
        <v>80</v>
      </c>
      <c r="D1883">
        <v>71.134208678999997</v>
      </c>
      <c r="E1883">
        <v>50</v>
      </c>
      <c r="F1883">
        <v>49.976661682</v>
      </c>
      <c r="G1883">
        <v>1294.3826904</v>
      </c>
      <c r="H1883">
        <v>1278.4737548999999</v>
      </c>
      <c r="I1883">
        <v>1393.5706786999999</v>
      </c>
      <c r="J1883">
        <v>1374.2900391000001</v>
      </c>
      <c r="K1883">
        <v>0</v>
      </c>
      <c r="L1883">
        <v>2400</v>
      </c>
      <c r="M1883">
        <v>2400</v>
      </c>
      <c r="N1883">
        <v>0</v>
      </c>
    </row>
    <row r="1884" spans="1:14" x14ac:dyDescent="0.25">
      <c r="A1884">
        <v>1406.7716809999999</v>
      </c>
      <c r="B1884" s="1">
        <f>DATE(2014,3,7) + TIME(18,31,13)</f>
        <v>41705.771678240744</v>
      </c>
      <c r="C1884">
        <v>80</v>
      </c>
      <c r="D1884">
        <v>70.915122986</v>
      </c>
      <c r="E1884">
        <v>50</v>
      </c>
      <c r="F1884">
        <v>49.976707458</v>
      </c>
      <c r="G1884">
        <v>1294.0832519999999</v>
      </c>
      <c r="H1884">
        <v>1278.0457764</v>
      </c>
      <c r="I1884">
        <v>1393.5384521000001</v>
      </c>
      <c r="J1884">
        <v>1374.2612305</v>
      </c>
      <c r="K1884">
        <v>0</v>
      </c>
      <c r="L1884">
        <v>2400</v>
      </c>
      <c r="M1884">
        <v>2400</v>
      </c>
      <c r="N1884">
        <v>0</v>
      </c>
    </row>
    <row r="1885" spans="1:14" x14ac:dyDescent="0.25">
      <c r="A1885">
        <v>1410.306587</v>
      </c>
      <c r="B1885" s="1">
        <f>DATE(2014,3,11) + TIME(7,21,29)</f>
        <v>41709.306585648148</v>
      </c>
      <c r="C1885">
        <v>80</v>
      </c>
      <c r="D1885">
        <v>70.671783446999996</v>
      </c>
      <c r="E1885">
        <v>50</v>
      </c>
      <c r="F1885">
        <v>49.976753234999997</v>
      </c>
      <c r="G1885">
        <v>1293.7615966999999</v>
      </c>
      <c r="H1885">
        <v>1277.5795897999999</v>
      </c>
      <c r="I1885">
        <v>1393.5047606999999</v>
      </c>
      <c r="J1885">
        <v>1374.2308350000001</v>
      </c>
      <c r="K1885">
        <v>0</v>
      </c>
      <c r="L1885">
        <v>2400</v>
      </c>
      <c r="M1885">
        <v>2400</v>
      </c>
      <c r="N1885">
        <v>0</v>
      </c>
    </row>
    <row r="1886" spans="1:14" x14ac:dyDescent="0.25">
      <c r="A1886">
        <v>1413.939523</v>
      </c>
      <c r="B1886" s="1">
        <f>DATE(2014,3,14) + TIME(22,32,54)</f>
        <v>41712.939513888887</v>
      </c>
      <c r="C1886">
        <v>80</v>
      </c>
      <c r="D1886">
        <v>70.413444518999995</v>
      </c>
      <c r="E1886">
        <v>50</v>
      </c>
      <c r="F1886">
        <v>49.976799010999997</v>
      </c>
      <c r="G1886">
        <v>1293.4276123</v>
      </c>
      <c r="H1886">
        <v>1277.0936279</v>
      </c>
      <c r="I1886">
        <v>1393.4703368999999</v>
      </c>
      <c r="J1886">
        <v>1374.1998291</v>
      </c>
      <c r="K1886">
        <v>0</v>
      </c>
      <c r="L1886">
        <v>2400</v>
      </c>
      <c r="M1886">
        <v>2400</v>
      </c>
      <c r="N1886">
        <v>0</v>
      </c>
    </row>
    <row r="1887" spans="1:14" x14ac:dyDescent="0.25">
      <c r="A1887">
        <v>1417.670781</v>
      </c>
      <c r="B1887" s="1">
        <f>DATE(2014,3,18) + TIME(16,5,55)</f>
        <v>41716.670775462961</v>
      </c>
      <c r="C1887">
        <v>80</v>
      </c>
      <c r="D1887">
        <v>70.140243530000006</v>
      </c>
      <c r="E1887">
        <v>50</v>
      </c>
      <c r="F1887">
        <v>49.976848601999997</v>
      </c>
      <c r="G1887">
        <v>1293.0828856999999</v>
      </c>
      <c r="H1887">
        <v>1276.5909423999999</v>
      </c>
      <c r="I1887">
        <v>1393.4353027</v>
      </c>
      <c r="J1887">
        <v>1374.1680908000001</v>
      </c>
      <c r="K1887">
        <v>0</v>
      </c>
      <c r="L1887">
        <v>2400</v>
      </c>
      <c r="M1887">
        <v>2400</v>
      </c>
      <c r="N1887">
        <v>0</v>
      </c>
    </row>
    <row r="1888" spans="1:14" x14ac:dyDescent="0.25">
      <c r="A1888">
        <v>1421.4793079999999</v>
      </c>
      <c r="B1888" s="1">
        <f>DATE(2014,3,22) + TIME(11,30,12)</f>
        <v>41720.479305555556</v>
      </c>
      <c r="C1888">
        <v>80</v>
      </c>
      <c r="D1888">
        <v>69.852058411000002</v>
      </c>
      <c r="E1888">
        <v>50</v>
      </c>
      <c r="F1888">
        <v>49.976894379000001</v>
      </c>
      <c r="G1888">
        <v>1292.7280272999999</v>
      </c>
      <c r="H1888">
        <v>1276.0723877</v>
      </c>
      <c r="I1888">
        <v>1393.3996582</v>
      </c>
      <c r="J1888">
        <v>1374.1356201000001</v>
      </c>
      <c r="K1888">
        <v>0</v>
      </c>
      <c r="L1888">
        <v>2400</v>
      </c>
      <c r="M1888">
        <v>2400</v>
      </c>
      <c r="N1888">
        <v>0</v>
      </c>
    </row>
    <row r="1889" spans="1:14" x14ac:dyDescent="0.25">
      <c r="A1889">
        <v>1425.3785780000001</v>
      </c>
      <c r="B1889" s="1">
        <f>DATE(2014,3,26) + TIME(9,5,9)</f>
        <v>41724.378576388888</v>
      </c>
      <c r="C1889">
        <v>80</v>
      </c>
      <c r="D1889">
        <v>69.547966002999999</v>
      </c>
      <c r="E1889">
        <v>50</v>
      </c>
      <c r="F1889">
        <v>49.976943970000001</v>
      </c>
      <c r="G1889">
        <v>1292.364624</v>
      </c>
      <c r="H1889">
        <v>1275.5402832</v>
      </c>
      <c r="I1889">
        <v>1393.3634033000001</v>
      </c>
      <c r="J1889">
        <v>1374.1025391000001</v>
      </c>
      <c r="K1889">
        <v>0</v>
      </c>
      <c r="L1889">
        <v>2400</v>
      </c>
      <c r="M1889">
        <v>2400</v>
      </c>
      <c r="N1889">
        <v>0</v>
      </c>
    </row>
    <row r="1890" spans="1:14" x14ac:dyDescent="0.25">
      <c r="A1890">
        <v>1429.377765</v>
      </c>
      <c r="B1890" s="1">
        <f>DATE(2014,3,30) + TIME(9,3,58)</f>
        <v>41728.377754629626</v>
      </c>
      <c r="C1890">
        <v>80</v>
      </c>
      <c r="D1890">
        <v>69.227447510000005</v>
      </c>
      <c r="E1890">
        <v>50</v>
      </c>
      <c r="F1890">
        <v>49.976997375000003</v>
      </c>
      <c r="G1890">
        <v>1291.9921875</v>
      </c>
      <c r="H1890">
        <v>1274.9936522999999</v>
      </c>
      <c r="I1890">
        <v>1393.3266602000001</v>
      </c>
      <c r="J1890">
        <v>1374.0688477000001</v>
      </c>
      <c r="K1890">
        <v>0</v>
      </c>
      <c r="L1890">
        <v>2400</v>
      </c>
      <c r="M1890">
        <v>2400</v>
      </c>
      <c r="N1890">
        <v>0</v>
      </c>
    </row>
    <row r="1891" spans="1:14" x14ac:dyDescent="0.25">
      <c r="A1891">
        <v>1431</v>
      </c>
      <c r="B1891" s="1">
        <f>DATE(2014,4,1) + TIME(0,0,0)</f>
        <v>41730</v>
      </c>
      <c r="C1891">
        <v>80</v>
      </c>
      <c r="D1891">
        <v>68.947212218999994</v>
      </c>
      <c r="E1891">
        <v>50</v>
      </c>
      <c r="F1891">
        <v>49.977008820000002</v>
      </c>
      <c r="G1891">
        <v>1291.6354980000001</v>
      </c>
      <c r="H1891">
        <v>1274.4824219</v>
      </c>
      <c r="I1891">
        <v>1393.2954102000001</v>
      </c>
      <c r="J1891">
        <v>1374.0405272999999</v>
      </c>
      <c r="K1891">
        <v>0</v>
      </c>
      <c r="L1891">
        <v>2400</v>
      </c>
      <c r="M1891">
        <v>2400</v>
      </c>
      <c r="N1891">
        <v>0</v>
      </c>
    </row>
    <row r="1892" spans="1:14" x14ac:dyDescent="0.25">
      <c r="A1892">
        <v>1435.111815</v>
      </c>
      <c r="B1892" s="1">
        <f>DATE(2014,4,5) + TIME(2,41,0)</f>
        <v>41734.111805555556</v>
      </c>
      <c r="C1892">
        <v>80</v>
      </c>
      <c r="D1892">
        <v>68.725090026999993</v>
      </c>
      <c r="E1892">
        <v>50</v>
      </c>
      <c r="F1892">
        <v>49.977069855000003</v>
      </c>
      <c r="G1892">
        <v>1291.4339600000001</v>
      </c>
      <c r="H1892">
        <v>1274.1601562000001</v>
      </c>
      <c r="I1892">
        <v>1393.2722168</v>
      </c>
      <c r="J1892">
        <v>1374.0185547000001</v>
      </c>
      <c r="K1892">
        <v>0</v>
      </c>
      <c r="L1892">
        <v>2400</v>
      </c>
      <c r="M1892">
        <v>2400</v>
      </c>
      <c r="N1892">
        <v>0</v>
      </c>
    </row>
    <row r="1893" spans="1:14" x14ac:dyDescent="0.25">
      <c r="A1893">
        <v>1439.3477399999999</v>
      </c>
      <c r="B1893" s="1">
        <f>DATE(2014,4,9) + TIME(8,20,44)</f>
        <v>41738.347731481481</v>
      </c>
      <c r="C1893">
        <v>80</v>
      </c>
      <c r="D1893">
        <v>68.378768921000002</v>
      </c>
      <c r="E1893">
        <v>50</v>
      </c>
      <c r="F1893">
        <v>49.977119446000003</v>
      </c>
      <c r="G1893">
        <v>1291.0584716999999</v>
      </c>
      <c r="H1893">
        <v>1273.6164550999999</v>
      </c>
      <c r="I1893">
        <v>1393.2351074000001</v>
      </c>
      <c r="J1893">
        <v>1373.9841309000001</v>
      </c>
      <c r="K1893">
        <v>0</v>
      </c>
      <c r="L1893">
        <v>2400</v>
      </c>
      <c r="M1893">
        <v>2400</v>
      </c>
      <c r="N1893">
        <v>0</v>
      </c>
    </row>
    <row r="1894" spans="1:14" x14ac:dyDescent="0.25">
      <c r="A1894">
        <v>1443.6995609999999</v>
      </c>
      <c r="B1894" s="1">
        <f>DATE(2014,4,13) + TIME(16,47,22)</f>
        <v>41742.699560185189</v>
      </c>
      <c r="C1894">
        <v>80</v>
      </c>
      <c r="D1894">
        <v>67.991981506000002</v>
      </c>
      <c r="E1894">
        <v>50</v>
      </c>
      <c r="F1894">
        <v>49.977176665999998</v>
      </c>
      <c r="G1894">
        <v>1290.6577147999999</v>
      </c>
      <c r="H1894">
        <v>1273.0253906</v>
      </c>
      <c r="I1894">
        <v>1393.1959228999999</v>
      </c>
      <c r="J1894">
        <v>1373.947876</v>
      </c>
      <c r="K1894">
        <v>0</v>
      </c>
      <c r="L1894">
        <v>2400</v>
      </c>
      <c r="M1894">
        <v>2400</v>
      </c>
      <c r="N1894">
        <v>0</v>
      </c>
    </row>
    <row r="1895" spans="1:14" x14ac:dyDescent="0.25">
      <c r="A1895">
        <v>1448.136941</v>
      </c>
      <c r="B1895" s="1">
        <f>DATE(2014,4,18) + TIME(3,17,11)</f>
        <v>41747.136932870373</v>
      </c>
      <c r="C1895">
        <v>80</v>
      </c>
      <c r="D1895">
        <v>67.582588196000003</v>
      </c>
      <c r="E1895">
        <v>50</v>
      </c>
      <c r="F1895">
        <v>49.977230071999998</v>
      </c>
      <c r="G1895">
        <v>1290.2449951000001</v>
      </c>
      <c r="H1895">
        <v>1272.4138184000001</v>
      </c>
      <c r="I1895">
        <v>1393.1557617000001</v>
      </c>
      <c r="J1895">
        <v>1373.9102783000001</v>
      </c>
      <c r="K1895">
        <v>0</v>
      </c>
      <c r="L1895">
        <v>2400</v>
      </c>
      <c r="M1895">
        <v>2400</v>
      </c>
      <c r="N1895">
        <v>0</v>
      </c>
    </row>
    <row r="1896" spans="1:14" x14ac:dyDescent="0.25">
      <c r="A1896">
        <v>1452.6163630000001</v>
      </c>
      <c r="B1896" s="1">
        <f>DATE(2014,4,22) + TIME(14,47,33)</f>
        <v>41751.616354166668</v>
      </c>
      <c r="C1896">
        <v>80</v>
      </c>
      <c r="D1896">
        <v>67.150215149000005</v>
      </c>
      <c r="E1896">
        <v>50</v>
      </c>
      <c r="F1896">
        <v>49.977283477999997</v>
      </c>
      <c r="G1896">
        <v>1289.8251952999999</v>
      </c>
      <c r="H1896">
        <v>1271.7896728999999</v>
      </c>
      <c r="I1896">
        <v>1393.1148682</v>
      </c>
      <c r="J1896">
        <v>1373.8719481999999</v>
      </c>
      <c r="K1896">
        <v>0</v>
      </c>
      <c r="L1896">
        <v>2400</v>
      </c>
      <c r="M1896">
        <v>2400</v>
      </c>
      <c r="N1896">
        <v>0</v>
      </c>
    </row>
    <row r="1897" spans="1:14" x14ac:dyDescent="0.25">
      <c r="A1897">
        <v>1457.1527610000001</v>
      </c>
      <c r="B1897" s="1">
        <f>DATE(2014,4,27) + TIME(3,39,58)</f>
        <v>41756.152754629627</v>
      </c>
      <c r="C1897">
        <v>80</v>
      </c>
      <c r="D1897">
        <v>66.703033446999996</v>
      </c>
      <c r="E1897">
        <v>50</v>
      </c>
      <c r="F1897">
        <v>49.977336884000003</v>
      </c>
      <c r="G1897">
        <v>1289.4031981999999</v>
      </c>
      <c r="H1897">
        <v>1271.1602783000001</v>
      </c>
      <c r="I1897">
        <v>1393.0733643000001</v>
      </c>
      <c r="J1897">
        <v>1373.8330077999999</v>
      </c>
      <c r="K1897">
        <v>0</v>
      </c>
      <c r="L1897">
        <v>2400</v>
      </c>
      <c r="M1897">
        <v>2400</v>
      </c>
      <c r="N1897">
        <v>0</v>
      </c>
    </row>
    <row r="1898" spans="1:14" x14ac:dyDescent="0.25">
      <c r="A1898">
        <v>1461</v>
      </c>
      <c r="B1898" s="1">
        <f>DATE(2014,5,1) + TIME(0,0,0)</f>
        <v>41760</v>
      </c>
      <c r="C1898">
        <v>80</v>
      </c>
      <c r="D1898">
        <v>66.245254517000006</v>
      </c>
      <c r="E1898">
        <v>50</v>
      </c>
      <c r="F1898">
        <v>49.977382660000004</v>
      </c>
      <c r="G1898">
        <v>1288.9826660000001</v>
      </c>
      <c r="H1898">
        <v>1270.5338135</v>
      </c>
      <c r="I1898">
        <v>1393.0328368999999</v>
      </c>
      <c r="J1898">
        <v>1373.7947998</v>
      </c>
      <c r="K1898">
        <v>0</v>
      </c>
      <c r="L1898">
        <v>2400</v>
      </c>
      <c r="M1898">
        <v>2400</v>
      </c>
      <c r="N1898">
        <v>0</v>
      </c>
    </row>
    <row r="1899" spans="1:14" x14ac:dyDescent="0.25">
      <c r="A1899">
        <v>1461.0000010000001</v>
      </c>
      <c r="B1899" s="1">
        <f>DATE(2014,5,1) + TIME(0,0,0)</f>
        <v>41760</v>
      </c>
      <c r="C1899">
        <v>80</v>
      </c>
      <c r="D1899">
        <v>66.245307921999995</v>
      </c>
      <c r="E1899">
        <v>50</v>
      </c>
      <c r="F1899">
        <v>49.977367401000002</v>
      </c>
      <c r="G1899">
        <v>1307.5426024999999</v>
      </c>
      <c r="H1899">
        <v>1288.9948730000001</v>
      </c>
      <c r="I1899">
        <v>1373.7850341999999</v>
      </c>
      <c r="J1899">
        <v>1354.6826172000001</v>
      </c>
      <c r="K1899">
        <v>2400</v>
      </c>
      <c r="L1899">
        <v>0</v>
      </c>
      <c r="M1899">
        <v>0</v>
      </c>
      <c r="N1899">
        <v>2400</v>
      </c>
    </row>
    <row r="1900" spans="1:14" x14ac:dyDescent="0.25">
      <c r="A1900">
        <v>1461.000004</v>
      </c>
      <c r="B1900" s="1">
        <f>DATE(2014,5,1) + TIME(0,0,0)</f>
        <v>41760</v>
      </c>
      <c r="C1900">
        <v>80</v>
      </c>
      <c r="D1900">
        <v>66.245452881000006</v>
      </c>
      <c r="E1900">
        <v>50</v>
      </c>
      <c r="F1900">
        <v>49.977321625000002</v>
      </c>
      <c r="G1900">
        <v>1307.5734863</v>
      </c>
      <c r="H1900">
        <v>1289.03125</v>
      </c>
      <c r="I1900">
        <v>1373.7556152</v>
      </c>
      <c r="J1900">
        <v>1354.6531981999999</v>
      </c>
      <c r="K1900">
        <v>2400</v>
      </c>
      <c r="L1900">
        <v>0</v>
      </c>
      <c r="M1900">
        <v>0</v>
      </c>
      <c r="N1900">
        <v>2400</v>
      </c>
    </row>
    <row r="1901" spans="1:14" x14ac:dyDescent="0.25">
      <c r="A1901">
        <v>1461.0000130000001</v>
      </c>
      <c r="B1901" s="1">
        <f>DATE(2014,5,1) + TIME(0,0,1)</f>
        <v>41760.000011574077</v>
      </c>
      <c r="C1901">
        <v>80</v>
      </c>
      <c r="D1901">
        <v>66.245910644999995</v>
      </c>
      <c r="E1901">
        <v>50</v>
      </c>
      <c r="F1901">
        <v>49.977180480999998</v>
      </c>
      <c r="G1901">
        <v>1307.6657714999999</v>
      </c>
      <c r="H1901">
        <v>1289.1400146000001</v>
      </c>
      <c r="I1901">
        <v>1373.6676024999999</v>
      </c>
      <c r="J1901">
        <v>1354.5651855000001</v>
      </c>
      <c r="K1901">
        <v>2400</v>
      </c>
      <c r="L1901">
        <v>0</v>
      </c>
      <c r="M1901">
        <v>0</v>
      </c>
      <c r="N1901">
        <v>2400</v>
      </c>
    </row>
    <row r="1902" spans="1:14" x14ac:dyDescent="0.25">
      <c r="A1902">
        <v>1461.0000399999999</v>
      </c>
      <c r="B1902" s="1">
        <f>DATE(2014,5,1) + TIME(0,0,3)</f>
        <v>41760.000034722223</v>
      </c>
      <c r="C1902">
        <v>80</v>
      </c>
      <c r="D1902">
        <v>66.247261046999995</v>
      </c>
      <c r="E1902">
        <v>50</v>
      </c>
      <c r="F1902">
        <v>49.976768493999998</v>
      </c>
      <c r="G1902">
        <v>1307.9388428</v>
      </c>
      <c r="H1902">
        <v>1289.4604492000001</v>
      </c>
      <c r="I1902">
        <v>1373.4072266000001</v>
      </c>
      <c r="J1902">
        <v>1354.3044434000001</v>
      </c>
      <c r="K1902">
        <v>2400</v>
      </c>
      <c r="L1902">
        <v>0</v>
      </c>
      <c r="M1902">
        <v>0</v>
      </c>
      <c r="N1902">
        <v>2400</v>
      </c>
    </row>
    <row r="1903" spans="1:14" x14ac:dyDescent="0.25">
      <c r="A1903">
        <v>1461.000121</v>
      </c>
      <c r="B1903" s="1">
        <f>DATE(2014,5,1) + TIME(0,0,10)</f>
        <v>41760.000115740739</v>
      </c>
      <c r="C1903">
        <v>80</v>
      </c>
      <c r="D1903">
        <v>66.251190186000002</v>
      </c>
      <c r="E1903">
        <v>50</v>
      </c>
      <c r="F1903">
        <v>49.975574493000003</v>
      </c>
      <c r="G1903">
        <v>1308.723999</v>
      </c>
      <c r="H1903">
        <v>1290.3756103999999</v>
      </c>
      <c r="I1903">
        <v>1372.6540527</v>
      </c>
      <c r="J1903">
        <v>1353.5507812000001</v>
      </c>
      <c r="K1903">
        <v>2400</v>
      </c>
      <c r="L1903">
        <v>0</v>
      </c>
      <c r="M1903">
        <v>0</v>
      </c>
      <c r="N1903">
        <v>2400</v>
      </c>
    </row>
    <row r="1904" spans="1:14" x14ac:dyDescent="0.25">
      <c r="A1904">
        <v>1461.000364</v>
      </c>
      <c r="B1904" s="1">
        <f>DATE(2014,5,1) + TIME(0,0,31)</f>
        <v>41760.000358796293</v>
      </c>
      <c r="C1904">
        <v>80</v>
      </c>
      <c r="D1904">
        <v>66.262084960999999</v>
      </c>
      <c r="E1904">
        <v>50</v>
      </c>
      <c r="F1904">
        <v>49.972343445</v>
      </c>
      <c r="G1904">
        <v>1310.8215332</v>
      </c>
      <c r="H1904">
        <v>1292.7731934000001</v>
      </c>
      <c r="I1904">
        <v>1370.6164550999999</v>
      </c>
      <c r="J1904">
        <v>1351.5115966999999</v>
      </c>
      <c r="K1904">
        <v>2400</v>
      </c>
      <c r="L1904">
        <v>0</v>
      </c>
      <c r="M1904">
        <v>0</v>
      </c>
      <c r="N1904">
        <v>2400</v>
      </c>
    </row>
    <row r="1905" spans="1:14" x14ac:dyDescent="0.25">
      <c r="A1905">
        <v>1461.0010930000001</v>
      </c>
      <c r="B1905" s="1">
        <f>DATE(2014,5,1) + TIME(0,1,34)</f>
        <v>41760.001087962963</v>
      </c>
      <c r="C1905">
        <v>80</v>
      </c>
      <c r="D1905">
        <v>66.289703368999994</v>
      </c>
      <c r="E1905">
        <v>50</v>
      </c>
      <c r="F1905">
        <v>49.964878081999998</v>
      </c>
      <c r="G1905">
        <v>1315.5625</v>
      </c>
      <c r="H1905">
        <v>1297.9664307</v>
      </c>
      <c r="I1905">
        <v>1365.9053954999999</v>
      </c>
      <c r="J1905">
        <v>1346.7976074000001</v>
      </c>
      <c r="K1905">
        <v>2400</v>
      </c>
      <c r="L1905">
        <v>0</v>
      </c>
      <c r="M1905">
        <v>0</v>
      </c>
      <c r="N1905">
        <v>2400</v>
      </c>
    </row>
    <row r="1906" spans="1:14" x14ac:dyDescent="0.25">
      <c r="A1906">
        <v>1461.0032799999999</v>
      </c>
      <c r="B1906" s="1">
        <f>DATE(2014,5,1) + TIME(0,4,43)</f>
        <v>41760.003275462965</v>
      </c>
      <c r="C1906">
        <v>80</v>
      </c>
      <c r="D1906">
        <v>66.354217528999996</v>
      </c>
      <c r="E1906">
        <v>50</v>
      </c>
      <c r="F1906">
        <v>49.951763153000002</v>
      </c>
      <c r="G1906">
        <v>1323.6364745999999</v>
      </c>
      <c r="H1906">
        <v>1306.2999268000001</v>
      </c>
      <c r="I1906">
        <v>1357.6723632999999</v>
      </c>
      <c r="J1906">
        <v>1338.5609131000001</v>
      </c>
      <c r="K1906">
        <v>2400</v>
      </c>
      <c r="L1906">
        <v>0</v>
      </c>
      <c r="M1906">
        <v>0</v>
      </c>
      <c r="N1906">
        <v>2400</v>
      </c>
    </row>
    <row r="1907" spans="1:14" x14ac:dyDescent="0.25">
      <c r="A1907">
        <v>1461.0098410000001</v>
      </c>
      <c r="B1907" s="1">
        <f>DATE(2014,5,1) + TIME(0,14,10)</f>
        <v>41760.009837962964</v>
      </c>
      <c r="C1907">
        <v>80</v>
      </c>
      <c r="D1907">
        <v>66.510032654</v>
      </c>
      <c r="E1907">
        <v>50</v>
      </c>
      <c r="F1907">
        <v>49.934867859000001</v>
      </c>
      <c r="G1907">
        <v>1333.7249756000001</v>
      </c>
      <c r="H1907">
        <v>1316.3028564000001</v>
      </c>
      <c r="I1907">
        <v>1347.2226562000001</v>
      </c>
      <c r="J1907">
        <v>1328.1087646000001</v>
      </c>
      <c r="K1907">
        <v>2400</v>
      </c>
      <c r="L1907">
        <v>0</v>
      </c>
      <c r="M1907">
        <v>0</v>
      </c>
      <c r="N1907">
        <v>2400</v>
      </c>
    </row>
    <row r="1908" spans="1:14" x14ac:dyDescent="0.25">
      <c r="A1908">
        <v>1461.029524</v>
      </c>
      <c r="B1908" s="1">
        <f>DATE(2014,5,1) + TIME(0,42,30)</f>
        <v>41760.029513888891</v>
      </c>
      <c r="C1908">
        <v>80</v>
      </c>
      <c r="D1908">
        <v>66.921524047999995</v>
      </c>
      <c r="E1908">
        <v>50</v>
      </c>
      <c r="F1908">
        <v>49.916519164999997</v>
      </c>
      <c r="G1908">
        <v>1344.1867675999999</v>
      </c>
      <c r="H1908">
        <v>1326.6224365</v>
      </c>
      <c r="I1908">
        <v>1336.2878418</v>
      </c>
      <c r="J1908">
        <v>1317.1722411999999</v>
      </c>
      <c r="K1908">
        <v>2400</v>
      </c>
      <c r="L1908">
        <v>0</v>
      </c>
      <c r="M1908">
        <v>0</v>
      </c>
      <c r="N1908">
        <v>2400</v>
      </c>
    </row>
    <row r="1909" spans="1:14" x14ac:dyDescent="0.25">
      <c r="A1909">
        <v>1461.05414</v>
      </c>
      <c r="B1909" s="1">
        <f>DATE(2014,5,1) + TIME(1,17,57)</f>
        <v>41760.054131944446</v>
      </c>
      <c r="C1909">
        <v>80</v>
      </c>
      <c r="D1909">
        <v>67.405372619999994</v>
      </c>
      <c r="E1909">
        <v>50</v>
      </c>
      <c r="F1909">
        <v>49.904613495</v>
      </c>
      <c r="G1909">
        <v>1350.4738769999999</v>
      </c>
      <c r="H1909">
        <v>1332.8596190999999</v>
      </c>
      <c r="I1909">
        <v>1329.6665039</v>
      </c>
      <c r="J1909">
        <v>1310.5491943</v>
      </c>
      <c r="K1909">
        <v>2400</v>
      </c>
      <c r="L1909">
        <v>0</v>
      </c>
      <c r="M1909">
        <v>0</v>
      </c>
      <c r="N1909">
        <v>2400</v>
      </c>
    </row>
    <row r="1910" spans="1:14" x14ac:dyDescent="0.25">
      <c r="A1910">
        <v>1461.0798319999999</v>
      </c>
      <c r="B1910" s="1">
        <f>DATE(2014,5,1) + TIME(1,54,57)</f>
        <v>41760.079826388886</v>
      </c>
      <c r="C1910">
        <v>80</v>
      </c>
      <c r="D1910">
        <v>67.888107300000001</v>
      </c>
      <c r="E1910">
        <v>50</v>
      </c>
      <c r="F1910">
        <v>49.896251677999999</v>
      </c>
      <c r="G1910">
        <v>1354.5095214999999</v>
      </c>
      <c r="H1910">
        <v>1336.8974608999999</v>
      </c>
      <c r="I1910">
        <v>1325.3831786999999</v>
      </c>
      <c r="J1910">
        <v>1306.2637939000001</v>
      </c>
      <c r="K1910">
        <v>2400</v>
      </c>
      <c r="L1910">
        <v>0</v>
      </c>
      <c r="M1910">
        <v>0</v>
      </c>
      <c r="N1910">
        <v>2400</v>
      </c>
    </row>
    <row r="1911" spans="1:14" x14ac:dyDescent="0.25">
      <c r="A1911">
        <v>1461.1063810000001</v>
      </c>
      <c r="B1911" s="1">
        <f>DATE(2014,5,1) + TIME(2,33,11)</f>
        <v>41760.106377314813</v>
      </c>
      <c r="C1911">
        <v>80</v>
      </c>
      <c r="D1911">
        <v>68.366539001000007</v>
      </c>
      <c r="E1911">
        <v>50</v>
      </c>
      <c r="F1911">
        <v>49.889598845999998</v>
      </c>
      <c r="G1911">
        <v>1357.4395752</v>
      </c>
      <c r="H1911">
        <v>1339.8609618999999</v>
      </c>
      <c r="I1911">
        <v>1322.2470702999999</v>
      </c>
      <c r="J1911">
        <v>1303.1251221</v>
      </c>
      <c r="K1911">
        <v>2400</v>
      </c>
      <c r="L1911">
        <v>0</v>
      </c>
      <c r="M1911">
        <v>0</v>
      </c>
      <c r="N1911">
        <v>2400</v>
      </c>
    </row>
    <row r="1912" spans="1:14" x14ac:dyDescent="0.25">
      <c r="A1912">
        <v>1461.1336940000001</v>
      </c>
      <c r="B1912" s="1">
        <f>DATE(2014,5,1) + TIME(3,12,31)</f>
        <v>41760.133692129632</v>
      </c>
      <c r="C1912">
        <v>80</v>
      </c>
      <c r="D1912">
        <v>68.838745117000002</v>
      </c>
      <c r="E1912">
        <v>50</v>
      </c>
      <c r="F1912">
        <v>49.883918762</v>
      </c>
      <c r="G1912">
        <v>1359.7318115</v>
      </c>
      <c r="H1912">
        <v>1342.206543</v>
      </c>
      <c r="I1912">
        <v>1319.7731934000001</v>
      </c>
      <c r="J1912">
        <v>1300.6483154</v>
      </c>
      <c r="K1912">
        <v>2400</v>
      </c>
      <c r="L1912">
        <v>0</v>
      </c>
      <c r="M1912">
        <v>0</v>
      </c>
      <c r="N1912">
        <v>2400</v>
      </c>
    </row>
    <row r="1913" spans="1:14" x14ac:dyDescent="0.25">
      <c r="A1913">
        <v>1461.1617329999999</v>
      </c>
      <c r="B1913" s="1">
        <f>DATE(2014,5,1) + TIME(3,52,53)</f>
        <v>41760.161724537036</v>
      </c>
      <c r="C1913">
        <v>80</v>
      </c>
      <c r="D1913">
        <v>69.303428650000001</v>
      </c>
      <c r="E1913">
        <v>50</v>
      </c>
      <c r="F1913">
        <v>49.878841399999999</v>
      </c>
      <c r="G1913">
        <v>1361.6137695</v>
      </c>
      <c r="H1913">
        <v>1344.1546631000001</v>
      </c>
      <c r="I1913">
        <v>1317.7250977000001</v>
      </c>
      <c r="J1913">
        <v>1298.5968018000001</v>
      </c>
      <c r="K1913">
        <v>2400</v>
      </c>
      <c r="L1913">
        <v>0</v>
      </c>
      <c r="M1913">
        <v>0</v>
      </c>
      <c r="N1913">
        <v>2400</v>
      </c>
    </row>
    <row r="1914" spans="1:14" x14ac:dyDescent="0.25">
      <c r="A1914">
        <v>1461.19048</v>
      </c>
      <c r="B1914" s="1">
        <f>DATE(2014,5,1) + TIME(4,34,17)</f>
        <v>41760.190474537034</v>
      </c>
      <c r="C1914">
        <v>80</v>
      </c>
      <c r="D1914">
        <v>69.759681701999995</v>
      </c>
      <c r="E1914">
        <v>50</v>
      </c>
      <c r="F1914">
        <v>49.874172211000001</v>
      </c>
      <c r="G1914">
        <v>1363.2111815999999</v>
      </c>
      <c r="H1914">
        <v>1345.8265381000001</v>
      </c>
      <c r="I1914">
        <v>1315.9713135</v>
      </c>
      <c r="J1914">
        <v>1296.8395995999999</v>
      </c>
      <c r="K1914">
        <v>2400</v>
      </c>
      <c r="L1914">
        <v>0</v>
      </c>
      <c r="M1914">
        <v>0</v>
      </c>
      <c r="N1914">
        <v>2400</v>
      </c>
    </row>
    <row r="1915" spans="1:14" x14ac:dyDescent="0.25">
      <c r="A1915">
        <v>1461.2198960000001</v>
      </c>
      <c r="B1915" s="1">
        <f>DATE(2014,5,1) + TIME(5,16,38)</f>
        <v>41760.219884259262</v>
      </c>
      <c r="C1915">
        <v>80</v>
      </c>
      <c r="D1915">
        <v>70.206146239999995</v>
      </c>
      <c r="E1915">
        <v>50</v>
      </c>
      <c r="F1915">
        <v>49.869789124</v>
      </c>
      <c r="G1915">
        <v>1364.5981445</v>
      </c>
      <c r="H1915">
        <v>1347.2933350000001</v>
      </c>
      <c r="I1915">
        <v>1314.4344481999999</v>
      </c>
      <c r="J1915">
        <v>1295.2990723</v>
      </c>
      <c r="K1915">
        <v>2400</v>
      </c>
      <c r="L1915">
        <v>0</v>
      </c>
      <c r="M1915">
        <v>0</v>
      </c>
      <c r="N1915">
        <v>2400</v>
      </c>
    </row>
    <row r="1916" spans="1:14" x14ac:dyDescent="0.25">
      <c r="A1916">
        <v>1461.2499760000001</v>
      </c>
      <c r="B1916" s="1">
        <f>DATE(2014,5,1) + TIME(5,59,57)</f>
        <v>41760.249965277777</v>
      </c>
      <c r="C1916">
        <v>80</v>
      </c>
      <c r="D1916">
        <v>70.642242432000003</v>
      </c>
      <c r="E1916">
        <v>50</v>
      </c>
      <c r="F1916">
        <v>49.865615845000001</v>
      </c>
      <c r="G1916">
        <v>1365.8238524999999</v>
      </c>
      <c r="H1916">
        <v>1348.6020507999999</v>
      </c>
      <c r="I1916">
        <v>1313.0629882999999</v>
      </c>
      <c r="J1916">
        <v>1293.9240723</v>
      </c>
      <c r="K1916">
        <v>2400</v>
      </c>
      <c r="L1916">
        <v>0</v>
      </c>
      <c r="M1916">
        <v>0</v>
      </c>
      <c r="N1916">
        <v>2400</v>
      </c>
    </row>
    <row r="1917" spans="1:14" x14ac:dyDescent="0.25">
      <c r="A1917">
        <v>1461.2807299999999</v>
      </c>
      <c r="B1917" s="1">
        <f>DATE(2014,5,1) + TIME(6,44,15)</f>
        <v>41760.280729166669</v>
      </c>
      <c r="C1917">
        <v>80</v>
      </c>
      <c r="D1917">
        <v>71.067817688000005</v>
      </c>
      <c r="E1917">
        <v>50</v>
      </c>
      <c r="F1917">
        <v>49.861598968999999</v>
      </c>
      <c r="G1917">
        <v>1366.9221190999999</v>
      </c>
      <c r="H1917">
        <v>1349.7847899999999</v>
      </c>
      <c r="I1917">
        <v>1311.8218993999999</v>
      </c>
      <c r="J1917">
        <v>1292.6796875</v>
      </c>
      <c r="K1917">
        <v>2400</v>
      </c>
      <c r="L1917">
        <v>0</v>
      </c>
      <c r="M1917">
        <v>0</v>
      </c>
      <c r="N1917">
        <v>2400</v>
      </c>
    </row>
    <row r="1918" spans="1:14" x14ac:dyDescent="0.25">
      <c r="A1918">
        <v>1461.3121759999999</v>
      </c>
      <c r="B1918" s="1">
        <f>DATE(2014,5,1) + TIME(7,29,32)</f>
        <v>41760.312175925923</v>
      </c>
      <c r="C1918">
        <v>80</v>
      </c>
      <c r="D1918">
        <v>71.482688904</v>
      </c>
      <c r="E1918">
        <v>50</v>
      </c>
      <c r="F1918">
        <v>49.857700348000002</v>
      </c>
      <c r="G1918">
        <v>1367.9168701000001</v>
      </c>
      <c r="H1918">
        <v>1350.8643798999999</v>
      </c>
      <c r="I1918">
        <v>1310.6862793</v>
      </c>
      <c r="J1918">
        <v>1291.5408935999999</v>
      </c>
      <c r="K1918">
        <v>2400</v>
      </c>
      <c r="L1918">
        <v>0</v>
      </c>
      <c r="M1918">
        <v>0</v>
      </c>
      <c r="N1918">
        <v>2400</v>
      </c>
    </row>
    <row r="1919" spans="1:14" x14ac:dyDescent="0.25">
      <c r="A1919">
        <v>1461.344335</v>
      </c>
      <c r="B1919" s="1">
        <f>DATE(2014,5,1) + TIME(8,15,50)</f>
        <v>41760.344328703701</v>
      </c>
      <c r="C1919">
        <v>80</v>
      </c>
      <c r="D1919">
        <v>71.886741638000004</v>
      </c>
      <c r="E1919">
        <v>50</v>
      </c>
      <c r="F1919">
        <v>49.853889465000002</v>
      </c>
      <c r="G1919">
        <v>1368.8258057</v>
      </c>
      <c r="H1919">
        <v>1351.8580322</v>
      </c>
      <c r="I1919">
        <v>1309.6380615</v>
      </c>
      <c r="J1919">
        <v>1290.4898682</v>
      </c>
      <c r="K1919">
        <v>2400</v>
      </c>
      <c r="L1919">
        <v>0</v>
      </c>
      <c r="M1919">
        <v>0</v>
      </c>
      <c r="N1919">
        <v>2400</v>
      </c>
    </row>
    <row r="1920" spans="1:14" x14ac:dyDescent="0.25">
      <c r="A1920">
        <v>1461.3772280000001</v>
      </c>
      <c r="B1920" s="1">
        <f>DATE(2014,5,1) + TIME(9,3,12)</f>
        <v>41760.377222222225</v>
      </c>
      <c r="C1920">
        <v>80</v>
      </c>
      <c r="D1920">
        <v>72.279838561999995</v>
      </c>
      <c r="E1920">
        <v>50</v>
      </c>
      <c r="F1920">
        <v>49.850143433</v>
      </c>
      <c r="G1920">
        <v>1369.6621094</v>
      </c>
      <c r="H1920">
        <v>1352.7781981999999</v>
      </c>
      <c r="I1920">
        <v>1308.6636963000001</v>
      </c>
      <c r="J1920">
        <v>1289.5129394999999</v>
      </c>
      <c r="K1920">
        <v>2400</v>
      </c>
      <c r="L1920">
        <v>0</v>
      </c>
      <c r="M1920">
        <v>0</v>
      </c>
      <c r="N1920">
        <v>2400</v>
      </c>
    </row>
    <row r="1921" spans="1:14" x14ac:dyDescent="0.25">
      <c r="A1921">
        <v>1461.410891</v>
      </c>
      <c r="B1921" s="1">
        <f>DATE(2014,5,1) + TIME(9,51,40)</f>
        <v>41760.410879629628</v>
      </c>
      <c r="C1921">
        <v>80</v>
      </c>
      <c r="D1921">
        <v>72.662078856999997</v>
      </c>
      <c r="E1921">
        <v>50</v>
      </c>
      <c r="F1921">
        <v>49.846443176000001</v>
      </c>
      <c r="G1921">
        <v>1370.4364014</v>
      </c>
      <c r="H1921">
        <v>1353.6352539</v>
      </c>
      <c r="I1921">
        <v>1307.7525635</v>
      </c>
      <c r="J1921">
        <v>1288.5993652</v>
      </c>
      <c r="K1921">
        <v>2400</v>
      </c>
      <c r="L1921">
        <v>0</v>
      </c>
      <c r="M1921">
        <v>0</v>
      </c>
      <c r="N1921">
        <v>2400</v>
      </c>
    </row>
    <row r="1922" spans="1:14" x14ac:dyDescent="0.25">
      <c r="A1922">
        <v>1461.4453599999999</v>
      </c>
      <c r="B1922" s="1">
        <f>DATE(2014,5,1) + TIME(10,41,19)</f>
        <v>41760.4453587963</v>
      </c>
      <c r="C1922">
        <v>80</v>
      </c>
      <c r="D1922">
        <v>73.033477782999995</v>
      </c>
      <c r="E1922">
        <v>50</v>
      </c>
      <c r="F1922">
        <v>49.842773438000002</v>
      </c>
      <c r="G1922">
        <v>1371.1572266000001</v>
      </c>
      <c r="H1922">
        <v>1354.4372559000001</v>
      </c>
      <c r="I1922">
        <v>1306.8962402</v>
      </c>
      <c r="J1922">
        <v>1287.7408447</v>
      </c>
      <c r="K1922">
        <v>2400</v>
      </c>
      <c r="L1922">
        <v>0</v>
      </c>
      <c r="M1922">
        <v>0</v>
      </c>
      <c r="N1922">
        <v>2400</v>
      </c>
    </row>
    <row r="1923" spans="1:14" x14ac:dyDescent="0.25">
      <c r="A1923">
        <v>1461.4806759999999</v>
      </c>
      <c r="B1923" s="1">
        <f>DATE(2014,5,1) + TIME(11,32,10)</f>
        <v>41760.480671296296</v>
      </c>
      <c r="C1923">
        <v>80</v>
      </c>
      <c r="D1923">
        <v>73.394096375000004</v>
      </c>
      <c r="E1923">
        <v>50</v>
      </c>
      <c r="F1923">
        <v>49.839126587000003</v>
      </c>
      <c r="G1923">
        <v>1371.8311768000001</v>
      </c>
      <c r="H1923">
        <v>1355.1907959</v>
      </c>
      <c r="I1923">
        <v>1306.0878906</v>
      </c>
      <c r="J1923">
        <v>1286.9305420000001</v>
      </c>
      <c r="K1923">
        <v>2400</v>
      </c>
      <c r="L1923">
        <v>0</v>
      </c>
      <c r="M1923">
        <v>0</v>
      </c>
      <c r="N1923">
        <v>2400</v>
      </c>
    </row>
    <row r="1924" spans="1:14" x14ac:dyDescent="0.25">
      <c r="A1924">
        <v>1461.516881</v>
      </c>
      <c r="B1924" s="1">
        <f>DATE(2014,5,1) + TIME(12,24,18)</f>
        <v>41760.516875000001</v>
      </c>
      <c r="C1924">
        <v>80</v>
      </c>
      <c r="D1924">
        <v>73.743980407999999</v>
      </c>
      <c r="E1924">
        <v>50</v>
      </c>
      <c r="F1924">
        <v>49.835487366000002</v>
      </c>
      <c r="G1924">
        <v>1372.4637451000001</v>
      </c>
      <c r="H1924">
        <v>1355.9013672000001</v>
      </c>
      <c r="I1924">
        <v>1305.3220214999999</v>
      </c>
      <c r="J1924">
        <v>1286.1628418</v>
      </c>
      <c r="K1924">
        <v>2400</v>
      </c>
      <c r="L1924">
        <v>0</v>
      </c>
      <c r="M1924">
        <v>0</v>
      </c>
      <c r="N1924">
        <v>2400</v>
      </c>
    </row>
    <row r="1925" spans="1:14" x14ac:dyDescent="0.25">
      <c r="A1925">
        <v>1461.5540229999999</v>
      </c>
      <c r="B1925" s="1">
        <f>DATE(2014,5,1) + TIME(13,17,47)</f>
        <v>41760.554016203707</v>
      </c>
      <c r="C1925">
        <v>80</v>
      </c>
      <c r="D1925">
        <v>74.083221436000002</v>
      </c>
      <c r="E1925">
        <v>50</v>
      </c>
      <c r="F1925">
        <v>49.831844330000003</v>
      </c>
      <c r="G1925">
        <v>1373.0599365</v>
      </c>
      <c r="H1925">
        <v>1356.5734863</v>
      </c>
      <c r="I1925">
        <v>1304.5939940999999</v>
      </c>
      <c r="J1925">
        <v>1285.4332274999999</v>
      </c>
      <c r="K1925">
        <v>2400</v>
      </c>
      <c r="L1925">
        <v>0</v>
      </c>
      <c r="M1925">
        <v>0</v>
      </c>
      <c r="N1925">
        <v>2400</v>
      </c>
    </row>
    <row r="1926" spans="1:14" x14ac:dyDescent="0.25">
      <c r="A1926">
        <v>1461.592155</v>
      </c>
      <c r="B1926" s="1">
        <f>DATE(2014,5,1) + TIME(14,12,42)</f>
        <v>41760.592152777775</v>
      </c>
      <c r="C1926">
        <v>80</v>
      </c>
      <c r="D1926">
        <v>74.411903381000002</v>
      </c>
      <c r="E1926">
        <v>50</v>
      </c>
      <c r="F1926">
        <v>49.828189850000001</v>
      </c>
      <c r="G1926">
        <v>1373.6234131000001</v>
      </c>
      <c r="H1926">
        <v>1357.2113036999999</v>
      </c>
      <c r="I1926">
        <v>1303.9000243999999</v>
      </c>
      <c r="J1926">
        <v>1284.7375488</v>
      </c>
      <c r="K1926">
        <v>2400</v>
      </c>
      <c r="L1926">
        <v>0</v>
      </c>
      <c r="M1926">
        <v>0</v>
      </c>
      <c r="N1926">
        <v>2400</v>
      </c>
    </row>
    <row r="1927" spans="1:14" x14ac:dyDescent="0.25">
      <c r="A1927">
        <v>1461.631335</v>
      </c>
      <c r="B1927" s="1">
        <f>DATE(2014,5,1) + TIME(15,9,7)</f>
        <v>41760.631331018521</v>
      </c>
      <c r="C1927">
        <v>80</v>
      </c>
      <c r="D1927">
        <v>74.730117797999995</v>
      </c>
      <c r="E1927">
        <v>50</v>
      </c>
      <c r="F1927">
        <v>49.824516295999999</v>
      </c>
      <c r="G1927">
        <v>1374.1577147999999</v>
      </c>
      <c r="H1927">
        <v>1357.8179932</v>
      </c>
      <c r="I1927">
        <v>1303.2365723</v>
      </c>
      <c r="J1927">
        <v>1284.0727539</v>
      </c>
      <c r="K1927">
        <v>2400</v>
      </c>
      <c r="L1927">
        <v>0</v>
      </c>
      <c r="M1927">
        <v>0</v>
      </c>
      <c r="N1927">
        <v>2400</v>
      </c>
    </row>
    <row r="1928" spans="1:14" x14ac:dyDescent="0.25">
      <c r="A1928">
        <v>1461.6716269999999</v>
      </c>
      <c r="B1928" s="1">
        <f>DATE(2014,5,1) + TIME(16,7,8)</f>
        <v>41760.671620370369</v>
      </c>
      <c r="C1928">
        <v>80</v>
      </c>
      <c r="D1928">
        <v>75.037925720000004</v>
      </c>
      <c r="E1928">
        <v>50</v>
      </c>
      <c r="F1928">
        <v>49.820816039999997</v>
      </c>
      <c r="G1928">
        <v>1374.6658935999999</v>
      </c>
      <c r="H1928">
        <v>1358.3966064000001</v>
      </c>
      <c r="I1928">
        <v>1302.6008300999999</v>
      </c>
      <c r="J1928">
        <v>1283.4355469</v>
      </c>
      <c r="K1928">
        <v>2400</v>
      </c>
      <c r="L1928">
        <v>0</v>
      </c>
      <c r="M1928">
        <v>0</v>
      </c>
      <c r="N1928">
        <v>2400</v>
      </c>
    </row>
    <row r="1929" spans="1:14" x14ac:dyDescent="0.25">
      <c r="A1929">
        <v>1461.7130999999999</v>
      </c>
      <c r="B1929" s="1">
        <f>DATE(2014,5,1) + TIME(17,6,51)</f>
        <v>41760.713090277779</v>
      </c>
      <c r="C1929">
        <v>80</v>
      </c>
      <c r="D1929">
        <v>75.335281371999997</v>
      </c>
      <c r="E1929">
        <v>50</v>
      </c>
      <c r="F1929">
        <v>49.817081451</v>
      </c>
      <c r="G1929">
        <v>1375.1502685999999</v>
      </c>
      <c r="H1929">
        <v>1358.9495850000001</v>
      </c>
      <c r="I1929">
        <v>1301.9902344</v>
      </c>
      <c r="J1929">
        <v>1282.8237305</v>
      </c>
      <c r="K1929">
        <v>2400</v>
      </c>
      <c r="L1929">
        <v>0</v>
      </c>
      <c r="M1929">
        <v>0</v>
      </c>
      <c r="N1929">
        <v>2400</v>
      </c>
    </row>
    <row r="1930" spans="1:14" x14ac:dyDescent="0.25">
      <c r="A1930">
        <v>1461.755848</v>
      </c>
      <c r="B1930" s="1">
        <f>DATE(2014,5,1) + TIME(18,8,25)</f>
        <v>41760.755844907406</v>
      </c>
      <c r="C1930">
        <v>80</v>
      </c>
      <c r="D1930">
        <v>75.622558593999997</v>
      </c>
      <c r="E1930">
        <v>50</v>
      </c>
      <c r="F1930">
        <v>49.813301086000003</v>
      </c>
      <c r="G1930">
        <v>1375.6132812000001</v>
      </c>
      <c r="H1930">
        <v>1359.4796143000001</v>
      </c>
      <c r="I1930">
        <v>1301.4023437999999</v>
      </c>
      <c r="J1930">
        <v>1282.2347411999999</v>
      </c>
      <c r="K1930">
        <v>2400</v>
      </c>
      <c r="L1930">
        <v>0</v>
      </c>
      <c r="M1930">
        <v>0</v>
      </c>
      <c r="N1930">
        <v>2400</v>
      </c>
    </row>
    <row r="1931" spans="1:14" x14ac:dyDescent="0.25">
      <c r="A1931">
        <v>1461.7999440000001</v>
      </c>
      <c r="B1931" s="1">
        <f>DATE(2014,5,1) + TIME(19,11,55)</f>
        <v>41760.799942129626</v>
      </c>
      <c r="C1931">
        <v>80</v>
      </c>
      <c r="D1931">
        <v>75.899780273000005</v>
      </c>
      <c r="E1931">
        <v>50</v>
      </c>
      <c r="F1931">
        <v>49.809467316000003</v>
      </c>
      <c r="G1931">
        <v>1376.0568848</v>
      </c>
      <c r="H1931">
        <v>1359.9882812000001</v>
      </c>
      <c r="I1931">
        <v>1300.8354492000001</v>
      </c>
      <c r="J1931">
        <v>1281.666626</v>
      </c>
      <c r="K1931">
        <v>2400</v>
      </c>
      <c r="L1931">
        <v>0</v>
      </c>
      <c r="M1931">
        <v>0</v>
      </c>
      <c r="N1931">
        <v>2400</v>
      </c>
    </row>
    <row r="1932" spans="1:14" x14ac:dyDescent="0.25">
      <c r="A1932">
        <v>1461.8454790000001</v>
      </c>
      <c r="B1932" s="1">
        <f>DATE(2014,5,1) + TIME(20,17,29)</f>
        <v>41760.84547453704</v>
      </c>
      <c r="C1932">
        <v>80</v>
      </c>
      <c r="D1932">
        <v>76.167015075999998</v>
      </c>
      <c r="E1932">
        <v>50</v>
      </c>
      <c r="F1932">
        <v>49.805572509999998</v>
      </c>
      <c r="G1932">
        <v>1376.4827881000001</v>
      </c>
      <c r="H1932">
        <v>1360.4775391000001</v>
      </c>
      <c r="I1932">
        <v>1300.2877197</v>
      </c>
      <c r="J1932">
        <v>1281.1179199000001</v>
      </c>
      <c r="K1932">
        <v>2400</v>
      </c>
      <c r="L1932">
        <v>0</v>
      </c>
      <c r="M1932">
        <v>0</v>
      </c>
      <c r="N1932">
        <v>2400</v>
      </c>
    </row>
    <row r="1933" spans="1:14" x14ac:dyDescent="0.25">
      <c r="A1933">
        <v>1461.892556</v>
      </c>
      <c r="B1933" s="1">
        <f>DATE(2014,5,1) + TIME(21,25,16)</f>
        <v>41760.892546296294</v>
      </c>
      <c r="C1933">
        <v>80</v>
      </c>
      <c r="D1933">
        <v>76.424362183</v>
      </c>
      <c r="E1933">
        <v>50</v>
      </c>
      <c r="F1933">
        <v>49.801609038999999</v>
      </c>
      <c r="G1933">
        <v>1376.8925781</v>
      </c>
      <c r="H1933">
        <v>1360.9489745999999</v>
      </c>
      <c r="I1933">
        <v>1299.7578125</v>
      </c>
      <c r="J1933">
        <v>1280.5870361</v>
      </c>
      <c r="K1933">
        <v>2400</v>
      </c>
      <c r="L1933">
        <v>0</v>
      </c>
      <c r="M1933">
        <v>0</v>
      </c>
      <c r="N1933">
        <v>2400</v>
      </c>
    </row>
    <row r="1934" spans="1:14" x14ac:dyDescent="0.25">
      <c r="A1934">
        <v>1461.9412910000001</v>
      </c>
      <c r="B1934" s="1">
        <f>DATE(2014,5,1) + TIME(22,35,27)</f>
        <v>41760.941284722219</v>
      </c>
      <c r="C1934">
        <v>80</v>
      </c>
      <c r="D1934">
        <v>76.671920775999993</v>
      </c>
      <c r="E1934">
        <v>50</v>
      </c>
      <c r="F1934">
        <v>49.797569275000001</v>
      </c>
      <c r="G1934">
        <v>1377.2874756000001</v>
      </c>
      <c r="H1934">
        <v>1361.4039307</v>
      </c>
      <c r="I1934">
        <v>1299.2441406</v>
      </c>
      <c r="J1934">
        <v>1280.0723877</v>
      </c>
      <c r="K1934">
        <v>2400</v>
      </c>
      <c r="L1934">
        <v>0</v>
      </c>
      <c r="M1934">
        <v>0</v>
      </c>
      <c r="N1934">
        <v>2400</v>
      </c>
    </row>
    <row r="1935" spans="1:14" x14ac:dyDescent="0.25">
      <c r="A1935">
        <v>1461.9918110000001</v>
      </c>
      <c r="B1935" s="1">
        <f>DATE(2014,5,1) + TIME(23,48,12)</f>
        <v>41760.991805555554</v>
      </c>
      <c r="C1935">
        <v>80</v>
      </c>
      <c r="D1935">
        <v>76.909782410000005</v>
      </c>
      <c r="E1935">
        <v>50</v>
      </c>
      <c r="F1935">
        <v>49.793445587000001</v>
      </c>
      <c r="G1935">
        <v>1377.6689452999999</v>
      </c>
      <c r="H1935">
        <v>1361.84375</v>
      </c>
      <c r="I1935">
        <v>1298.7453613</v>
      </c>
      <c r="J1935">
        <v>1279.5727539</v>
      </c>
      <c r="K1935">
        <v>2400</v>
      </c>
      <c r="L1935">
        <v>0</v>
      </c>
      <c r="M1935">
        <v>0</v>
      </c>
      <c r="N1935">
        <v>2400</v>
      </c>
    </row>
    <row r="1936" spans="1:14" x14ac:dyDescent="0.25">
      <c r="A1936">
        <v>1462.044261</v>
      </c>
      <c r="B1936" s="1">
        <f>DATE(2014,5,2) + TIME(1,3,44)</f>
        <v>41761.044259259259</v>
      </c>
      <c r="C1936">
        <v>80</v>
      </c>
      <c r="D1936">
        <v>77.138053893999995</v>
      </c>
      <c r="E1936">
        <v>50</v>
      </c>
      <c r="F1936">
        <v>49.789218902999998</v>
      </c>
      <c r="G1936">
        <v>1378.0380858999999</v>
      </c>
      <c r="H1936">
        <v>1362.2697754000001</v>
      </c>
      <c r="I1936">
        <v>1298.2606201000001</v>
      </c>
      <c r="J1936">
        <v>1279.0871582</v>
      </c>
      <c r="K1936">
        <v>2400</v>
      </c>
      <c r="L1936">
        <v>0</v>
      </c>
      <c r="M1936">
        <v>0</v>
      </c>
      <c r="N1936">
        <v>2400</v>
      </c>
    </row>
    <row r="1937" spans="1:14" x14ac:dyDescent="0.25">
      <c r="A1937">
        <v>1462.0988010000001</v>
      </c>
      <c r="B1937" s="1">
        <f>DATE(2014,5,2) + TIME(2,22,16)</f>
        <v>41761.098796296297</v>
      </c>
      <c r="C1937">
        <v>80</v>
      </c>
      <c r="D1937">
        <v>77.356826781999999</v>
      </c>
      <c r="E1937">
        <v>50</v>
      </c>
      <c r="F1937">
        <v>49.784885406000001</v>
      </c>
      <c r="G1937">
        <v>1378.395874</v>
      </c>
      <c r="H1937">
        <v>1362.6829834</v>
      </c>
      <c r="I1937">
        <v>1297.7885742000001</v>
      </c>
      <c r="J1937">
        <v>1278.6142577999999</v>
      </c>
      <c r="K1937">
        <v>2400</v>
      </c>
      <c r="L1937">
        <v>0</v>
      </c>
      <c r="M1937">
        <v>0</v>
      </c>
      <c r="N1937">
        <v>2400</v>
      </c>
    </row>
    <row r="1938" spans="1:14" x14ac:dyDescent="0.25">
      <c r="A1938">
        <v>1462.155616</v>
      </c>
      <c r="B1938" s="1">
        <f>DATE(2014,5,2) + TIME(3,44,5)</f>
        <v>41761.155613425923</v>
      </c>
      <c r="C1938">
        <v>80</v>
      </c>
      <c r="D1938">
        <v>77.566177367999998</v>
      </c>
      <c r="E1938">
        <v>50</v>
      </c>
      <c r="F1938">
        <v>49.780433655000003</v>
      </c>
      <c r="G1938">
        <v>1378.7432861</v>
      </c>
      <c r="H1938">
        <v>1363.0843506000001</v>
      </c>
      <c r="I1938">
        <v>1297.3283690999999</v>
      </c>
      <c r="J1938">
        <v>1278.1533202999999</v>
      </c>
      <c r="K1938">
        <v>2400</v>
      </c>
      <c r="L1938">
        <v>0</v>
      </c>
      <c r="M1938">
        <v>0</v>
      </c>
      <c r="N1938">
        <v>2400</v>
      </c>
    </row>
    <row r="1939" spans="1:14" x14ac:dyDescent="0.25">
      <c r="A1939">
        <v>1462.214911</v>
      </c>
      <c r="B1939" s="1">
        <f>DATE(2014,5,2) + TIME(5,9,28)</f>
        <v>41761.214907407404</v>
      </c>
      <c r="C1939">
        <v>80</v>
      </c>
      <c r="D1939">
        <v>77.766212463000002</v>
      </c>
      <c r="E1939">
        <v>50</v>
      </c>
      <c r="F1939">
        <v>49.775848388999997</v>
      </c>
      <c r="G1939">
        <v>1379.0812988</v>
      </c>
      <c r="H1939">
        <v>1363.4749756000001</v>
      </c>
      <c r="I1939">
        <v>1296.8791504000001</v>
      </c>
      <c r="J1939">
        <v>1277.7032471</v>
      </c>
      <c r="K1939">
        <v>2400</v>
      </c>
      <c r="L1939">
        <v>0</v>
      </c>
      <c r="M1939">
        <v>0</v>
      </c>
      <c r="N1939">
        <v>2400</v>
      </c>
    </row>
    <row r="1940" spans="1:14" x14ac:dyDescent="0.25">
      <c r="A1940">
        <v>1462.276942</v>
      </c>
      <c r="B1940" s="1">
        <f>DATE(2014,5,2) + TIME(6,38,47)</f>
        <v>41761.276932870373</v>
      </c>
      <c r="C1940">
        <v>80</v>
      </c>
      <c r="D1940">
        <v>77.957061768000003</v>
      </c>
      <c r="E1940">
        <v>50</v>
      </c>
      <c r="F1940">
        <v>49.771110534999998</v>
      </c>
      <c r="G1940">
        <v>1379.4107666</v>
      </c>
      <c r="H1940">
        <v>1363.8557129000001</v>
      </c>
      <c r="I1940">
        <v>1296.4399414</v>
      </c>
      <c r="J1940">
        <v>1277.2631836</v>
      </c>
      <c r="K1940">
        <v>2400</v>
      </c>
      <c r="L1940">
        <v>0</v>
      </c>
      <c r="M1940">
        <v>0</v>
      </c>
      <c r="N1940">
        <v>2400</v>
      </c>
    </row>
    <row r="1941" spans="1:14" x14ac:dyDescent="0.25">
      <c r="A1941">
        <v>1462.341993</v>
      </c>
      <c r="B1941" s="1">
        <f>DATE(2014,5,2) + TIME(8,12,28)</f>
        <v>41761.341990740744</v>
      </c>
      <c r="C1941">
        <v>80</v>
      </c>
      <c r="D1941">
        <v>78.138832092000001</v>
      </c>
      <c r="E1941">
        <v>50</v>
      </c>
      <c r="F1941">
        <v>49.766204834</v>
      </c>
      <c r="G1941">
        <v>1379.7324219</v>
      </c>
      <c r="H1941">
        <v>1364.2275391000001</v>
      </c>
      <c r="I1941">
        <v>1296.0097656</v>
      </c>
      <c r="J1941">
        <v>1276.8323975000001</v>
      </c>
      <c r="K1941">
        <v>2400</v>
      </c>
      <c r="L1941">
        <v>0</v>
      </c>
      <c r="M1941">
        <v>0</v>
      </c>
      <c r="N1941">
        <v>2400</v>
      </c>
    </row>
    <row r="1942" spans="1:14" x14ac:dyDescent="0.25">
      <c r="A1942">
        <v>1462.4103520000001</v>
      </c>
      <c r="B1942" s="1">
        <f>DATE(2014,5,2) + TIME(9,50,54)</f>
        <v>41761.41034722222</v>
      </c>
      <c r="C1942">
        <v>80</v>
      </c>
      <c r="D1942">
        <v>78.311523437999995</v>
      </c>
      <c r="E1942">
        <v>50</v>
      </c>
      <c r="F1942">
        <v>49.761116028000004</v>
      </c>
      <c r="G1942">
        <v>1380.0469971</v>
      </c>
      <c r="H1942">
        <v>1364.5910644999999</v>
      </c>
      <c r="I1942">
        <v>1295.5883789</v>
      </c>
      <c r="J1942">
        <v>1276.4101562000001</v>
      </c>
      <c r="K1942">
        <v>2400</v>
      </c>
      <c r="L1942">
        <v>0</v>
      </c>
      <c r="M1942">
        <v>0</v>
      </c>
      <c r="N1942">
        <v>2400</v>
      </c>
    </row>
    <row r="1943" spans="1:14" x14ac:dyDescent="0.25">
      <c r="A1943">
        <v>1462.4823819999999</v>
      </c>
      <c r="B1943" s="1">
        <f>DATE(2014,5,2) + TIME(11,34,37)</f>
        <v>41761.482372685183</v>
      </c>
      <c r="C1943">
        <v>80</v>
      </c>
      <c r="D1943">
        <v>78.475212096999996</v>
      </c>
      <c r="E1943">
        <v>50</v>
      </c>
      <c r="F1943">
        <v>49.755821228000002</v>
      </c>
      <c r="G1943">
        <v>1380.3549805</v>
      </c>
      <c r="H1943">
        <v>1364.9467772999999</v>
      </c>
      <c r="I1943">
        <v>1295.1749268000001</v>
      </c>
      <c r="J1943">
        <v>1275.9960937999999</v>
      </c>
      <c r="K1943">
        <v>2400</v>
      </c>
      <c r="L1943">
        <v>0</v>
      </c>
      <c r="M1943">
        <v>0</v>
      </c>
      <c r="N1943">
        <v>2400</v>
      </c>
    </row>
    <row r="1944" spans="1:14" x14ac:dyDescent="0.25">
      <c r="A1944">
        <v>1462.558511</v>
      </c>
      <c r="B1944" s="1">
        <f>DATE(2014,5,2) + TIME(13,24,15)</f>
        <v>41761.558506944442</v>
      </c>
      <c r="C1944">
        <v>80</v>
      </c>
      <c r="D1944">
        <v>78.629981994999994</v>
      </c>
      <c r="E1944">
        <v>50</v>
      </c>
      <c r="F1944">
        <v>49.750293732000003</v>
      </c>
      <c r="G1944">
        <v>1380.6571045000001</v>
      </c>
      <c r="H1944">
        <v>1365.2957764</v>
      </c>
      <c r="I1944">
        <v>1294.7689209</v>
      </c>
      <c r="J1944">
        <v>1275.5893555</v>
      </c>
      <c r="K1944">
        <v>2400</v>
      </c>
      <c r="L1944">
        <v>0</v>
      </c>
      <c r="M1944">
        <v>0</v>
      </c>
      <c r="N1944">
        <v>2400</v>
      </c>
    </row>
    <row r="1945" spans="1:14" x14ac:dyDescent="0.25">
      <c r="A1945">
        <v>1462.6392390000001</v>
      </c>
      <c r="B1945" s="1">
        <f>DATE(2014,5,2) + TIME(15,20,30)</f>
        <v>41761.639236111114</v>
      </c>
      <c r="C1945">
        <v>80</v>
      </c>
      <c r="D1945">
        <v>78.775894164999997</v>
      </c>
      <c r="E1945">
        <v>50</v>
      </c>
      <c r="F1945">
        <v>49.744506835999999</v>
      </c>
      <c r="G1945">
        <v>1380.9538574000001</v>
      </c>
      <c r="H1945">
        <v>1365.6383057</v>
      </c>
      <c r="I1945">
        <v>1294.369751</v>
      </c>
      <c r="J1945">
        <v>1275.1894531</v>
      </c>
      <c r="K1945">
        <v>2400</v>
      </c>
      <c r="L1945">
        <v>0</v>
      </c>
      <c r="M1945">
        <v>0</v>
      </c>
      <c r="N1945">
        <v>2400</v>
      </c>
    </row>
    <row r="1946" spans="1:14" x14ac:dyDescent="0.25">
      <c r="A1946">
        <v>1462.725152</v>
      </c>
      <c r="B1946" s="1">
        <f>DATE(2014,5,2) + TIME(17,24,13)</f>
        <v>41761.72515046296</v>
      </c>
      <c r="C1946">
        <v>80</v>
      </c>
      <c r="D1946">
        <v>78.912986755000006</v>
      </c>
      <c r="E1946">
        <v>50</v>
      </c>
      <c r="F1946">
        <v>49.738426208</v>
      </c>
      <c r="G1946">
        <v>1381.2457274999999</v>
      </c>
      <c r="H1946">
        <v>1365.9753418</v>
      </c>
      <c r="I1946">
        <v>1293.9770507999999</v>
      </c>
      <c r="J1946">
        <v>1274.7958983999999</v>
      </c>
      <c r="K1946">
        <v>2400</v>
      </c>
      <c r="L1946">
        <v>0</v>
      </c>
      <c r="M1946">
        <v>0</v>
      </c>
      <c r="N1946">
        <v>2400</v>
      </c>
    </row>
    <row r="1947" spans="1:14" x14ac:dyDescent="0.25">
      <c r="A1947">
        <v>1462.8169889999999</v>
      </c>
      <c r="B1947" s="1">
        <f>DATE(2014,5,2) + TIME(19,36,27)</f>
        <v>41761.816979166666</v>
      </c>
      <c r="C1947">
        <v>80</v>
      </c>
      <c r="D1947">
        <v>79.041374207000004</v>
      </c>
      <c r="E1947">
        <v>50</v>
      </c>
      <c r="F1947">
        <v>49.732009888</v>
      </c>
      <c r="G1947">
        <v>1381.5334473</v>
      </c>
      <c r="H1947">
        <v>1366.307251</v>
      </c>
      <c r="I1947">
        <v>1293.5900879000001</v>
      </c>
      <c r="J1947">
        <v>1274.4083252</v>
      </c>
      <c r="K1947">
        <v>2400</v>
      </c>
      <c r="L1947">
        <v>0</v>
      </c>
      <c r="M1947">
        <v>0</v>
      </c>
      <c r="N1947">
        <v>2400</v>
      </c>
    </row>
    <row r="1948" spans="1:14" x14ac:dyDescent="0.25">
      <c r="A1948">
        <v>1462.9156330000001</v>
      </c>
      <c r="B1948" s="1">
        <f>DATE(2014,5,2) + TIME(21,58,30)</f>
        <v>41761.915625000001</v>
      </c>
      <c r="C1948">
        <v>80</v>
      </c>
      <c r="D1948">
        <v>79.161102295000006</v>
      </c>
      <c r="E1948">
        <v>50</v>
      </c>
      <c r="F1948">
        <v>49.725212096999996</v>
      </c>
      <c r="G1948">
        <v>1381.8173827999999</v>
      </c>
      <c r="H1948">
        <v>1366.6347656</v>
      </c>
      <c r="I1948">
        <v>1293.2087402</v>
      </c>
      <c r="J1948">
        <v>1274.0261230000001</v>
      </c>
      <c r="K1948">
        <v>2400</v>
      </c>
      <c r="L1948">
        <v>0</v>
      </c>
      <c r="M1948">
        <v>0</v>
      </c>
      <c r="N1948">
        <v>2400</v>
      </c>
    </row>
    <row r="1949" spans="1:14" x14ac:dyDescent="0.25">
      <c r="A1949">
        <v>1463.0221739999999</v>
      </c>
      <c r="B1949" s="1">
        <f>DATE(2014,5,3) + TIME(0,31,55)</f>
        <v>41762.022164351853</v>
      </c>
      <c r="C1949">
        <v>80</v>
      </c>
      <c r="D1949">
        <v>79.272239685000002</v>
      </c>
      <c r="E1949">
        <v>50</v>
      </c>
      <c r="F1949">
        <v>49.717971802000001</v>
      </c>
      <c r="G1949">
        <v>1382.0981445</v>
      </c>
      <c r="H1949">
        <v>1366.9584961</v>
      </c>
      <c r="I1949">
        <v>1292.8323975000001</v>
      </c>
      <c r="J1949">
        <v>1273.6490478999999</v>
      </c>
      <c r="K1949">
        <v>2400</v>
      </c>
      <c r="L1949">
        <v>0</v>
      </c>
      <c r="M1949">
        <v>0</v>
      </c>
      <c r="N1949">
        <v>2400</v>
      </c>
    </row>
    <row r="1950" spans="1:14" x14ac:dyDescent="0.25">
      <c r="A1950">
        <v>1463.130701</v>
      </c>
      <c r="B1950" s="1">
        <f>DATE(2014,5,3) + TIME(3,8,12)</f>
        <v>41762.130694444444</v>
      </c>
      <c r="C1950">
        <v>80</v>
      </c>
      <c r="D1950">
        <v>79.369308472</v>
      </c>
      <c r="E1950">
        <v>50</v>
      </c>
      <c r="F1950">
        <v>49.710639954000001</v>
      </c>
      <c r="G1950">
        <v>1382.3591309000001</v>
      </c>
      <c r="H1950">
        <v>1367.2596435999999</v>
      </c>
      <c r="I1950">
        <v>1292.4821777</v>
      </c>
      <c r="J1950">
        <v>1273.2980957</v>
      </c>
      <c r="K1950">
        <v>2400</v>
      </c>
      <c r="L1950">
        <v>0</v>
      </c>
      <c r="M1950">
        <v>0</v>
      </c>
      <c r="N1950">
        <v>2400</v>
      </c>
    </row>
    <row r="1951" spans="1:14" x14ac:dyDescent="0.25">
      <c r="A1951">
        <v>1463.2397269999999</v>
      </c>
      <c r="B1951" s="1">
        <f>DATE(2014,5,3) + TIME(5,45,12)</f>
        <v>41762.239722222221</v>
      </c>
      <c r="C1951">
        <v>80</v>
      </c>
      <c r="D1951">
        <v>79.452888489000003</v>
      </c>
      <c r="E1951">
        <v>50</v>
      </c>
      <c r="F1951">
        <v>49.703304291000002</v>
      </c>
      <c r="G1951">
        <v>1382.5986327999999</v>
      </c>
      <c r="H1951">
        <v>1367.536499</v>
      </c>
      <c r="I1951">
        <v>1292.1604004000001</v>
      </c>
      <c r="J1951">
        <v>1272.9757079999999</v>
      </c>
      <c r="K1951">
        <v>2400</v>
      </c>
      <c r="L1951">
        <v>0</v>
      </c>
      <c r="M1951">
        <v>0</v>
      </c>
      <c r="N1951">
        <v>2400</v>
      </c>
    </row>
    <row r="1952" spans="1:14" x14ac:dyDescent="0.25">
      <c r="A1952">
        <v>1463.3495909999999</v>
      </c>
      <c r="B1952" s="1">
        <f>DATE(2014,5,3) + TIME(8,23,24)</f>
        <v>41762.349583333336</v>
      </c>
      <c r="C1952">
        <v>80</v>
      </c>
      <c r="D1952">
        <v>79.525016785000005</v>
      </c>
      <c r="E1952">
        <v>50</v>
      </c>
      <c r="F1952">
        <v>49.695949554000002</v>
      </c>
      <c r="G1952">
        <v>1382.8195800999999</v>
      </c>
      <c r="H1952">
        <v>1367.7924805</v>
      </c>
      <c r="I1952">
        <v>1291.8638916</v>
      </c>
      <c r="J1952">
        <v>1272.6784668</v>
      </c>
      <c r="K1952">
        <v>2400</v>
      </c>
      <c r="L1952">
        <v>0</v>
      </c>
      <c r="M1952">
        <v>0</v>
      </c>
      <c r="N1952">
        <v>2400</v>
      </c>
    </row>
    <row r="1953" spans="1:14" x14ac:dyDescent="0.25">
      <c r="A1953">
        <v>1463.4605529999999</v>
      </c>
      <c r="B1953" s="1">
        <f>DATE(2014,5,3) + TIME(11,3,11)</f>
        <v>41762.460543981484</v>
      </c>
      <c r="C1953">
        <v>80</v>
      </c>
      <c r="D1953">
        <v>79.587333678999997</v>
      </c>
      <c r="E1953">
        <v>50</v>
      </c>
      <c r="F1953">
        <v>49.688560486</v>
      </c>
      <c r="G1953">
        <v>1383.0240478999999</v>
      </c>
      <c r="H1953">
        <v>1368.0296631000001</v>
      </c>
      <c r="I1953">
        <v>1291.5898437999999</v>
      </c>
      <c r="J1953">
        <v>1272.4038086</v>
      </c>
      <c r="K1953">
        <v>2400</v>
      </c>
      <c r="L1953">
        <v>0</v>
      </c>
      <c r="M1953">
        <v>0</v>
      </c>
      <c r="N1953">
        <v>2400</v>
      </c>
    </row>
    <row r="1954" spans="1:14" x14ac:dyDescent="0.25">
      <c r="A1954">
        <v>1463.5728690000001</v>
      </c>
      <c r="B1954" s="1">
        <f>DATE(2014,5,3) + TIME(13,44,55)</f>
        <v>41762.572858796295</v>
      </c>
      <c r="C1954">
        <v>80</v>
      </c>
      <c r="D1954">
        <v>79.641212463000002</v>
      </c>
      <c r="E1954">
        <v>50</v>
      </c>
      <c r="F1954">
        <v>49.681118011000002</v>
      </c>
      <c r="G1954">
        <v>1383.2137451000001</v>
      </c>
      <c r="H1954">
        <v>1368.2502440999999</v>
      </c>
      <c r="I1954">
        <v>1291.3363036999999</v>
      </c>
      <c r="J1954">
        <v>1272.1495361</v>
      </c>
      <c r="K1954">
        <v>2400</v>
      </c>
      <c r="L1954">
        <v>0</v>
      </c>
      <c r="M1954">
        <v>0</v>
      </c>
      <c r="N1954">
        <v>2400</v>
      </c>
    </row>
    <row r="1955" spans="1:14" x14ac:dyDescent="0.25">
      <c r="A1955">
        <v>1463.6867950000001</v>
      </c>
      <c r="B1955" s="1">
        <f>DATE(2014,5,3) + TIME(16,28,59)</f>
        <v>41762.686793981484</v>
      </c>
      <c r="C1955">
        <v>80</v>
      </c>
      <c r="D1955">
        <v>79.687812804999993</v>
      </c>
      <c r="E1955">
        <v>50</v>
      </c>
      <c r="F1955">
        <v>49.673610687</v>
      </c>
      <c r="G1955">
        <v>1383.3898925999999</v>
      </c>
      <c r="H1955">
        <v>1368.4556885</v>
      </c>
      <c r="I1955">
        <v>1291.1011963000001</v>
      </c>
      <c r="J1955">
        <v>1271.9138184000001</v>
      </c>
      <c r="K1955">
        <v>2400</v>
      </c>
      <c r="L1955">
        <v>0</v>
      </c>
      <c r="M1955">
        <v>0</v>
      </c>
      <c r="N1955">
        <v>2400</v>
      </c>
    </row>
    <row r="1956" spans="1:14" x14ac:dyDescent="0.25">
      <c r="A1956">
        <v>1463.8020180000001</v>
      </c>
      <c r="B1956" s="1">
        <f>DATE(2014,5,3) + TIME(19,14,54)</f>
        <v>41762.80201388889</v>
      </c>
      <c r="C1956">
        <v>80</v>
      </c>
      <c r="D1956">
        <v>79.727951050000001</v>
      </c>
      <c r="E1956">
        <v>50</v>
      </c>
      <c r="F1956">
        <v>49.666057586999997</v>
      </c>
      <c r="G1956">
        <v>1383.5529785000001</v>
      </c>
      <c r="H1956">
        <v>1368.6464844</v>
      </c>
      <c r="I1956">
        <v>1290.8840332</v>
      </c>
      <c r="J1956">
        <v>1271.6960449000001</v>
      </c>
      <c r="K1956">
        <v>2400</v>
      </c>
      <c r="L1956">
        <v>0</v>
      </c>
      <c r="M1956">
        <v>0</v>
      </c>
      <c r="N1956">
        <v>2400</v>
      </c>
    </row>
    <row r="1957" spans="1:14" x14ac:dyDescent="0.25">
      <c r="A1957">
        <v>1463.9187340000001</v>
      </c>
      <c r="B1957" s="1">
        <f>DATE(2014,5,3) + TIME(22,2,58)</f>
        <v>41762.918726851851</v>
      </c>
      <c r="C1957">
        <v>80</v>
      </c>
      <c r="D1957">
        <v>79.762519835999996</v>
      </c>
      <c r="E1957">
        <v>50</v>
      </c>
      <c r="F1957">
        <v>49.658447266000003</v>
      </c>
      <c r="G1957">
        <v>1383.7039795000001</v>
      </c>
      <c r="H1957">
        <v>1368.8239745999999</v>
      </c>
      <c r="I1957">
        <v>1290.6832274999999</v>
      </c>
      <c r="J1957">
        <v>1271.4946289</v>
      </c>
      <c r="K1957">
        <v>2400</v>
      </c>
      <c r="L1957">
        <v>0</v>
      </c>
      <c r="M1957">
        <v>0</v>
      </c>
      <c r="N1957">
        <v>2400</v>
      </c>
    </row>
    <row r="1958" spans="1:14" x14ac:dyDescent="0.25">
      <c r="A1958">
        <v>1464.0371709999999</v>
      </c>
      <c r="B1958" s="1">
        <f>DATE(2014,5,4) + TIME(0,53,31)</f>
        <v>41763.037164351852</v>
      </c>
      <c r="C1958">
        <v>80</v>
      </c>
      <c r="D1958">
        <v>79.792282103999995</v>
      </c>
      <c r="E1958">
        <v>50</v>
      </c>
      <c r="F1958">
        <v>49.650760650999999</v>
      </c>
      <c r="G1958">
        <v>1383.8441161999999</v>
      </c>
      <c r="H1958">
        <v>1368.9892577999999</v>
      </c>
      <c r="I1958">
        <v>1290.4975586</v>
      </c>
      <c r="J1958">
        <v>1271.3083495999999</v>
      </c>
      <c r="K1958">
        <v>2400</v>
      </c>
      <c r="L1958">
        <v>0</v>
      </c>
      <c r="M1958">
        <v>0</v>
      </c>
      <c r="N1958">
        <v>2400</v>
      </c>
    </row>
    <row r="1959" spans="1:14" x14ac:dyDescent="0.25">
      <c r="A1959">
        <v>1464.157563</v>
      </c>
      <c r="B1959" s="1">
        <f>DATE(2014,5,4) + TIME(3,46,53)</f>
        <v>41763.157557870371</v>
      </c>
      <c r="C1959">
        <v>80</v>
      </c>
      <c r="D1959">
        <v>79.817909240999995</v>
      </c>
      <c r="E1959">
        <v>50</v>
      </c>
      <c r="F1959">
        <v>49.642993926999999</v>
      </c>
      <c r="G1959">
        <v>1383.973999</v>
      </c>
      <c r="H1959">
        <v>1369.1433105000001</v>
      </c>
      <c r="I1959">
        <v>1290.3256836</v>
      </c>
      <c r="J1959">
        <v>1271.1358643000001</v>
      </c>
      <c r="K1959">
        <v>2400</v>
      </c>
      <c r="L1959">
        <v>0</v>
      </c>
      <c r="M1959">
        <v>0</v>
      </c>
      <c r="N1959">
        <v>2400</v>
      </c>
    </row>
    <row r="1960" spans="1:14" x14ac:dyDescent="0.25">
      <c r="A1960">
        <v>1464.2801810000001</v>
      </c>
      <c r="B1960" s="1">
        <f>DATE(2014,5,4) + TIME(6,43,27)</f>
        <v>41763.280173611114</v>
      </c>
      <c r="C1960">
        <v>80</v>
      </c>
      <c r="D1960">
        <v>79.839958190999994</v>
      </c>
      <c r="E1960">
        <v>50</v>
      </c>
      <c r="F1960">
        <v>49.635128021</v>
      </c>
      <c r="G1960">
        <v>1384.0944824000001</v>
      </c>
      <c r="H1960">
        <v>1369.2871094</v>
      </c>
      <c r="I1960">
        <v>1290.166626</v>
      </c>
      <c r="J1960">
        <v>1270.9761963000001</v>
      </c>
      <c r="K1960">
        <v>2400</v>
      </c>
      <c r="L1960">
        <v>0</v>
      </c>
      <c r="M1960">
        <v>0</v>
      </c>
      <c r="N1960">
        <v>2400</v>
      </c>
    </row>
    <row r="1961" spans="1:14" x14ac:dyDescent="0.25">
      <c r="A1961">
        <v>1464.4052790000001</v>
      </c>
      <c r="B1961" s="1">
        <f>DATE(2014,5,4) + TIME(9,43,36)</f>
        <v>41763.405277777776</v>
      </c>
      <c r="C1961">
        <v>80</v>
      </c>
      <c r="D1961">
        <v>79.858901978000006</v>
      </c>
      <c r="E1961">
        <v>50</v>
      </c>
      <c r="F1961">
        <v>49.627151488999999</v>
      </c>
      <c r="G1961">
        <v>1384.2061768000001</v>
      </c>
      <c r="H1961">
        <v>1369.4212646000001</v>
      </c>
      <c r="I1961">
        <v>1290.0194091999999</v>
      </c>
      <c r="J1961">
        <v>1270.8283690999999</v>
      </c>
      <c r="K1961">
        <v>2400</v>
      </c>
      <c r="L1961">
        <v>0</v>
      </c>
      <c r="M1961">
        <v>0</v>
      </c>
      <c r="N1961">
        <v>2400</v>
      </c>
    </row>
    <row r="1962" spans="1:14" x14ac:dyDescent="0.25">
      <c r="A1962">
        <v>1464.533099</v>
      </c>
      <c r="B1962" s="1">
        <f>DATE(2014,5,4) + TIME(12,47,39)</f>
        <v>41763.533090277779</v>
      </c>
      <c r="C1962">
        <v>80</v>
      </c>
      <c r="D1962">
        <v>79.875167847</v>
      </c>
      <c r="E1962">
        <v>50</v>
      </c>
      <c r="F1962">
        <v>49.619045258</v>
      </c>
      <c r="G1962">
        <v>1384.3096923999999</v>
      </c>
      <c r="H1962">
        <v>1369.5465088000001</v>
      </c>
      <c r="I1962">
        <v>1289.8833007999999</v>
      </c>
      <c r="J1962">
        <v>1270.6916504000001</v>
      </c>
      <c r="K1962">
        <v>2400</v>
      </c>
      <c r="L1962">
        <v>0</v>
      </c>
      <c r="M1962">
        <v>0</v>
      </c>
      <c r="N1962">
        <v>2400</v>
      </c>
    </row>
    <row r="1963" spans="1:14" x14ac:dyDescent="0.25">
      <c r="A1963">
        <v>1464.6639290000001</v>
      </c>
      <c r="B1963" s="1">
        <f>DATE(2014,5,4) + TIME(15,56,3)</f>
        <v>41763.663923611108</v>
      </c>
      <c r="C1963">
        <v>80</v>
      </c>
      <c r="D1963">
        <v>79.889106749999996</v>
      </c>
      <c r="E1963">
        <v>50</v>
      </c>
      <c r="F1963">
        <v>49.610794067</v>
      </c>
      <c r="G1963">
        <v>1384.4053954999999</v>
      </c>
      <c r="H1963">
        <v>1369.6633300999999</v>
      </c>
      <c r="I1963">
        <v>1289.7575684000001</v>
      </c>
      <c r="J1963">
        <v>1270.5653076000001</v>
      </c>
      <c r="K1963">
        <v>2400</v>
      </c>
      <c r="L1963">
        <v>0</v>
      </c>
      <c r="M1963">
        <v>0</v>
      </c>
      <c r="N1963">
        <v>2400</v>
      </c>
    </row>
    <row r="1964" spans="1:14" x14ac:dyDescent="0.25">
      <c r="A1964">
        <v>1464.7980809999999</v>
      </c>
      <c r="B1964" s="1">
        <f>DATE(2014,5,4) + TIME(19,9,14)</f>
        <v>41763.798078703701</v>
      </c>
      <c r="C1964">
        <v>80</v>
      </c>
      <c r="D1964">
        <v>79.901023864999999</v>
      </c>
      <c r="E1964">
        <v>50</v>
      </c>
      <c r="F1964">
        <v>49.602386475000003</v>
      </c>
      <c r="G1964">
        <v>1384.4936522999999</v>
      </c>
      <c r="H1964">
        <v>1369.7723389</v>
      </c>
      <c r="I1964">
        <v>1289.6414795000001</v>
      </c>
      <c r="J1964">
        <v>1270.4486084</v>
      </c>
      <c r="K1964">
        <v>2400</v>
      </c>
      <c r="L1964">
        <v>0</v>
      </c>
      <c r="M1964">
        <v>0</v>
      </c>
      <c r="N1964">
        <v>2400</v>
      </c>
    </row>
    <row r="1965" spans="1:14" x14ac:dyDescent="0.25">
      <c r="A1965">
        <v>1464.9358910000001</v>
      </c>
      <c r="B1965" s="1">
        <f>DATE(2014,5,4) + TIME(22,27,40)</f>
        <v>41763.935879629629</v>
      </c>
      <c r="C1965">
        <v>80</v>
      </c>
      <c r="D1965">
        <v>79.911201477000006</v>
      </c>
      <c r="E1965">
        <v>50</v>
      </c>
      <c r="F1965">
        <v>49.593799591</v>
      </c>
      <c r="G1965">
        <v>1384.5749512</v>
      </c>
      <c r="H1965">
        <v>1369.8737793</v>
      </c>
      <c r="I1965">
        <v>1289.534668</v>
      </c>
      <c r="J1965">
        <v>1270.3411865</v>
      </c>
      <c r="K1965">
        <v>2400</v>
      </c>
      <c r="L1965">
        <v>0</v>
      </c>
      <c r="M1965">
        <v>0</v>
      </c>
      <c r="N1965">
        <v>2400</v>
      </c>
    </row>
    <row r="1966" spans="1:14" x14ac:dyDescent="0.25">
      <c r="A1966">
        <v>1465.0777290000001</v>
      </c>
      <c r="B1966" s="1">
        <f>DATE(2014,5,5) + TIME(1,51,55)</f>
        <v>41764.077719907407</v>
      </c>
      <c r="C1966">
        <v>80</v>
      </c>
      <c r="D1966">
        <v>79.919860839999998</v>
      </c>
      <c r="E1966">
        <v>50</v>
      </c>
      <c r="F1966">
        <v>49.585018157999997</v>
      </c>
      <c r="G1966">
        <v>1384.6495361</v>
      </c>
      <c r="H1966">
        <v>1369.9683838000001</v>
      </c>
      <c r="I1966">
        <v>1289.4364014</v>
      </c>
      <c r="J1966">
        <v>1270.2421875</v>
      </c>
      <c r="K1966">
        <v>2400</v>
      </c>
      <c r="L1966">
        <v>0</v>
      </c>
      <c r="M1966">
        <v>0</v>
      </c>
      <c r="N1966">
        <v>2400</v>
      </c>
    </row>
    <row r="1967" spans="1:14" x14ac:dyDescent="0.25">
      <c r="A1967">
        <v>1465.224003</v>
      </c>
      <c r="B1967" s="1">
        <f>DATE(2014,5,5) + TIME(5,22,33)</f>
        <v>41764.223993055559</v>
      </c>
      <c r="C1967">
        <v>80</v>
      </c>
      <c r="D1967">
        <v>79.927215575999995</v>
      </c>
      <c r="E1967">
        <v>50</v>
      </c>
      <c r="F1967">
        <v>49.576015472000002</v>
      </c>
      <c r="G1967">
        <v>1384.7177733999999</v>
      </c>
      <c r="H1967">
        <v>1370.0561522999999</v>
      </c>
      <c r="I1967">
        <v>1289.3463135</v>
      </c>
      <c r="J1967">
        <v>1270.1514893000001</v>
      </c>
      <c r="K1967">
        <v>2400</v>
      </c>
      <c r="L1967">
        <v>0</v>
      </c>
      <c r="M1967">
        <v>0</v>
      </c>
      <c r="N1967">
        <v>2400</v>
      </c>
    </row>
    <row r="1968" spans="1:14" x14ac:dyDescent="0.25">
      <c r="A1968">
        <v>1465.375166</v>
      </c>
      <c r="B1968" s="1">
        <f>DATE(2014,5,5) + TIME(9,0,14)</f>
        <v>41764.375162037039</v>
      </c>
      <c r="C1968">
        <v>80</v>
      </c>
      <c r="D1968">
        <v>79.933448791999993</v>
      </c>
      <c r="E1968">
        <v>50</v>
      </c>
      <c r="F1968">
        <v>49.566768646</v>
      </c>
      <c r="G1968">
        <v>1384.7799072</v>
      </c>
      <c r="H1968">
        <v>1370.1375731999999</v>
      </c>
      <c r="I1968">
        <v>1289.2637939000001</v>
      </c>
      <c r="J1968">
        <v>1270.0683594</v>
      </c>
      <c r="K1968">
        <v>2400</v>
      </c>
      <c r="L1968">
        <v>0</v>
      </c>
      <c r="M1968">
        <v>0</v>
      </c>
      <c r="N1968">
        <v>2400</v>
      </c>
    </row>
    <row r="1969" spans="1:14" x14ac:dyDescent="0.25">
      <c r="A1969">
        <v>1465.5317250000001</v>
      </c>
      <c r="B1969" s="1">
        <f>DATE(2014,5,5) + TIME(12,45,41)</f>
        <v>41764.531724537039</v>
      </c>
      <c r="C1969">
        <v>80</v>
      </c>
      <c r="D1969">
        <v>79.938705443999993</v>
      </c>
      <c r="E1969">
        <v>50</v>
      </c>
      <c r="F1969">
        <v>49.557254790999998</v>
      </c>
      <c r="G1969">
        <v>1384.8360596</v>
      </c>
      <c r="H1969">
        <v>1370.2128906</v>
      </c>
      <c r="I1969">
        <v>1289.1885986</v>
      </c>
      <c r="J1969">
        <v>1269.9924315999999</v>
      </c>
      <c r="K1969">
        <v>2400</v>
      </c>
      <c r="L1969">
        <v>0</v>
      </c>
      <c r="M1969">
        <v>0</v>
      </c>
      <c r="N1969">
        <v>2400</v>
      </c>
    </row>
    <row r="1970" spans="1:14" x14ac:dyDescent="0.25">
      <c r="A1970">
        <v>1465.6942799999999</v>
      </c>
      <c r="B1970" s="1">
        <f>DATE(2014,5,5) + TIME(16,39,45)</f>
        <v>41764.69427083333</v>
      </c>
      <c r="C1970">
        <v>80</v>
      </c>
      <c r="D1970">
        <v>79.943122864000003</v>
      </c>
      <c r="E1970">
        <v>50</v>
      </c>
      <c r="F1970">
        <v>49.547439574999999</v>
      </c>
      <c r="G1970">
        <v>1384.8863524999999</v>
      </c>
      <c r="H1970">
        <v>1370.2823486</v>
      </c>
      <c r="I1970">
        <v>1289.1203613</v>
      </c>
      <c r="J1970">
        <v>1269.9235839999999</v>
      </c>
      <c r="K1970">
        <v>2400</v>
      </c>
      <c r="L1970">
        <v>0</v>
      </c>
      <c r="M1970">
        <v>0</v>
      </c>
      <c r="N1970">
        <v>2400</v>
      </c>
    </row>
    <row r="1971" spans="1:14" x14ac:dyDescent="0.25">
      <c r="A1971">
        <v>1465.863546</v>
      </c>
      <c r="B1971" s="1">
        <f>DATE(2014,5,5) + TIME(20,43,30)</f>
        <v>41764.863541666666</v>
      </c>
      <c r="C1971">
        <v>80</v>
      </c>
      <c r="D1971">
        <v>79.946815490999995</v>
      </c>
      <c r="E1971">
        <v>50</v>
      </c>
      <c r="F1971">
        <v>49.537288666000002</v>
      </c>
      <c r="G1971">
        <v>1384.9311522999999</v>
      </c>
      <c r="H1971">
        <v>1370.3461914</v>
      </c>
      <c r="I1971">
        <v>1289.0585937999999</v>
      </c>
      <c r="J1971">
        <v>1269.8610839999999</v>
      </c>
      <c r="K1971">
        <v>2400</v>
      </c>
      <c r="L1971">
        <v>0</v>
      </c>
      <c r="M1971">
        <v>0</v>
      </c>
      <c r="N1971">
        <v>2400</v>
      </c>
    </row>
    <row r="1972" spans="1:14" x14ac:dyDescent="0.25">
      <c r="A1972">
        <v>1466.0401790000001</v>
      </c>
      <c r="B1972" s="1">
        <f>DATE(2014,5,6) + TIME(0,57,51)</f>
        <v>41765.040173611109</v>
      </c>
      <c r="C1972">
        <v>80</v>
      </c>
      <c r="D1972">
        <v>79.949905396000005</v>
      </c>
      <c r="E1972">
        <v>50</v>
      </c>
      <c r="F1972">
        <v>49.526763916</v>
      </c>
      <c r="G1972">
        <v>1384.9703368999999</v>
      </c>
      <c r="H1972">
        <v>1370.4045410000001</v>
      </c>
      <c r="I1972">
        <v>1289.0031738</v>
      </c>
      <c r="J1972">
        <v>1269.8049315999999</v>
      </c>
      <c r="K1972">
        <v>2400</v>
      </c>
      <c r="L1972">
        <v>0</v>
      </c>
      <c r="M1972">
        <v>0</v>
      </c>
      <c r="N1972">
        <v>2400</v>
      </c>
    </row>
    <row r="1973" spans="1:14" x14ac:dyDescent="0.25">
      <c r="A1973">
        <v>1466.22309</v>
      </c>
      <c r="B1973" s="1">
        <f>DATE(2014,5,6) + TIME(5,21,14)</f>
        <v>41765.223078703704</v>
      </c>
      <c r="C1973">
        <v>80</v>
      </c>
      <c r="D1973">
        <v>79.952438353999995</v>
      </c>
      <c r="E1973">
        <v>50</v>
      </c>
      <c r="F1973">
        <v>49.515922545999999</v>
      </c>
      <c r="G1973">
        <v>1385.003418</v>
      </c>
      <c r="H1973">
        <v>1370.4567870999999</v>
      </c>
      <c r="I1973">
        <v>1288.9541016000001</v>
      </c>
      <c r="J1973">
        <v>1269.7551269999999</v>
      </c>
      <c r="K1973">
        <v>2400</v>
      </c>
      <c r="L1973">
        <v>0</v>
      </c>
      <c r="M1973">
        <v>0</v>
      </c>
      <c r="N1973">
        <v>2400</v>
      </c>
    </row>
    <row r="1974" spans="1:14" x14ac:dyDescent="0.25">
      <c r="A1974">
        <v>1466.41248</v>
      </c>
      <c r="B1974" s="1">
        <f>DATE(2014,5,6) + TIME(9,53,58)</f>
        <v>41765.412476851852</v>
      </c>
      <c r="C1974">
        <v>80</v>
      </c>
      <c r="D1974">
        <v>79.954505920000003</v>
      </c>
      <c r="E1974">
        <v>50</v>
      </c>
      <c r="F1974">
        <v>49.504749298</v>
      </c>
      <c r="G1974">
        <v>1385.0306396000001</v>
      </c>
      <c r="H1974">
        <v>1370.5032959</v>
      </c>
      <c r="I1974">
        <v>1288.9111327999999</v>
      </c>
      <c r="J1974">
        <v>1269.7113036999999</v>
      </c>
      <c r="K1974">
        <v>2400</v>
      </c>
      <c r="L1974">
        <v>0</v>
      </c>
      <c r="M1974">
        <v>0</v>
      </c>
      <c r="N1974">
        <v>2400</v>
      </c>
    </row>
    <row r="1975" spans="1:14" x14ac:dyDescent="0.25">
      <c r="A1975">
        <v>1466.609003</v>
      </c>
      <c r="B1975" s="1">
        <f>DATE(2014,5,6) + TIME(14,36,57)</f>
        <v>41765.608993055554</v>
      </c>
      <c r="C1975">
        <v>80</v>
      </c>
      <c r="D1975">
        <v>79.956192017000006</v>
      </c>
      <c r="E1975">
        <v>50</v>
      </c>
      <c r="F1975">
        <v>49.493213654000002</v>
      </c>
      <c r="G1975">
        <v>1385.0526123</v>
      </c>
      <c r="H1975">
        <v>1370.5443115</v>
      </c>
      <c r="I1975">
        <v>1288.8737793</v>
      </c>
      <c r="J1975">
        <v>1269.6730957</v>
      </c>
      <c r="K1975">
        <v>2400</v>
      </c>
      <c r="L1975">
        <v>0</v>
      </c>
      <c r="M1975">
        <v>0</v>
      </c>
      <c r="N1975">
        <v>2400</v>
      </c>
    </row>
    <row r="1976" spans="1:14" x14ac:dyDescent="0.25">
      <c r="A1976">
        <v>1466.813474</v>
      </c>
      <c r="B1976" s="1">
        <f>DATE(2014,5,6) + TIME(19,31,24)</f>
        <v>41765.813472222224</v>
      </c>
      <c r="C1976">
        <v>80</v>
      </c>
      <c r="D1976">
        <v>79.957557678000001</v>
      </c>
      <c r="E1976">
        <v>50</v>
      </c>
      <c r="F1976">
        <v>49.481277466000002</v>
      </c>
      <c r="G1976">
        <v>1385.0692139</v>
      </c>
      <c r="H1976">
        <v>1370.5800781</v>
      </c>
      <c r="I1976">
        <v>1288.8415527</v>
      </c>
      <c r="J1976">
        <v>1269.6401367000001</v>
      </c>
      <c r="K1976">
        <v>2400</v>
      </c>
      <c r="L1976">
        <v>0</v>
      </c>
      <c r="M1976">
        <v>0</v>
      </c>
      <c r="N1976">
        <v>2400</v>
      </c>
    </row>
    <row r="1977" spans="1:14" x14ac:dyDescent="0.25">
      <c r="A1977">
        <v>1467.0266959999999</v>
      </c>
      <c r="B1977" s="1">
        <f>DATE(2014,5,7) + TIME(0,38,26)</f>
        <v>41766.026689814818</v>
      </c>
      <c r="C1977">
        <v>80</v>
      </c>
      <c r="D1977">
        <v>79.958663939999994</v>
      </c>
      <c r="E1977">
        <v>50</v>
      </c>
      <c r="F1977">
        <v>49.468902587999999</v>
      </c>
      <c r="G1977">
        <v>1385.0806885</v>
      </c>
      <c r="H1977">
        <v>1370.6109618999999</v>
      </c>
      <c r="I1977">
        <v>1288.8142089999999</v>
      </c>
      <c r="J1977">
        <v>1269.6119385</v>
      </c>
      <c r="K1977">
        <v>2400</v>
      </c>
      <c r="L1977">
        <v>0</v>
      </c>
      <c r="M1977">
        <v>0</v>
      </c>
      <c r="N1977">
        <v>2400</v>
      </c>
    </row>
    <row r="1978" spans="1:14" x14ac:dyDescent="0.25">
      <c r="A1978">
        <v>1467.2495650000001</v>
      </c>
      <c r="B1978" s="1">
        <f>DATE(2014,5,7) + TIME(5,59,22)</f>
        <v>41766.249560185184</v>
      </c>
      <c r="C1978">
        <v>80</v>
      </c>
      <c r="D1978">
        <v>79.959556579999997</v>
      </c>
      <c r="E1978">
        <v>50</v>
      </c>
      <c r="F1978">
        <v>49.456047058000003</v>
      </c>
      <c r="G1978">
        <v>1385.0872803</v>
      </c>
      <c r="H1978">
        <v>1370.6369629000001</v>
      </c>
      <c r="I1978">
        <v>1288.7913818</v>
      </c>
      <c r="J1978">
        <v>1269.5882568</v>
      </c>
      <c r="K1978">
        <v>2400</v>
      </c>
      <c r="L1978">
        <v>0</v>
      </c>
      <c r="M1978">
        <v>0</v>
      </c>
      <c r="N1978">
        <v>2400</v>
      </c>
    </row>
    <row r="1979" spans="1:14" x14ac:dyDescent="0.25">
      <c r="A1979">
        <v>1467.474524</v>
      </c>
      <c r="B1979" s="1">
        <f>DATE(2014,5,7) + TIME(11,23,18)</f>
        <v>41766.47451388889</v>
      </c>
      <c r="C1979">
        <v>80</v>
      </c>
      <c r="D1979">
        <v>79.960235596000004</v>
      </c>
      <c r="E1979">
        <v>50</v>
      </c>
      <c r="F1979">
        <v>49.44304657</v>
      </c>
      <c r="G1979">
        <v>1385.0872803</v>
      </c>
      <c r="H1979">
        <v>1370.6564940999999</v>
      </c>
      <c r="I1979">
        <v>1288.7730713000001</v>
      </c>
      <c r="J1979">
        <v>1269.5690918</v>
      </c>
      <c r="K1979">
        <v>2400</v>
      </c>
      <c r="L1979">
        <v>0</v>
      </c>
      <c r="M1979">
        <v>0</v>
      </c>
      <c r="N1979">
        <v>2400</v>
      </c>
    </row>
    <row r="1980" spans="1:14" x14ac:dyDescent="0.25">
      <c r="A1980">
        <v>1467.70156</v>
      </c>
      <c r="B1980" s="1">
        <f>DATE(2014,5,7) + TIME(16,50,14)</f>
        <v>41766.701550925929</v>
      </c>
      <c r="C1980">
        <v>80</v>
      </c>
      <c r="D1980">
        <v>79.960769653</v>
      </c>
      <c r="E1980">
        <v>50</v>
      </c>
      <c r="F1980">
        <v>49.429912567000002</v>
      </c>
      <c r="G1980">
        <v>1385.0827637</v>
      </c>
      <c r="H1980">
        <v>1370.6712646000001</v>
      </c>
      <c r="I1980">
        <v>1288.7587891000001</v>
      </c>
      <c r="J1980">
        <v>1269.5538329999999</v>
      </c>
      <c r="K1980">
        <v>2400</v>
      </c>
      <c r="L1980">
        <v>0</v>
      </c>
      <c r="M1980">
        <v>0</v>
      </c>
      <c r="N1980">
        <v>2400</v>
      </c>
    </row>
    <row r="1981" spans="1:14" x14ac:dyDescent="0.25">
      <c r="A1981">
        <v>1467.9312709999999</v>
      </c>
      <c r="B1981" s="1">
        <f>DATE(2014,5,7) + TIME(22,21,1)</f>
        <v>41766.931261574071</v>
      </c>
      <c r="C1981">
        <v>80</v>
      </c>
      <c r="D1981">
        <v>79.961181640999996</v>
      </c>
      <c r="E1981">
        <v>50</v>
      </c>
      <c r="F1981">
        <v>49.416633605999998</v>
      </c>
      <c r="G1981">
        <v>1385.0745850000001</v>
      </c>
      <c r="H1981">
        <v>1370.6817627</v>
      </c>
      <c r="I1981">
        <v>1288.7478027</v>
      </c>
      <c r="J1981">
        <v>1269.5418701000001</v>
      </c>
      <c r="K1981">
        <v>2400</v>
      </c>
      <c r="L1981">
        <v>0</v>
      </c>
      <c r="M1981">
        <v>0</v>
      </c>
      <c r="N1981">
        <v>2400</v>
      </c>
    </row>
    <row r="1982" spans="1:14" x14ac:dyDescent="0.25">
      <c r="A1982">
        <v>1468.163965</v>
      </c>
      <c r="B1982" s="1">
        <f>DATE(2014,5,8) + TIME(3,56,6)</f>
        <v>41767.163958333331</v>
      </c>
      <c r="C1982">
        <v>80</v>
      </c>
      <c r="D1982">
        <v>79.961509704999997</v>
      </c>
      <c r="E1982">
        <v>50</v>
      </c>
      <c r="F1982">
        <v>49.403205872000001</v>
      </c>
      <c r="G1982">
        <v>1385.0628661999999</v>
      </c>
      <c r="H1982">
        <v>1370.6884766000001</v>
      </c>
      <c r="I1982">
        <v>1288.739624</v>
      </c>
      <c r="J1982">
        <v>1269.5328368999999</v>
      </c>
      <c r="K1982">
        <v>2400</v>
      </c>
      <c r="L1982">
        <v>0</v>
      </c>
      <c r="M1982">
        <v>0</v>
      </c>
      <c r="N1982">
        <v>2400</v>
      </c>
    </row>
    <row r="1983" spans="1:14" x14ac:dyDescent="0.25">
      <c r="A1983">
        <v>1468.3985889999999</v>
      </c>
      <c r="B1983" s="1">
        <f>DATE(2014,5,8) + TIME(9,33,58)</f>
        <v>41767.398587962962</v>
      </c>
      <c r="C1983">
        <v>80</v>
      </c>
      <c r="D1983">
        <v>79.961753845000004</v>
      </c>
      <c r="E1983">
        <v>50</v>
      </c>
      <c r="F1983">
        <v>49.38968277</v>
      </c>
      <c r="G1983">
        <v>1385.0479736</v>
      </c>
      <c r="H1983">
        <v>1370.6916504000001</v>
      </c>
      <c r="I1983">
        <v>1288.7337646000001</v>
      </c>
      <c r="J1983">
        <v>1269.5261230000001</v>
      </c>
      <c r="K1983">
        <v>2400</v>
      </c>
      <c r="L1983">
        <v>0</v>
      </c>
      <c r="M1983">
        <v>0</v>
      </c>
      <c r="N1983">
        <v>2400</v>
      </c>
    </row>
    <row r="1984" spans="1:14" x14ac:dyDescent="0.25">
      <c r="A1984">
        <v>1468.6357780000001</v>
      </c>
      <c r="B1984" s="1">
        <f>DATE(2014,5,8) + TIME(15,15,31)</f>
        <v>41767.635775462964</v>
      </c>
      <c r="C1984">
        <v>80</v>
      </c>
      <c r="D1984">
        <v>79.961952209000003</v>
      </c>
      <c r="E1984">
        <v>50</v>
      </c>
      <c r="F1984">
        <v>49.376041411999999</v>
      </c>
      <c r="G1984">
        <v>1385.0303954999999</v>
      </c>
      <c r="H1984">
        <v>1370.6917725000001</v>
      </c>
      <c r="I1984">
        <v>1288.7299805</v>
      </c>
      <c r="J1984">
        <v>1269.5213623</v>
      </c>
      <c r="K1984">
        <v>2400</v>
      </c>
      <c r="L1984">
        <v>0</v>
      </c>
      <c r="M1984">
        <v>0</v>
      </c>
      <c r="N1984">
        <v>2400</v>
      </c>
    </row>
    <row r="1985" spans="1:14" x14ac:dyDescent="0.25">
      <c r="A1985">
        <v>1468.875937</v>
      </c>
      <c r="B1985" s="1">
        <f>DATE(2014,5,8) + TIME(21,1,20)</f>
        <v>41767.875925925924</v>
      </c>
      <c r="C1985">
        <v>80</v>
      </c>
      <c r="D1985">
        <v>79.962097168</v>
      </c>
      <c r="E1985">
        <v>50</v>
      </c>
      <c r="F1985">
        <v>49.362270355</v>
      </c>
      <c r="G1985">
        <v>1385.0104980000001</v>
      </c>
      <c r="H1985">
        <v>1370.6893310999999</v>
      </c>
      <c r="I1985">
        <v>1288.7279053</v>
      </c>
      <c r="J1985">
        <v>1269.5183105000001</v>
      </c>
      <c r="K1985">
        <v>2400</v>
      </c>
      <c r="L1985">
        <v>0</v>
      </c>
      <c r="M1985">
        <v>0</v>
      </c>
      <c r="N1985">
        <v>2400</v>
      </c>
    </row>
    <row r="1986" spans="1:14" x14ac:dyDescent="0.25">
      <c r="A1986">
        <v>1469.1195889999999</v>
      </c>
      <c r="B1986" s="1">
        <f>DATE(2014,5,9) + TIME(2,52,12)</f>
        <v>41768.119583333333</v>
      </c>
      <c r="C1986">
        <v>80</v>
      </c>
      <c r="D1986">
        <v>79.962219238000003</v>
      </c>
      <c r="E1986">
        <v>50</v>
      </c>
      <c r="F1986">
        <v>49.348350525000001</v>
      </c>
      <c r="G1986">
        <v>1384.9884033000001</v>
      </c>
      <c r="H1986">
        <v>1370.6843262</v>
      </c>
      <c r="I1986">
        <v>1288.7270507999999</v>
      </c>
      <c r="J1986">
        <v>1269.5164795000001</v>
      </c>
      <c r="K1986">
        <v>2400</v>
      </c>
      <c r="L1986">
        <v>0</v>
      </c>
      <c r="M1986">
        <v>0</v>
      </c>
      <c r="N1986">
        <v>2400</v>
      </c>
    </row>
    <row r="1987" spans="1:14" x14ac:dyDescent="0.25">
      <c r="A1987">
        <v>1469.3672779999999</v>
      </c>
      <c r="B1987" s="1">
        <f>DATE(2014,5,9) + TIME(8,48,52)</f>
        <v>41768.367268518516</v>
      </c>
      <c r="C1987">
        <v>80</v>
      </c>
      <c r="D1987">
        <v>79.962303161999998</v>
      </c>
      <c r="E1987">
        <v>50</v>
      </c>
      <c r="F1987">
        <v>49.334255218999999</v>
      </c>
      <c r="G1987">
        <v>1384.9642334</v>
      </c>
      <c r="H1987">
        <v>1370.677124</v>
      </c>
      <c r="I1987">
        <v>1288.7272949000001</v>
      </c>
      <c r="J1987">
        <v>1269.515625</v>
      </c>
      <c r="K1987">
        <v>2400</v>
      </c>
      <c r="L1987">
        <v>0</v>
      </c>
      <c r="M1987">
        <v>0</v>
      </c>
      <c r="N1987">
        <v>2400</v>
      </c>
    </row>
    <row r="1988" spans="1:14" x14ac:dyDescent="0.25">
      <c r="A1988">
        <v>1469.6195720000001</v>
      </c>
      <c r="B1988" s="1">
        <f>DATE(2014,5,9) + TIME(14,52,10)</f>
        <v>41768.619560185187</v>
      </c>
      <c r="C1988">
        <v>80</v>
      </c>
      <c r="D1988">
        <v>79.962371825999995</v>
      </c>
      <c r="E1988">
        <v>50</v>
      </c>
      <c r="F1988">
        <v>49.319961548000002</v>
      </c>
      <c r="G1988">
        <v>1384.9383545000001</v>
      </c>
      <c r="H1988">
        <v>1370.6679687999999</v>
      </c>
      <c r="I1988">
        <v>1288.7282714999999</v>
      </c>
      <c r="J1988">
        <v>1269.5157471</v>
      </c>
      <c r="K1988">
        <v>2400</v>
      </c>
      <c r="L1988">
        <v>0</v>
      </c>
      <c r="M1988">
        <v>0</v>
      </c>
      <c r="N1988">
        <v>2400</v>
      </c>
    </row>
    <row r="1989" spans="1:14" x14ac:dyDescent="0.25">
      <c r="A1989">
        <v>1469.877078</v>
      </c>
      <c r="B1989" s="1">
        <f>DATE(2014,5,9) + TIME(21,2,59)</f>
        <v>41768.877071759256</v>
      </c>
      <c r="C1989">
        <v>80</v>
      </c>
      <c r="D1989">
        <v>79.962425232000001</v>
      </c>
      <c r="E1989">
        <v>50</v>
      </c>
      <c r="F1989">
        <v>49.305442810000002</v>
      </c>
      <c r="G1989">
        <v>1384.9106445</v>
      </c>
      <c r="H1989">
        <v>1370.6568603999999</v>
      </c>
      <c r="I1989">
        <v>1288.7299805</v>
      </c>
      <c r="J1989">
        <v>1269.5163574000001</v>
      </c>
      <c r="K1989">
        <v>2400</v>
      </c>
      <c r="L1989">
        <v>0</v>
      </c>
      <c r="M1989">
        <v>0</v>
      </c>
      <c r="N1989">
        <v>2400</v>
      </c>
    </row>
    <row r="1990" spans="1:14" x14ac:dyDescent="0.25">
      <c r="A1990">
        <v>1470.140451</v>
      </c>
      <c r="B1990" s="1">
        <f>DATE(2014,5,10) + TIME(3,22,14)</f>
        <v>41769.140439814815</v>
      </c>
      <c r="C1990">
        <v>80</v>
      </c>
      <c r="D1990">
        <v>79.962463378999999</v>
      </c>
      <c r="E1990">
        <v>50</v>
      </c>
      <c r="F1990">
        <v>49.290672301999997</v>
      </c>
      <c r="G1990">
        <v>1384.8812256000001</v>
      </c>
      <c r="H1990">
        <v>1370.6439209</v>
      </c>
      <c r="I1990">
        <v>1288.7322998</v>
      </c>
      <c r="J1990">
        <v>1269.5175781</v>
      </c>
      <c r="K1990">
        <v>2400</v>
      </c>
      <c r="L1990">
        <v>0</v>
      </c>
      <c r="M1990">
        <v>0</v>
      </c>
      <c r="N1990">
        <v>2400</v>
      </c>
    </row>
    <row r="1991" spans="1:14" x14ac:dyDescent="0.25">
      <c r="A1991">
        <v>1470.4104010000001</v>
      </c>
      <c r="B1991" s="1">
        <f>DATE(2014,5,10) + TIME(9,50,58)</f>
        <v>41769.410393518519</v>
      </c>
      <c r="C1991">
        <v>80</v>
      </c>
      <c r="D1991">
        <v>79.962493895999998</v>
      </c>
      <c r="E1991">
        <v>50</v>
      </c>
      <c r="F1991">
        <v>49.275611877000003</v>
      </c>
      <c r="G1991">
        <v>1384.8502197</v>
      </c>
      <c r="H1991">
        <v>1370.6293945</v>
      </c>
      <c r="I1991">
        <v>1288.7348632999999</v>
      </c>
      <c r="J1991">
        <v>1269.5189209</v>
      </c>
      <c r="K1991">
        <v>2400</v>
      </c>
      <c r="L1991">
        <v>0</v>
      </c>
      <c r="M1991">
        <v>0</v>
      </c>
      <c r="N1991">
        <v>2400</v>
      </c>
    </row>
    <row r="1992" spans="1:14" x14ac:dyDescent="0.25">
      <c r="A1992">
        <v>1470.6877099999999</v>
      </c>
      <c r="B1992" s="1">
        <f>DATE(2014,5,10) + TIME(16,30,18)</f>
        <v>41769.687708333331</v>
      </c>
      <c r="C1992">
        <v>80</v>
      </c>
      <c r="D1992">
        <v>79.962509155000006</v>
      </c>
      <c r="E1992">
        <v>50</v>
      </c>
      <c r="F1992">
        <v>49.260223388999997</v>
      </c>
      <c r="G1992">
        <v>1384.8176269999999</v>
      </c>
      <c r="H1992">
        <v>1370.6132812000001</v>
      </c>
      <c r="I1992">
        <v>1288.7375488</v>
      </c>
      <c r="J1992">
        <v>1269.5206298999999</v>
      </c>
      <c r="K1992">
        <v>2400</v>
      </c>
      <c r="L1992">
        <v>0</v>
      </c>
      <c r="M1992">
        <v>0</v>
      </c>
      <c r="N1992">
        <v>2400</v>
      </c>
    </row>
    <row r="1993" spans="1:14" x14ac:dyDescent="0.25">
      <c r="A1993">
        <v>1470.973248</v>
      </c>
      <c r="B1993" s="1">
        <f>DATE(2014,5,10) + TIME(23,21,28)</f>
        <v>41769.973240740743</v>
      </c>
      <c r="C1993">
        <v>80</v>
      </c>
      <c r="D1993">
        <v>79.962516785000005</v>
      </c>
      <c r="E1993">
        <v>50</v>
      </c>
      <c r="F1993">
        <v>49.244472504000001</v>
      </c>
      <c r="G1993">
        <v>1384.7834473</v>
      </c>
      <c r="H1993">
        <v>1370.5954589999999</v>
      </c>
      <c r="I1993">
        <v>1288.7404785000001</v>
      </c>
      <c r="J1993">
        <v>1269.5223389</v>
      </c>
      <c r="K1993">
        <v>2400</v>
      </c>
      <c r="L1993">
        <v>0</v>
      </c>
      <c r="M1993">
        <v>0</v>
      </c>
      <c r="N1993">
        <v>2400</v>
      </c>
    </row>
    <row r="1994" spans="1:14" x14ac:dyDescent="0.25">
      <c r="A1994">
        <v>1471.2681689999999</v>
      </c>
      <c r="B1994" s="1">
        <f>DATE(2014,5,11) + TIME(6,26,9)</f>
        <v>41770.268159722225</v>
      </c>
      <c r="C1994">
        <v>80</v>
      </c>
      <c r="D1994">
        <v>79.962524414000001</v>
      </c>
      <c r="E1994">
        <v>50</v>
      </c>
      <c r="F1994">
        <v>49.228305816999999</v>
      </c>
      <c r="G1994">
        <v>1384.7476807</v>
      </c>
      <c r="H1994">
        <v>1370.5762939000001</v>
      </c>
      <c r="I1994">
        <v>1288.7434082</v>
      </c>
      <c r="J1994">
        <v>1269.5240478999999</v>
      </c>
      <c r="K1994">
        <v>2400</v>
      </c>
      <c r="L1994">
        <v>0</v>
      </c>
      <c r="M1994">
        <v>0</v>
      </c>
      <c r="N1994">
        <v>2400</v>
      </c>
    </row>
    <row r="1995" spans="1:14" x14ac:dyDescent="0.25">
      <c r="A1995">
        <v>1471.5728899999999</v>
      </c>
      <c r="B1995" s="1">
        <f>DATE(2014,5,11) + TIME(13,44,57)</f>
        <v>41770.572881944441</v>
      </c>
      <c r="C1995">
        <v>80</v>
      </c>
      <c r="D1995">
        <v>79.962516785000005</v>
      </c>
      <c r="E1995">
        <v>50</v>
      </c>
      <c r="F1995">
        <v>49.211700438999998</v>
      </c>
      <c r="G1995">
        <v>1384.7103271000001</v>
      </c>
      <c r="H1995">
        <v>1370.5554199000001</v>
      </c>
      <c r="I1995">
        <v>1288.7462158000001</v>
      </c>
      <c r="J1995">
        <v>1269.5256348</v>
      </c>
      <c r="K1995">
        <v>2400</v>
      </c>
      <c r="L1995">
        <v>0</v>
      </c>
      <c r="M1995">
        <v>0</v>
      </c>
      <c r="N1995">
        <v>2400</v>
      </c>
    </row>
    <row r="1996" spans="1:14" x14ac:dyDescent="0.25">
      <c r="A1996">
        <v>1471.884004</v>
      </c>
      <c r="B1996" s="1">
        <f>DATE(2014,5,11) + TIME(21,12,57)</f>
        <v>41770.883993055555</v>
      </c>
      <c r="C1996">
        <v>80</v>
      </c>
      <c r="D1996">
        <v>79.962509155000006</v>
      </c>
      <c r="E1996">
        <v>50</v>
      </c>
      <c r="F1996">
        <v>49.194778442</v>
      </c>
      <c r="G1996">
        <v>1384.6712646000001</v>
      </c>
      <c r="H1996">
        <v>1370.5332031</v>
      </c>
      <c r="I1996">
        <v>1288.7486572</v>
      </c>
      <c r="J1996">
        <v>1269.5268555</v>
      </c>
      <c r="K1996">
        <v>2400</v>
      </c>
      <c r="L1996">
        <v>0</v>
      </c>
      <c r="M1996">
        <v>0</v>
      </c>
      <c r="N1996">
        <v>2400</v>
      </c>
    </row>
    <row r="1997" spans="1:14" x14ac:dyDescent="0.25">
      <c r="A1997">
        <v>1472.202303</v>
      </c>
      <c r="B1997" s="1">
        <f>DATE(2014,5,12) + TIME(4,51,18)</f>
        <v>41771.202291666668</v>
      </c>
      <c r="C1997">
        <v>80</v>
      </c>
      <c r="D1997">
        <v>79.962501525999997</v>
      </c>
      <c r="E1997">
        <v>50</v>
      </c>
      <c r="F1997">
        <v>49.177524566999999</v>
      </c>
      <c r="G1997">
        <v>1384.6312256000001</v>
      </c>
      <c r="H1997">
        <v>1370.5096435999999</v>
      </c>
      <c r="I1997">
        <v>1288.7509766000001</v>
      </c>
      <c r="J1997">
        <v>1269.527832</v>
      </c>
      <c r="K1997">
        <v>2400</v>
      </c>
      <c r="L1997">
        <v>0</v>
      </c>
      <c r="M1997">
        <v>0</v>
      </c>
      <c r="N1997">
        <v>2400</v>
      </c>
    </row>
    <row r="1998" spans="1:14" x14ac:dyDescent="0.25">
      <c r="A1998">
        <v>1472.528564</v>
      </c>
      <c r="B1998" s="1">
        <f>DATE(2014,5,12) + TIME(12,41,7)</f>
        <v>41771.528553240743</v>
      </c>
      <c r="C1998">
        <v>80</v>
      </c>
      <c r="D1998">
        <v>79.962486267000003</v>
      </c>
      <c r="E1998">
        <v>50</v>
      </c>
      <c r="F1998">
        <v>49.159908295000001</v>
      </c>
      <c r="G1998">
        <v>1384.5900879000001</v>
      </c>
      <c r="H1998">
        <v>1370.4851074000001</v>
      </c>
      <c r="I1998">
        <v>1288.7529297000001</v>
      </c>
      <c r="J1998">
        <v>1269.5284423999999</v>
      </c>
      <c r="K1998">
        <v>2400</v>
      </c>
      <c r="L1998">
        <v>0</v>
      </c>
      <c r="M1998">
        <v>0</v>
      </c>
      <c r="N1998">
        <v>2400</v>
      </c>
    </row>
    <row r="1999" spans="1:14" x14ac:dyDescent="0.25">
      <c r="A1999">
        <v>1472.86365</v>
      </c>
      <c r="B1999" s="1">
        <f>DATE(2014,5,12) + TIME(20,43,39)</f>
        <v>41771.863645833335</v>
      </c>
      <c r="C1999">
        <v>80</v>
      </c>
      <c r="D1999">
        <v>79.962471007999994</v>
      </c>
      <c r="E1999">
        <v>50</v>
      </c>
      <c r="F1999">
        <v>49.141902924</v>
      </c>
      <c r="G1999">
        <v>1384.5479736</v>
      </c>
      <c r="H1999">
        <v>1370.4593506000001</v>
      </c>
      <c r="I1999">
        <v>1288.7543945</v>
      </c>
      <c r="J1999">
        <v>1269.5285644999999</v>
      </c>
      <c r="K1999">
        <v>2400</v>
      </c>
      <c r="L1999">
        <v>0</v>
      </c>
      <c r="M1999">
        <v>0</v>
      </c>
      <c r="N1999">
        <v>2400</v>
      </c>
    </row>
    <row r="2000" spans="1:14" x14ac:dyDescent="0.25">
      <c r="A2000">
        <v>1473.208527</v>
      </c>
      <c r="B2000" s="1">
        <f>DATE(2014,5,13) + TIME(5,0,16)</f>
        <v>41772.208518518521</v>
      </c>
      <c r="C2000">
        <v>80</v>
      </c>
      <c r="D2000">
        <v>79.962448120000005</v>
      </c>
      <c r="E2000">
        <v>50</v>
      </c>
      <c r="F2000">
        <v>49.123470306000002</v>
      </c>
      <c r="G2000">
        <v>1384.5047606999999</v>
      </c>
      <c r="H2000">
        <v>1370.4326172000001</v>
      </c>
      <c r="I2000">
        <v>1288.7554932</v>
      </c>
      <c r="J2000">
        <v>1269.5281981999999</v>
      </c>
      <c r="K2000">
        <v>2400</v>
      </c>
      <c r="L2000">
        <v>0</v>
      </c>
      <c r="M2000">
        <v>0</v>
      </c>
      <c r="N2000">
        <v>2400</v>
      </c>
    </row>
    <row r="2001" spans="1:14" x14ac:dyDescent="0.25">
      <c r="A2001">
        <v>1473.5642789999999</v>
      </c>
      <c r="B2001" s="1">
        <f>DATE(2014,5,13) + TIME(13,32,33)</f>
        <v>41772.564270833333</v>
      </c>
      <c r="C2001">
        <v>80</v>
      </c>
      <c r="D2001">
        <v>79.962425232000001</v>
      </c>
      <c r="E2001">
        <v>50</v>
      </c>
      <c r="F2001">
        <v>49.104560851999999</v>
      </c>
      <c r="G2001">
        <v>1384.4604492000001</v>
      </c>
      <c r="H2001">
        <v>1370.4047852000001</v>
      </c>
      <c r="I2001">
        <v>1288.7562256000001</v>
      </c>
      <c r="J2001">
        <v>1269.5274658000001</v>
      </c>
      <c r="K2001">
        <v>2400</v>
      </c>
      <c r="L2001">
        <v>0</v>
      </c>
      <c r="M2001">
        <v>0</v>
      </c>
      <c r="N2001">
        <v>2400</v>
      </c>
    </row>
    <row r="2002" spans="1:14" x14ac:dyDescent="0.25">
      <c r="A2002">
        <v>1473.9291949999999</v>
      </c>
      <c r="B2002" s="1">
        <f>DATE(2014,5,13) + TIME(22,18,2)</f>
        <v>41772.929189814815</v>
      </c>
      <c r="C2002">
        <v>80</v>
      </c>
      <c r="D2002">
        <v>79.962402343999997</v>
      </c>
      <c r="E2002">
        <v>50</v>
      </c>
      <c r="F2002">
        <v>49.08523941</v>
      </c>
      <c r="G2002">
        <v>1384.4149170000001</v>
      </c>
      <c r="H2002">
        <v>1370.3759766000001</v>
      </c>
      <c r="I2002">
        <v>1288.7563477000001</v>
      </c>
      <c r="J2002">
        <v>1269.526001</v>
      </c>
      <c r="K2002">
        <v>2400</v>
      </c>
      <c r="L2002">
        <v>0</v>
      </c>
      <c r="M2002">
        <v>0</v>
      </c>
      <c r="N2002">
        <v>2400</v>
      </c>
    </row>
    <row r="2003" spans="1:14" x14ac:dyDescent="0.25">
      <c r="A2003">
        <v>1474.2984959999999</v>
      </c>
      <c r="B2003" s="1">
        <f>DATE(2014,5,14) + TIME(7,9,50)</f>
        <v>41773.298495370371</v>
      </c>
      <c r="C2003">
        <v>80</v>
      </c>
      <c r="D2003">
        <v>79.962371825999995</v>
      </c>
      <c r="E2003">
        <v>50</v>
      </c>
      <c r="F2003">
        <v>49.065681458</v>
      </c>
      <c r="G2003">
        <v>1384.3686522999999</v>
      </c>
      <c r="H2003">
        <v>1370.3461914</v>
      </c>
      <c r="I2003">
        <v>1288.7558594</v>
      </c>
      <c r="J2003">
        <v>1269.5240478999999</v>
      </c>
      <c r="K2003">
        <v>2400</v>
      </c>
      <c r="L2003">
        <v>0</v>
      </c>
      <c r="M2003">
        <v>0</v>
      </c>
      <c r="N2003">
        <v>2400</v>
      </c>
    </row>
    <row r="2004" spans="1:14" x14ac:dyDescent="0.25">
      <c r="A2004">
        <v>1474.673186</v>
      </c>
      <c r="B2004" s="1">
        <f>DATE(2014,5,14) + TIME(16,9,23)</f>
        <v>41773.673182870371</v>
      </c>
      <c r="C2004">
        <v>80</v>
      </c>
      <c r="D2004">
        <v>79.962348938000005</v>
      </c>
      <c r="E2004">
        <v>50</v>
      </c>
      <c r="F2004">
        <v>49.045875549000002</v>
      </c>
      <c r="G2004">
        <v>1384.3221435999999</v>
      </c>
      <c r="H2004">
        <v>1370.315918</v>
      </c>
      <c r="I2004">
        <v>1288.7548827999999</v>
      </c>
      <c r="J2004">
        <v>1269.5214844</v>
      </c>
      <c r="K2004">
        <v>2400</v>
      </c>
      <c r="L2004">
        <v>0</v>
      </c>
      <c r="M2004">
        <v>0</v>
      </c>
      <c r="N2004">
        <v>2400</v>
      </c>
    </row>
    <row r="2005" spans="1:14" x14ac:dyDescent="0.25">
      <c r="A2005">
        <v>1475.0542519999999</v>
      </c>
      <c r="B2005" s="1">
        <f>DATE(2014,5,15) + TIME(1,18,7)</f>
        <v>41774.054247685184</v>
      </c>
      <c r="C2005">
        <v>80</v>
      </c>
      <c r="D2005">
        <v>79.962318420000003</v>
      </c>
      <c r="E2005">
        <v>50</v>
      </c>
      <c r="F2005">
        <v>49.025810241999999</v>
      </c>
      <c r="G2005">
        <v>1384.2753906</v>
      </c>
      <c r="H2005">
        <v>1370.2851562000001</v>
      </c>
      <c r="I2005">
        <v>1288.753418</v>
      </c>
      <c r="J2005">
        <v>1269.5183105000001</v>
      </c>
      <c r="K2005">
        <v>2400</v>
      </c>
      <c r="L2005">
        <v>0</v>
      </c>
      <c r="M2005">
        <v>0</v>
      </c>
      <c r="N2005">
        <v>2400</v>
      </c>
    </row>
    <row r="2006" spans="1:14" x14ac:dyDescent="0.25">
      <c r="A2006">
        <v>1475.4392339999999</v>
      </c>
      <c r="B2006" s="1">
        <f>DATE(2014,5,15) + TIME(10,32,29)</f>
        <v>41774.43922453704</v>
      </c>
      <c r="C2006">
        <v>80</v>
      </c>
      <c r="D2006">
        <v>79.962287903000004</v>
      </c>
      <c r="E2006">
        <v>50</v>
      </c>
      <c r="F2006">
        <v>49.005569457999997</v>
      </c>
      <c r="G2006">
        <v>1384.2282714999999</v>
      </c>
      <c r="H2006">
        <v>1370.2540283000001</v>
      </c>
      <c r="I2006">
        <v>1288.7513428</v>
      </c>
      <c r="J2006">
        <v>1269.5146483999999</v>
      </c>
      <c r="K2006">
        <v>2400</v>
      </c>
      <c r="L2006">
        <v>0</v>
      </c>
      <c r="M2006">
        <v>0</v>
      </c>
      <c r="N2006">
        <v>2400</v>
      </c>
    </row>
    <row r="2007" spans="1:14" x14ac:dyDescent="0.25">
      <c r="A2007">
        <v>1475.829041</v>
      </c>
      <c r="B2007" s="1">
        <f>DATE(2014,5,15) + TIME(19,53,49)</f>
        <v>41774.829039351855</v>
      </c>
      <c r="C2007">
        <v>80</v>
      </c>
      <c r="D2007">
        <v>79.962265015</v>
      </c>
      <c r="E2007">
        <v>50</v>
      </c>
      <c r="F2007">
        <v>48.985149384000003</v>
      </c>
      <c r="G2007">
        <v>1384.1812743999999</v>
      </c>
      <c r="H2007">
        <v>1370.2225341999999</v>
      </c>
      <c r="I2007">
        <v>1288.7489014</v>
      </c>
      <c r="J2007">
        <v>1269.5104980000001</v>
      </c>
      <c r="K2007">
        <v>2400</v>
      </c>
      <c r="L2007">
        <v>0</v>
      </c>
      <c r="M2007">
        <v>0</v>
      </c>
      <c r="N2007">
        <v>2400</v>
      </c>
    </row>
    <row r="2008" spans="1:14" x14ac:dyDescent="0.25">
      <c r="A2008">
        <v>1476.224598</v>
      </c>
      <c r="B2008" s="1">
        <f>DATE(2014,5,16) + TIME(5,23,25)</f>
        <v>41775.224594907406</v>
      </c>
      <c r="C2008">
        <v>80</v>
      </c>
      <c r="D2008">
        <v>79.962234496999997</v>
      </c>
      <c r="E2008">
        <v>50</v>
      </c>
      <c r="F2008">
        <v>48.964523315000001</v>
      </c>
      <c r="G2008">
        <v>1384.1341553</v>
      </c>
      <c r="H2008">
        <v>1370.190918</v>
      </c>
      <c r="I2008">
        <v>1288.7459716999999</v>
      </c>
      <c r="J2008">
        <v>1269.5058594</v>
      </c>
      <c r="K2008">
        <v>2400</v>
      </c>
      <c r="L2008">
        <v>0</v>
      </c>
      <c r="M2008">
        <v>0</v>
      </c>
      <c r="N2008">
        <v>2400</v>
      </c>
    </row>
    <row r="2009" spans="1:14" x14ac:dyDescent="0.25">
      <c r="A2009">
        <v>1476.6268070000001</v>
      </c>
      <c r="B2009" s="1">
        <f>DATE(2014,5,16) + TIME(15,2,36)</f>
        <v>41775.626805555556</v>
      </c>
      <c r="C2009">
        <v>80</v>
      </c>
      <c r="D2009">
        <v>79.962203978999995</v>
      </c>
      <c r="E2009">
        <v>50</v>
      </c>
      <c r="F2009">
        <v>48.943660735999998</v>
      </c>
      <c r="G2009">
        <v>1384.0869141000001</v>
      </c>
      <c r="H2009">
        <v>1370.1589355000001</v>
      </c>
      <c r="I2009">
        <v>1288.7425536999999</v>
      </c>
      <c r="J2009">
        <v>1269.5006103999999</v>
      </c>
      <c r="K2009">
        <v>2400</v>
      </c>
      <c r="L2009">
        <v>0</v>
      </c>
      <c r="M2009">
        <v>0</v>
      </c>
      <c r="N2009">
        <v>2400</v>
      </c>
    </row>
    <row r="2010" spans="1:14" x14ac:dyDescent="0.25">
      <c r="A2010">
        <v>1477.0354600000001</v>
      </c>
      <c r="B2010" s="1">
        <f>DATE(2014,5,17) + TIME(0,51,3)</f>
        <v>41776.035451388889</v>
      </c>
      <c r="C2010">
        <v>80</v>
      </c>
      <c r="D2010">
        <v>79.962181091000005</v>
      </c>
      <c r="E2010">
        <v>50</v>
      </c>
      <c r="F2010">
        <v>48.922565460000001</v>
      </c>
      <c r="G2010">
        <v>1384.0395507999999</v>
      </c>
      <c r="H2010">
        <v>1370.1265868999999</v>
      </c>
      <c r="I2010">
        <v>1288.7387695</v>
      </c>
      <c r="J2010">
        <v>1269.4949951000001</v>
      </c>
      <c r="K2010">
        <v>2400</v>
      </c>
      <c r="L2010">
        <v>0</v>
      </c>
      <c r="M2010">
        <v>0</v>
      </c>
      <c r="N2010">
        <v>2400</v>
      </c>
    </row>
    <row r="2011" spans="1:14" x14ac:dyDescent="0.25">
      <c r="A2011">
        <v>1477.4515349999999</v>
      </c>
      <c r="B2011" s="1">
        <f>DATE(2014,5,17) + TIME(10,50,12)</f>
        <v>41776.451527777775</v>
      </c>
      <c r="C2011">
        <v>80</v>
      </c>
      <c r="D2011">
        <v>79.962150574000006</v>
      </c>
      <c r="E2011">
        <v>50</v>
      </c>
      <c r="F2011">
        <v>48.901210785000004</v>
      </c>
      <c r="G2011">
        <v>1383.9920654</v>
      </c>
      <c r="H2011">
        <v>1370.0941161999999</v>
      </c>
      <c r="I2011">
        <v>1288.7344971</v>
      </c>
      <c r="J2011">
        <v>1269.4888916</v>
      </c>
      <c r="K2011">
        <v>2400</v>
      </c>
      <c r="L2011">
        <v>0</v>
      </c>
      <c r="M2011">
        <v>0</v>
      </c>
      <c r="N2011">
        <v>2400</v>
      </c>
    </row>
    <row r="2012" spans="1:14" x14ac:dyDescent="0.25">
      <c r="A2012">
        <v>1477.876062</v>
      </c>
      <c r="B2012" s="1">
        <f>DATE(2014,5,17) + TIME(21,1,31)</f>
        <v>41776.87605324074</v>
      </c>
      <c r="C2012">
        <v>80</v>
      </c>
      <c r="D2012">
        <v>79.962120056000003</v>
      </c>
      <c r="E2012">
        <v>50</v>
      </c>
      <c r="F2012">
        <v>48.879550934000001</v>
      </c>
      <c r="G2012">
        <v>1383.9443358999999</v>
      </c>
      <c r="H2012">
        <v>1370.0611572</v>
      </c>
      <c r="I2012">
        <v>1288.7297363</v>
      </c>
      <c r="J2012">
        <v>1269.4822998</v>
      </c>
      <c r="K2012">
        <v>2400</v>
      </c>
      <c r="L2012">
        <v>0</v>
      </c>
      <c r="M2012">
        <v>0</v>
      </c>
      <c r="N2012">
        <v>2400</v>
      </c>
    </row>
    <row r="2013" spans="1:14" x14ac:dyDescent="0.25">
      <c r="A2013">
        <v>1478.3101509999999</v>
      </c>
      <c r="B2013" s="1">
        <f>DATE(2014,5,18) + TIME(7,26,37)</f>
        <v>41777.310150462959</v>
      </c>
      <c r="C2013">
        <v>80</v>
      </c>
      <c r="D2013">
        <v>79.962097168</v>
      </c>
      <c r="E2013">
        <v>50</v>
      </c>
      <c r="F2013">
        <v>48.857551575000002</v>
      </c>
      <c r="G2013">
        <v>1383.8963623</v>
      </c>
      <c r="H2013">
        <v>1370.0279541</v>
      </c>
      <c r="I2013">
        <v>1288.7246094</v>
      </c>
      <c r="J2013">
        <v>1269.4752197</v>
      </c>
      <c r="K2013">
        <v>2400</v>
      </c>
      <c r="L2013">
        <v>0</v>
      </c>
      <c r="M2013">
        <v>0</v>
      </c>
      <c r="N2013">
        <v>2400</v>
      </c>
    </row>
    <row r="2014" spans="1:14" x14ac:dyDescent="0.25">
      <c r="A2014">
        <v>1478.7550229999999</v>
      </c>
      <c r="B2014" s="1">
        <f>DATE(2014,5,18) + TIME(18,7,13)</f>
        <v>41777.755011574074</v>
      </c>
      <c r="C2014">
        <v>80</v>
      </c>
      <c r="D2014">
        <v>79.962066649999997</v>
      </c>
      <c r="E2014">
        <v>50</v>
      </c>
      <c r="F2014">
        <v>48.835155487000002</v>
      </c>
      <c r="G2014">
        <v>1383.8480225000001</v>
      </c>
      <c r="H2014">
        <v>1369.9942627</v>
      </c>
      <c r="I2014">
        <v>1288.7189940999999</v>
      </c>
      <c r="J2014">
        <v>1269.4676514</v>
      </c>
      <c r="K2014">
        <v>2400</v>
      </c>
      <c r="L2014">
        <v>0</v>
      </c>
      <c r="M2014">
        <v>0</v>
      </c>
      <c r="N2014">
        <v>2400</v>
      </c>
    </row>
    <row r="2015" spans="1:14" x14ac:dyDescent="0.25">
      <c r="A2015">
        <v>1479.2120219999999</v>
      </c>
      <c r="B2015" s="1">
        <f>DATE(2014,5,19) + TIME(5,5,18)</f>
        <v>41778.212013888886</v>
      </c>
      <c r="C2015">
        <v>80</v>
      </c>
      <c r="D2015">
        <v>79.962036132999998</v>
      </c>
      <c r="E2015">
        <v>50</v>
      </c>
      <c r="F2015">
        <v>48.812313080000003</v>
      </c>
      <c r="G2015">
        <v>1383.7991943</v>
      </c>
      <c r="H2015">
        <v>1369.9599608999999</v>
      </c>
      <c r="I2015">
        <v>1288.7130127</v>
      </c>
      <c r="J2015">
        <v>1269.4594727000001</v>
      </c>
      <c r="K2015">
        <v>2400</v>
      </c>
      <c r="L2015">
        <v>0</v>
      </c>
      <c r="M2015">
        <v>0</v>
      </c>
      <c r="N2015">
        <v>2400</v>
      </c>
    </row>
    <row r="2016" spans="1:14" x14ac:dyDescent="0.25">
      <c r="A2016">
        <v>1479.682656</v>
      </c>
      <c r="B2016" s="1">
        <f>DATE(2014,5,19) + TIME(16,23,1)</f>
        <v>41778.682650462964</v>
      </c>
      <c r="C2016">
        <v>80</v>
      </c>
      <c r="D2016">
        <v>79.962013244999994</v>
      </c>
      <c r="E2016">
        <v>50</v>
      </c>
      <c r="F2016">
        <v>48.788967133</v>
      </c>
      <c r="G2016">
        <v>1383.7498779</v>
      </c>
      <c r="H2016">
        <v>1369.925293</v>
      </c>
      <c r="I2016">
        <v>1288.706543</v>
      </c>
      <c r="J2016">
        <v>1269.4509277</v>
      </c>
      <c r="K2016">
        <v>2400</v>
      </c>
      <c r="L2016">
        <v>0</v>
      </c>
      <c r="M2016">
        <v>0</v>
      </c>
      <c r="N2016">
        <v>2400</v>
      </c>
    </row>
    <row r="2017" spans="1:14" x14ac:dyDescent="0.25">
      <c r="A2017">
        <v>1480.168975</v>
      </c>
      <c r="B2017" s="1">
        <f>DATE(2014,5,20) + TIME(4,3,19)</f>
        <v>41779.168969907405</v>
      </c>
      <c r="C2017">
        <v>80</v>
      </c>
      <c r="D2017">
        <v>79.961982727000006</v>
      </c>
      <c r="E2017">
        <v>50</v>
      </c>
      <c r="F2017">
        <v>48.765029906999999</v>
      </c>
      <c r="G2017">
        <v>1383.6998291</v>
      </c>
      <c r="H2017">
        <v>1369.8898925999999</v>
      </c>
      <c r="I2017">
        <v>1288.6995850000001</v>
      </c>
      <c r="J2017">
        <v>1269.4417725000001</v>
      </c>
      <c r="K2017">
        <v>2400</v>
      </c>
      <c r="L2017">
        <v>0</v>
      </c>
      <c r="M2017">
        <v>0</v>
      </c>
      <c r="N2017">
        <v>2400</v>
      </c>
    </row>
    <row r="2018" spans="1:14" x14ac:dyDescent="0.25">
      <c r="A2018">
        <v>1480.6649279999999</v>
      </c>
      <c r="B2018" s="1">
        <f>DATE(2014,5,20) + TIME(15,57,29)</f>
        <v>41779.664918981478</v>
      </c>
      <c r="C2018">
        <v>80</v>
      </c>
      <c r="D2018">
        <v>79.961952209000003</v>
      </c>
      <c r="E2018">
        <v>50</v>
      </c>
      <c r="F2018">
        <v>48.740673065000003</v>
      </c>
      <c r="G2018">
        <v>1383.6490478999999</v>
      </c>
      <c r="H2018">
        <v>1369.8538818</v>
      </c>
      <c r="I2018">
        <v>1288.6921387</v>
      </c>
      <c r="J2018">
        <v>1269.4320068</v>
      </c>
      <c r="K2018">
        <v>2400</v>
      </c>
      <c r="L2018">
        <v>0</v>
      </c>
      <c r="M2018">
        <v>0</v>
      </c>
      <c r="N2018">
        <v>2400</v>
      </c>
    </row>
    <row r="2019" spans="1:14" x14ac:dyDescent="0.25">
      <c r="A2019">
        <v>1481.1653650000001</v>
      </c>
      <c r="B2019" s="1">
        <f>DATE(2014,5,21) + TIME(3,58,7)</f>
        <v>41780.165358796294</v>
      </c>
      <c r="C2019">
        <v>80</v>
      </c>
      <c r="D2019">
        <v>79.961929321</v>
      </c>
      <c r="E2019">
        <v>50</v>
      </c>
      <c r="F2019">
        <v>48.716079712000003</v>
      </c>
      <c r="G2019">
        <v>1383.5981445</v>
      </c>
      <c r="H2019">
        <v>1369.8176269999999</v>
      </c>
      <c r="I2019">
        <v>1288.6843262</v>
      </c>
      <c r="J2019">
        <v>1269.4217529</v>
      </c>
      <c r="K2019">
        <v>2400</v>
      </c>
      <c r="L2019">
        <v>0</v>
      </c>
      <c r="M2019">
        <v>0</v>
      </c>
      <c r="N2019">
        <v>2400</v>
      </c>
    </row>
    <row r="2020" spans="1:14" x14ac:dyDescent="0.25">
      <c r="A2020">
        <v>1481.6716739999999</v>
      </c>
      <c r="B2020" s="1">
        <f>DATE(2014,5,21) + TIME(16,7,12)</f>
        <v>41780.671666666669</v>
      </c>
      <c r="C2020">
        <v>80</v>
      </c>
      <c r="D2020">
        <v>79.961898804</v>
      </c>
      <c r="E2020">
        <v>50</v>
      </c>
      <c r="F2020">
        <v>48.691261292</v>
      </c>
      <c r="G2020">
        <v>1383.5476074000001</v>
      </c>
      <c r="H2020">
        <v>1369.7814940999999</v>
      </c>
      <c r="I2020">
        <v>1288.6761475000001</v>
      </c>
      <c r="J2020">
        <v>1269.4112548999999</v>
      </c>
      <c r="K2020">
        <v>2400</v>
      </c>
      <c r="L2020">
        <v>0</v>
      </c>
      <c r="M2020">
        <v>0</v>
      </c>
      <c r="N2020">
        <v>2400</v>
      </c>
    </row>
    <row r="2021" spans="1:14" x14ac:dyDescent="0.25">
      <c r="A2021">
        <v>1482.1852280000001</v>
      </c>
      <c r="B2021" s="1">
        <f>DATE(2014,5,22) + TIME(4,26,43)</f>
        <v>41781.185219907406</v>
      </c>
      <c r="C2021">
        <v>80</v>
      </c>
      <c r="D2021">
        <v>79.961875915999997</v>
      </c>
      <c r="E2021">
        <v>50</v>
      </c>
      <c r="F2021">
        <v>48.666210175000003</v>
      </c>
      <c r="G2021">
        <v>1383.4973144999999</v>
      </c>
      <c r="H2021">
        <v>1369.7453613</v>
      </c>
      <c r="I2021">
        <v>1288.6677245999999</v>
      </c>
      <c r="J2021">
        <v>1269.4002685999999</v>
      </c>
      <c r="K2021">
        <v>2400</v>
      </c>
      <c r="L2021">
        <v>0</v>
      </c>
      <c r="M2021">
        <v>0</v>
      </c>
      <c r="N2021">
        <v>2400</v>
      </c>
    </row>
    <row r="2022" spans="1:14" x14ac:dyDescent="0.25">
      <c r="A2022">
        <v>1482.707455</v>
      </c>
      <c r="B2022" s="1">
        <f>DATE(2014,5,22) + TIME(16,58,44)</f>
        <v>41781.707453703704</v>
      </c>
      <c r="C2022">
        <v>80</v>
      </c>
      <c r="D2022">
        <v>79.961853027000004</v>
      </c>
      <c r="E2022">
        <v>50</v>
      </c>
      <c r="F2022">
        <v>48.640892029</v>
      </c>
      <c r="G2022">
        <v>1383.4471435999999</v>
      </c>
      <c r="H2022">
        <v>1369.7091064000001</v>
      </c>
      <c r="I2022">
        <v>1288.6589355000001</v>
      </c>
      <c r="J2022">
        <v>1269.3890381000001</v>
      </c>
      <c r="K2022">
        <v>2400</v>
      </c>
      <c r="L2022">
        <v>0</v>
      </c>
      <c r="M2022">
        <v>0</v>
      </c>
      <c r="N2022">
        <v>2400</v>
      </c>
    </row>
    <row r="2023" spans="1:14" x14ac:dyDescent="0.25">
      <c r="A2023">
        <v>1483.239865</v>
      </c>
      <c r="B2023" s="1">
        <f>DATE(2014,5,23) + TIME(5,45,24)</f>
        <v>41782.239861111113</v>
      </c>
      <c r="C2023">
        <v>80</v>
      </c>
      <c r="D2023">
        <v>79.961822510000005</v>
      </c>
      <c r="E2023">
        <v>50</v>
      </c>
      <c r="F2023">
        <v>48.615257262999997</v>
      </c>
      <c r="G2023">
        <v>1383.3969727000001</v>
      </c>
      <c r="H2023">
        <v>1369.6727295000001</v>
      </c>
      <c r="I2023">
        <v>1288.6497803</v>
      </c>
      <c r="J2023">
        <v>1269.3773193</v>
      </c>
      <c r="K2023">
        <v>2400</v>
      </c>
      <c r="L2023">
        <v>0</v>
      </c>
      <c r="M2023">
        <v>0</v>
      </c>
      <c r="N2023">
        <v>2400</v>
      </c>
    </row>
    <row r="2024" spans="1:14" x14ac:dyDescent="0.25">
      <c r="A2024">
        <v>1483.7834009999999</v>
      </c>
      <c r="B2024" s="1">
        <f>DATE(2014,5,23) + TIME(18,48,5)</f>
        <v>41782.783391203702</v>
      </c>
      <c r="C2024">
        <v>80</v>
      </c>
      <c r="D2024">
        <v>79.961799622000001</v>
      </c>
      <c r="E2024">
        <v>50</v>
      </c>
      <c r="F2024">
        <v>48.589271545000003</v>
      </c>
      <c r="G2024">
        <v>1383.3466797000001</v>
      </c>
      <c r="H2024">
        <v>1369.6362305</v>
      </c>
      <c r="I2024">
        <v>1288.6403809000001</v>
      </c>
      <c r="J2024">
        <v>1269.3651123</v>
      </c>
      <c r="K2024">
        <v>2400</v>
      </c>
      <c r="L2024">
        <v>0</v>
      </c>
      <c r="M2024">
        <v>0</v>
      </c>
      <c r="N2024">
        <v>2400</v>
      </c>
    </row>
    <row r="2025" spans="1:14" x14ac:dyDescent="0.25">
      <c r="A2025">
        <v>1484.3307769999999</v>
      </c>
      <c r="B2025" s="1">
        <f>DATE(2014,5,24) + TIME(7,56,19)</f>
        <v>41783.330775462964</v>
      </c>
      <c r="C2025">
        <v>80</v>
      </c>
      <c r="D2025">
        <v>79.961776732999994</v>
      </c>
      <c r="E2025">
        <v>50</v>
      </c>
      <c r="F2025">
        <v>48.563129425</v>
      </c>
      <c r="G2025">
        <v>1383.2963867000001</v>
      </c>
      <c r="H2025">
        <v>1369.5994873</v>
      </c>
      <c r="I2025">
        <v>1288.6306152</v>
      </c>
      <c r="J2025">
        <v>1269.3525391000001</v>
      </c>
      <c r="K2025">
        <v>2400</v>
      </c>
      <c r="L2025">
        <v>0</v>
      </c>
      <c r="M2025">
        <v>0</v>
      </c>
      <c r="N2025">
        <v>2400</v>
      </c>
    </row>
    <row r="2026" spans="1:14" x14ac:dyDescent="0.25">
      <c r="A2026">
        <v>1484.8832179999999</v>
      </c>
      <c r="B2026" s="1">
        <f>DATE(2014,5,24) + TIME(21,11,50)</f>
        <v>41783.883217592593</v>
      </c>
      <c r="C2026">
        <v>80</v>
      </c>
      <c r="D2026">
        <v>79.961753845000004</v>
      </c>
      <c r="E2026">
        <v>50</v>
      </c>
      <c r="F2026">
        <v>48.536846161</v>
      </c>
      <c r="G2026">
        <v>1383.2464600000001</v>
      </c>
      <c r="H2026">
        <v>1369.5629882999999</v>
      </c>
      <c r="I2026">
        <v>1288.6204834</v>
      </c>
      <c r="J2026">
        <v>1269.3397216999999</v>
      </c>
      <c r="K2026">
        <v>2400</v>
      </c>
      <c r="L2026">
        <v>0</v>
      </c>
      <c r="M2026">
        <v>0</v>
      </c>
      <c r="N2026">
        <v>2400</v>
      </c>
    </row>
    <row r="2027" spans="1:14" x14ac:dyDescent="0.25">
      <c r="A2027">
        <v>1485.441945</v>
      </c>
      <c r="B2027" s="1">
        <f>DATE(2014,5,25) + TIME(10,36,24)</f>
        <v>41784.441944444443</v>
      </c>
      <c r="C2027">
        <v>80</v>
      </c>
      <c r="D2027">
        <v>79.961730957</v>
      </c>
      <c r="E2027">
        <v>50</v>
      </c>
      <c r="F2027">
        <v>48.510406494000001</v>
      </c>
      <c r="G2027">
        <v>1383.1968993999999</v>
      </c>
      <c r="H2027">
        <v>1369.5267334</v>
      </c>
      <c r="I2027">
        <v>1288.6102295000001</v>
      </c>
      <c r="J2027">
        <v>1269.3265381000001</v>
      </c>
      <c r="K2027">
        <v>2400</v>
      </c>
      <c r="L2027">
        <v>0</v>
      </c>
      <c r="M2027">
        <v>0</v>
      </c>
      <c r="N2027">
        <v>2400</v>
      </c>
    </row>
    <row r="2028" spans="1:14" x14ac:dyDescent="0.25">
      <c r="A2028">
        <v>1486.008239</v>
      </c>
      <c r="B2028" s="1">
        <f>DATE(2014,5,26) + TIME(0,11,51)</f>
        <v>41785.008229166669</v>
      </c>
      <c r="C2028">
        <v>80</v>
      </c>
      <c r="D2028">
        <v>79.961708068999997</v>
      </c>
      <c r="E2028">
        <v>50</v>
      </c>
      <c r="F2028">
        <v>48.483779906999999</v>
      </c>
      <c r="G2028">
        <v>1383.1477050999999</v>
      </c>
      <c r="H2028">
        <v>1369.4903564000001</v>
      </c>
      <c r="I2028">
        <v>1288.5996094</v>
      </c>
      <c r="J2028">
        <v>1269.3129882999999</v>
      </c>
      <c r="K2028">
        <v>2400</v>
      </c>
      <c r="L2028">
        <v>0</v>
      </c>
      <c r="M2028">
        <v>0</v>
      </c>
      <c r="N2028">
        <v>2400</v>
      </c>
    </row>
    <row r="2029" spans="1:14" x14ac:dyDescent="0.25">
      <c r="A2029">
        <v>1486.5834560000001</v>
      </c>
      <c r="B2029" s="1">
        <f>DATE(2014,5,26) + TIME(14,0,10)</f>
        <v>41785.583449074074</v>
      </c>
      <c r="C2029">
        <v>80</v>
      </c>
      <c r="D2029">
        <v>79.961692810000002</v>
      </c>
      <c r="E2029">
        <v>50</v>
      </c>
      <c r="F2029">
        <v>48.456928253000001</v>
      </c>
      <c r="G2029">
        <v>1383.0985106999999</v>
      </c>
      <c r="H2029">
        <v>1369.4541016000001</v>
      </c>
      <c r="I2029">
        <v>1288.5888672000001</v>
      </c>
      <c r="J2029">
        <v>1269.2991943</v>
      </c>
      <c r="K2029">
        <v>2400</v>
      </c>
      <c r="L2029">
        <v>0</v>
      </c>
      <c r="M2029">
        <v>0</v>
      </c>
      <c r="N2029">
        <v>2400</v>
      </c>
    </row>
    <row r="2030" spans="1:14" x14ac:dyDescent="0.25">
      <c r="A2030">
        <v>1487.169042</v>
      </c>
      <c r="B2030" s="1">
        <f>DATE(2014,5,27) + TIME(4,3,25)</f>
        <v>41786.169039351851</v>
      </c>
      <c r="C2030">
        <v>80</v>
      </c>
      <c r="D2030">
        <v>79.961669921999999</v>
      </c>
      <c r="E2030">
        <v>50</v>
      </c>
      <c r="F2030">
        <v>48.429798126000001</v>
      </c>
      <c r="G2030">
        <v>1383.0495605000001</v>
      </c>
      <c r="H2030">
        <v>1369.4177245999999</v>
      </c>
      <c r="I2030">
        <v>1288.5776367000001</v>
      </c>
      <c r="J2030">
        <v>1269.2849120999999</v>
      </c>
      <c r="K2030">
        <v>2400</v>
      </c>
      <c r="L2030">
        <v>0</v>
      </c>
      <c r="M2030">
        <v>0</v>
      </c>
      <c r="N2030">
        <v>2400</v>
      </c>
    </row>
    <row r="2031" spans="1:14" x14ac:dyDescent="0.25">
      <c r="A2031">
        <v>1487.7665770000001</v>
      </c>
      <c r="B2031" s="1">
        <f>DATE(2014,5,27) + TIME(18,23,52)</f>
        <v>41786.766574074078</v>
      </c>
      <c r="C2031">
        <v>80</v>
      </c>
      <c r="D2031">
        <v>79.961647033999995</v>
      </c>
      <c r="E2031">
        <v>50</v>
      </c>
      <c r="F2031">
        <v>48.402328490999999</v>
      </c>
      <c r="G2031">
        <v>1383.0003661999999</v>
      </c>
      <c r="H2031">
        <v>1369.3812256000001</v>
      </c>
      <c r="I2031">
        <v>1288.5661620999999</v>
      </c>
      <c r="J2031">
        <v>1269.2701416</v>
      </c>
      <c r="K2031">
        <v>2400</v>
      </c>
      <c r="L2031">
        <v>0</v>
      </c>
      <c r="M2031">
        <v>0</v>
      </c>
      <c r="N2031">
        <v>2400</v>
      </c>
    </row>
    <row r="2032" spans="1:14" x14ac:dyDescent="0.25">
      <c r="A2032">
        <v>1488.377798</v>
      </c>
      <c r="B2032" s="1">
        <f>DATE(2014,5,28) + TIME(9,4,1)</f>
        <v>41787.377789351849</v>
      </c>
      <c r="C2032">
        <v>80</v>
      </c>
      <c r="D2032">
        <v>79.961631775000001</v>
      </c>
      <c r="E2032">
        <v>50</v>
      </c>
      <c r="F2032">
        <v>48.374462127999998</v>
      </c>
      <c r="G2032">
        <v>1382.9511719</v>
      </c>
      <c r="H2032">
        <v>1369.3443603999999</v>
      </c>
      <c r="I2032">
        <v>1288.5543213000001</v>
      </c>
      <c r="J2032">
        <v>1269.2548827999999</v>
      </c>
      <c r="K2032">
        <v>2400</v>
      </c>
      <c r="L2032">
        <v>0</v>
      </c>
      <c r="M2032">
        <v>0</v>
      </c>
      <c r="N2032">
        <v>2400</v>
      </c>
    </row>
    <row r="2033" spans="1:14" x14ac:dyDescent="0.25">
      <c r="A2033">
        <v>1489.004633</v>
      </c>
      <c r="B2033" s="1">
        <f>DATE(2014,5,29) + TIME(0,6,40)</f>
        <v>41788.004629629628</v>
      </c>
      <c r="C2033">
        <v>80</v>
      </c>
      <c r="D2033">
        <v>79.961608886999997</v>
      </c>
      <c r="E2033">
        <v>50</v>
      </c>
      <c r="F2033">
        <v>48.346118926999999</v>
      </c>
      <c r="G2033">
        <v>1382.9016113</v>
      </c>
      <c r="H2033">
        <v>1369.307251</v>
      </c>
      <c r="I2033">
        <v>1288.5421143000001</v>
      </c>
      <c r="J2033">
        <v>1269.2391356999999</v>
      </c>
      <c r="K2033">
        <v>2400</v>
      </c>
      <c r="L2033">
        <v>0</v>
      </c>
      <c r="M2033">
        <v>0</v>
      </c>
      <c r="N2033">
        <v>2400</v>
      </c>
    </row>
    <row r="2034" spans="1:14" x14ac:dyDescent="0.25">
      <c r="A2034">
        <v>1489.64966</v>
      </c>
      <c r="B2034" s="1">
        <f>DATE(2014,5,29) + TIME(15,35,30)</f>
        <v>41788.649652777778</v>
      </c>
      <c r="C2034">
        <v>80</v>
      </c>
      <c r="D2034">
        <v>79.961593628000003</v>
      </c>
      <c r="E2034">
        <v>50</v>
      </c>
      <c r="F2034">
        <v>48.317214966000002</v>
      </c>
      <c r="G2034">
        <v>1382.8515625</v>
      </c>
      <c r="H2034">
        <v>1369.2697754000001</v>
      </c>
      <c r="I2034">
        <v>1288.5294189000001</v>
      </c>
      <c r="J2034">
        <v>1269.2227783000001</v>
      </c>
      <c r="K2034">
        <v>2400</v>
      </c>
      <c r="L2034">
        <v>0</v>
      </c>
      <c r="M2034">
        <v>0</v>
      </c>
      <c r="N2034">
        <v>2400</v>
      </c>
    </row>
    <row r="2035" spans="1:14" x14ac:dyDescent="0.25">
      <c r="A2035">
        <v>1490.3150350000001</v>
      </c>
      <c r="B2035" s="1">
        <f>DATE(2014,5,30) + TIME(7,33,39)</f>
        <v>41789.315034722225</v>
      </c>
      <c r="C2035">
        <v>80</v>
      </c>
      <c r="D2035">
        <v>79.961578368999994</v>
      </c>
      <c r="E2035">
        <v>50</v>
      </c>
      <c r="F2035">
        <v>48.287666321000003</v>
      </c>
      <c r="G2035">
        <v>1382.8010254000001</v>
      </c>
      <c r="H2035">
        <v>1369.2316894999999</v>
      </c>
      <c r="I2035">
        <v>1288.5161132999999</v>
      </c>
      <c r="J2035">
        <v>1269.2058105000001</v>
      </c>
      <c r="K2035">
        <v>2400</v>
      </c>
      <c r="L2035">
        <v>0</v>
      </c>
      <c r="M2035">
        <v>0</v>
      </c>
      <c r="N2035">
        <v>2400</v>
      </c>
    </row>
    <row r="2036" spans="1:14" x14ac:dyDescent="0.25">
      <c r="A2036">
        <v>1490.9892359999999</v>
      </c>
      <c r="B2036" s="1">
        <f>DATE(2014,5,30) + TIME(23,44,30)</f>
        <v>41789.989236111112</v>
      </c>
      <c r="C2036">
        <v>80</v>
      </c>
      <c r="D2036">
        <v>79.961555481000005</v>
      </c>
      <c r="E2036">
        <v>50</v>
      </c>
      <c r="F2036">
        <v>48.257713318</v>
      </c>
      <c r="G2036">
        <v>1382.75</v>
      </c>
      <c r="H2036">
        <v>1369.1931152</v>
      </c>
      <c r="I2036">
        <v>1288.5023193</v>
      </c>
      <c r="J2036">
        <v>1269.1881103999999</v>
      </c>
      <c r="K2036">
        <v>2400</v>
      </c>
      <c r="L2036">
        <v>0</v>
      </c>
      <c r="M2036">
        <v>0</v>
      </c>
      <c r="N2036">
        <v>2400</v>
      </c>
    </row>
    <row r="2037" spans="1:14" x14ac:dyDescent="0.25">
      <c r="A2037">
        <v>1491.6735430000001</v>
      </c>
      <c r="B2037" s="1">
        <f>DATE(2014,5,31) + TIME(16,9,54)</f>
        <v>41790.673541666663</v>
      </c>
      <c r="C2037">
        <v>80</v>
      </c>
      <c r="D2037">
        <v>79.961540221999996</v>
      </c>
      <c r="E2037">
        <v>50</v>
      </c>
      <c r="F2037">
        <v>48.227420807000001</v>
      </c>
      <c r="G2037">
        <v>1382.6990966999999</v>
      </c>
      <c r="H2037">
        <v>1369.1545410000001</v>
      </c>
      <c r="I2037">
        <v>1288.4882812000001</v>
      </c>
      <c r="J2037">
        <v>1269.1699219</v>
      </c>
      <c r="K2037">
        <v>2400</v>
      </c>
      <c r="L2037">
        <v>0</v>
      </c>
      <c r="M2037">
        <v>0</v>
      </c>
      <c r="N2037">
        <v>2400</v>
      </c>
    </row>
    <row r="2038" spans="1:14" x14ac:dyDescent="0.25">
      <c r="A2038">
        <v>1492</v>
      </c>
      <c r="B2038" s="1">
        <f>DATE(2014,6,1) + TIME(0,0,0)</f>
        <v>41791</v>
      </c>
      <c r="C2038">
        <v>80</v>
      </c>
      <c r="D2038">
        <v>79.961502074999999</v>
      </c>
      <c r="E2038">
        <v>50</v>
      </c>
      <c r="F2038">
        <v>48.208389281999999</v>
      </c>
      <c r="G2038">
        <v>1382.6577147999999</v>
      </c>
      <c r="H2038">
        <v>1369.1247559000001</v>
      </c>
      <c r="I2038">
        <v>1288.4750977000001</v>
      </c>
      <c r="J2038">
        <v>1269.1545410000001</v>
      </c>
      <c r="K2038">
        <v>2400</v>
      </c>
      <c r="L2038">
        <v>0</v>
      </c>
      <c r="M2038">
        <v>0</v>
      </c>
      <c r="N2038">
        <v>2400</v>
      </c>
    </row>
    <row r="2039" spans="1:14" x14ac:dyDescent="0.25">
      <c r="A2039">
        <v>1492.6964519999999</v>
      </c>
      <c r="B2039" s="1">
        <f>DATE(2014,6,1) + TIME(16,42,53)</f>
        <v>41791.696446759262</v>
      </c>
      <c r="C2039">
        <v>80</v>
      </c>
      <c r="D2039">
        <v>79.961517334000007</v>
      </c>
      <c r="E2039">
        <v>50</v>
      </c>
      <c r="F2039">
        <v>48.179862976000003</v>
      </c>
      <c r="G2039">
        <v>1382.6218262</v>
      </c>
      <c r="H2039">
        <v>1369.0955810999999</v>
      </c>
      <c r="I2039">
        <v>1288.4663086</v>
      </c>
      <c r="J2039">
        <v>1269.1412353999999</v>
      </c>
      <c r="K2039">
        <v>2400</v>
      </c>
      <c r="L2039">
        <v>0</v>
      </c>
      <c r="M2039">
        <v>0</v>
      </c>
      <c r="N2039">
        <v>2400</v>
      </c>
    </row>
    <row r="2040" spans="1:14" x14ac:dyDescent="0.25">
      <c r="A2040">
        <v>1493.4148660000001</v>
      </c>
      <c r="B2040" s="1">
        <f>DATE(2014,6,2) + TIME(9,57,24)</f>
        <v>41792.414861111109</v>
      </c>
      <c r="C2040">
        <v>80</v>
      </c>
      <c r="D2040">
        <v>79.961502074999999</v>
      </c>
      <c r="E2040">
        <v>50</v>
      </c>
      <c r="F2040">
        <v>48.149841309000003</v>
      </c>
      <c r="G2040">
        <v>1382.5729980000001</v>
      </c>
      <c r="H2040">
        <v>1369.0583495999999</v>
      </c>
      <c r="I2040">
        <v>1288.4517822</v>
      </c>
      <c r="J2040">
        <v>1269.1223144999999</v>
      </c>
      <c r="K2040">
        <v>2400</v>
      </c>
      <c r="L2040">
        <v>0</v>
      </c>
      <c r="M2040">
        <v>0</v>
      </c>
      <c r="N2040">
        <v>2400</v>
      </c>
    </row>
    <row r="2041" spans="1:14" x14ac:dyDescent="0.25">
      <c r="A2041">
        <v>1494.146902</v>
      </c>
      <c r="B2041" s="1">
        <f>DATE(2014,6,3) + TIME(3,31,32)</f>
        <v>41793.146898148145</v>
      </c>
      <c r="C2041">
        <v>80</v>
      </c>
      <c r="D2041">
        <v>79.961486816000004</v>
      </c>
      <c r="E2041">
        <v>50</v>
      </c>
      <c r="F2041">
        <v>48.118843079000001</v>
      </c>
      <c r="G2041">
        <v>1382.5222168</v>
      </c>
      <c r="H2041">
        <v>1369.0195312000001</v>
      </c>
      <c r="I2041">
        <v>1288.4361572</v>
      </c>
      <c r="J2041">
        <v>1269.1021728999999</v>
      </c>
      <c r="K2041">
        <v>2400</v>
      </c>
      <c r="L2041">
        <v>0</v>
      </c>
      <c r="M2041">
        <v>0</v>
      </c>
      <c r="N2041">
        <v>2400</v>
      </c>
    </row>
    <row r="2042" spans="1:14" x14ac:dyDescent="0.25">
      <c r="A2042">
        <v>1494.8840580000001</v>
      </c>
      <c r="B2042" s="1">
        <f>DATE(2014,6,3) + TIME(21,13,2)</f>
        <v>41793.884050925924</v>
      </c>
      <c r="C2042">
        <v>80</v>
      </c>
      <c r="D2042">
        <v>79.961471558</v>
      </c>
      <c r="E2042">
        <v>50</v>
      </c>
      <c r="F2042">
        <v>48.087329865000001</v>
      </c>
      <c r="G2042">
        <v>1382.4711914</v>
      </c>
      <c r="H2042">
        <v>1368.9804687999999</v>
      </c>
      <c r="I2042">
        <v>1288.4201660000001</v>
      </c>
      <c r="J2042">
        <v>1269.0812988</v>
      </c>
      <c r="K2042">
        <v>2400</v>
      </c>
      <c r="L2042">
        <v>0</v>
      </c>
      <c r="M2042">
        <v>0</v>
      </c>
      <c r="N2042">
        <v>2400</v>
      </c>
    </row>
    <row r="2043" spans="1:14" x14ac:dyDescent="0.25">
      <c r="A2043">
        <v>1495.625491</v>
      </c>
      <c r="B2043" s="1">
        <f>DATE(2014,6,4) + TIME(15,0,42)</f>
        <v>41794.625486111108</v>
      </c>
      <c r="C2043">
        <v>80</v>
      </c>
      <c r="D2043">
        <v>79.961456299000005</v>
      </c>
      <c r="E2043">
        <v>50</v>
      </c>
      <c r="F2043">
        <v>48.055557251000003</v>
      </c>
      <c r="G2043">
        <v>1382.4206543</v>
      </c>
      <c r="H2043">
        <v>1368.9415283000001</v>
      </c>
      <c r="I2043">
        <v>1288.4036865</v>
      </c>
      <c r="J2043">
        <v>1269.0600586</v>
      </c>
      <c r="K2043">
        <v>2400</v>
      </c>
      <c r="L2043">
        <v>0</v>
      </c>
      <c r="M2043">
        <v>0</v>
      </c>
      <c r="N2043">
        <v>2400</v>
      </c>
    </row>
    <row r="2044" spans="1:14" x14ac:dyDescent="0.25">
      <c r="A2044">
        <v>1496.3729209999999</v>
      </c>
      <c r="B2044" s="1">
        <f>DATE(2014,6,5) + TIME(8,57,0)</f>
        <v>41795.372916666667</v>
      </c>
      <c r="C2044">
        <v>80</v>
      </c>
      <c r="D2044">
        <v>79.961441039999997</v>
      </c>
      <c r="E2044">
        <v>50</v>
      </c>
      <c r="F2044">
        <v>48.023616791000002</v>
      </c>
      <c r="G2044">
        <v>1382.3704834</v>
      </c>
      <c r="H2044">
        <v>1368.9027100000001</v>
      </c>
      <c r="I2044">
        <v>1288.3870850000001</v>
      </c>
      <c r="J2044">
        <v>1269.0382079999999</v>
      </c>
      <c r="K2044">
        <v>2400</v>
      </c>
      <c r="L2044">
        <v>0</v>
      </c>
      <c r="M2044">
        <v>0</v>
      </c>
      <c r="N2044">
        <v>2400</v>
      </c>
    </row>
    <row r="2045" spans="1:14" x14ac:dyDescent="0.25">
      <c r="A2045">
        <v>1497.1281200000001</v>
      </c>
      <c r="B2045" s="1">
        <f>DATE(2014,6,6) + TIME(3,4,29)</f>
        <v>41796.128113425926</v>
      </c>
      <c r="C2045">
        <v>80</v>
      </c>
      <c r="D2045">
        <v>79.961433411000002</v>
      </c>
      <c r="E2045">
        <v>50</v>
      </c>
      <c r="F2045">
        <v>47.991527556999998</v>
      </c>
      <c r="G2045">
        <v>1382.3206786999999</v>
      </c>
      <c r="H2045">
        <v>1368.8641356999999</v>
      </c>
      <c r="I2045">
        <v>1288.3701172000001</v>
      </c>
      <c r="J2045">
        <v>1269.0158690999999</v>
      </c>
      <c r="K2045">
        <v>2400</v>
      </c>
      <c r="L2045">
        <v>0</v>
      </c>
      <c r="M2045">
        <v>0</v>
      </c>
      <c r="N2045">
        <v>2400</v>
      </c>
    </row>
    <row r="2046" spans="1:14" x14ac:dyDescent="0.25">
      <c r="A2046">
        <v>1497.8929419999999</v>
      </c>
      <c r="B2046" s="1">
        <f>DATE(2014,6,6) + TIME(21,25,50)</f>
        <v>41796.892939814818</v>
      </c>
      <c r="C2046">
        <v>80</v>
      </c>
      <c r="D2046">
        <v>79.961418151999993</v>
      </c>
      <c r="E2046">
        <v>50</v>
      </c>
      <c r="F2046">
        <v>47.959259033000002</v>
      </c>
      <c r="G2046">
        <v>1382.2711182</v>
      </c>
      <c r="H2046">
        <v>1368.8256836</v>
      </c>
      <c r="I2046">
        <v>1288.3526611</v>
      </c>
      <c r="J2046">
        <v>1268.9930420000001</v>
      </c>
      <c r="K2046">
        <v>2400</v>
      </c>
      <c r="L2046">
        <v>0</v>
      </c>
      <c r="M2046">
        <v>0</v>
      </c>
      <c r="N2046">
        <v>2400</v>
      </c>
    </row>
    <row r="2047" spans="1:14" x14ac:dyDescent="0.25">
      <c r="A2047">
        <v>1498.669349</v>
      </c>
      <c r="B2047" s="1">
        <f>DATE(2014,6,7) + TIME(16,3,51)</f>
        <v>41797.669340277775</v>
      </c>
      <c r="C2047">
        <v>80</v>
      </c>
      <c r="D2047">
        <v>79.961410521999994</v>
      </c>
      <c r="E2047">
        <v>50</v>
      </c>
      <c r="F2047">
        <v>47.926761626999998</v>
      </c>
      <c r="G2047">
        <v>1382.2218018000001</v>
      </c>
      <c r="H2047">
        <v>1368.7871094</v>
      </c>
      <c r="I2047">
        <v>1288.3348389</v>
      </c>
      <c r="J2047">
        <v>1268.9694824000001</v>
      </c>
      <c r="K2047">
        <v>2400</v>
      </c>
      <c r="L2047">
        <v>0</v>
      </c>
      <c r="M2047">
        <v>0</v>
      </c>
      <c r="N2047">
        <v>2400</v>
      </c>
    </row>
    <row r="2048" spans="1:14" x14ac:dyDescent="0.25">
      <c r="A2048">
        <v>1499.4594729999999</v>
      </c>
      <c r="B2048" s="1">
        <f>DATE(2014,6,8) + TIME(11,1,38)</f>
        <v>41798.459467592591</v>
      </c>
      <c r="C2048">
        <v>80</v>
      </c>
      <c r="D2048">
        <v>79.961395264000004</v>
      </c>
      <c r="E2048">
        <v>50</v>
      </c>
      <c r="F2048">
        <v>47.893962860000002</v>
      </c>
      <c r="G2048">
        <v>1382.1723632999999</v>
      </c>
      <c r="H2048">
        <v>1368.7485352000001</v>
      </c>
      <c r="I2048">
        <v>1288.3166504000001</v>
      </c>
      <c r="J2048">
        <v>1268.9451904</v>
      </c>
      <c r="K2048">
        <v>2400</v>
      </c>
      <c r="L2048">
        <v>0</v>
      </c>
      <c r="M2048">
        <v>0</v>
      </c>
      <c r="N2048">
        <v>2400</v>
      </c>
    </row>
    <row r="2049" spans="1:14" x14ac:dyDescent="0.25">
      <c r="A2049">
        <v>1500.2656460000001</v>
      </c>
      <c r="B2049" s="1">
        <f>DATE(2014,6,9) + TIME(6,22,31)</f>
        <v>41799.265636574077</v>
      </c>
      <c r="C2049">
        <v>80</v>
      </c>
      <c r="D2049">
        <v>79.961387634000005</v>
      </c>
      <c r="E2049">
        <v>50</v>
      </c>
      <c r="F2049">
        <v>47.860786437999998</v>
      </c>
      <c r="G2049">
        <v>1382.1229248</v>
      </c>
      <c r="H2049">
        <v>1368.7097168</v>
      </c>
      <c r="I2049">
        <v>1288.2977295000001</v>
      </c>
      <c r="J2049">
        <v>1268.9201660000001</v>
      </c>
      <c r="K2049">
        <v>2400</v>
      </c>
      <c r="L2049">
        <v>0</v>
      </c>
      <c r="M2049">
        <v>0</v>
      </c>
      <c r="N2049">
        <v>2400</v>
      </c>
    </row>
    <row r="2050" spans="1:14" x14ac:dyDescent="0.25">
      <c r="A2050">
        <v>1501.090447</v>
      </c>
      <c r="B2050" s="1">
        <f>DATE(2014,6,10) + TIME(2,10,14)</f>
        <v>41800.090439814812</v>
      </c>
      <c r="C2050">
        <v>80</v>
      </c>
      <c r="D2050">
        <v>79.961380004999995</v>
      </c>
      <c r="E2050">
        <v>50</v>
      </c>
      <c r="F2050">
        <v>47.827148438000002</v>
      </c>
      <c r="G2050">
        <v>1382.0732422000001</v>
      </c>
      <c r="H2050">
        <v>1368.6706543</v>
      </c>
      <c r="I2050">
        <v>1288.2783202999999</v>
      </c>
      <c r="J2050">
        <v>1268.8941649999999</v>
      </c>
      <c r="K2050">
        <v>2400</v>
      </c>
      <c r="L2050">
        <v>0</v>
      </c>
      <c r="M2050">
        <v>0</v>
      </c>
      <c r="N2050">
        <v>2400</v>
      </c>
    </row>
    <row r="2051" spans="1:14" x14ac:dyDescent="0.25">
      <c r="A2051">
        <v>1501.937154</v>
      </c>
      <c r="B2051" s="1">
        <f>DATE(2014,6,10) + TIME(22,29,30)</f>
        <v>41800.937152777777</v>
      </c>
      <c r="C2051">
        <v>80</v>
      </c>
      <c r="D2051">
        <v>79.961372374999996</v>
      </c>
      <c r="E2051">
        <v>50</v>
      </c>
      <c r="F2051">
        <v>47.792942046999997</v>
      </c>
      <c r="G2051">
        <v>1382.0231934000001</v>
      </c>
      <c r="H2051">
        <v>1368.6311035000001</v>
      </c>
      <c r="I2051">
        <v>1288.2580565999999</v>
      </c>
      <c r="J2051">
        <v>1268.8671875</v>
      </c>
      <c r="K2051">
        <v>2400</v>
      </c>
      <c r="L2051">
        <v>0</v>
      </c>
      <c r="M2051">
        <v>0</v>
      </c>
      <c r="N2051">
        <v>2400</v>
      </c>
    </row>
    <row r="2052" spans="1:14" x14ac:dyDescent="0.25">
      <c r="A2052">
        <v>1502.8018950000001</v>
      </c>
      <c r="B2052" s="1">
        <f>DATE(2014,6,11) + TIME(19,14,43)</f>
        <v>41801.801886574074</v>
      </c>
      <c r="C2052">
        <v>80</v>
      </c>
      <c r="D2052">
        <v>79.961364746000001</v>
      </c>
      <c r="E2052">
        <v>50</v>
      </c>
      <c r="F2052">
        <v>47.758190155000001</v>
      </c>
      <c r="G2052">
        <v>1381.9726562000001</v>
      </c>
      <c r="H2052">
        <v>1368.5911865</v>
      </c>
      <c r="I2052">
        <v>1288.2371826000001</v>
      </c>
      <c r="J2052">
        <v>1268.8391113</v>
      </c>
      <c r="K2052">
        <v>2400</v>
      </c>
      <c r="L2052">
        <v>0</v>
      </c>
      <c r="M2052">
        <v>0</v>
      </c>
      <c r="N2052">
        <v>2400</v>
      </c>
    </row>
    <row r="2053" spans="1:14" x14ac:dyDescent="0.25">
      <c r="A2053">
        <v>1503.6781840000001</v>
      </c>
      <c r="B2053" s="1">
        <f>DATE(2014,6,12) + TIME(16,16,35)</f>
        <v>41802.678182870368</v>
      </c>
      <c r="C2053">
        <v>80</v>
      </c>
      <c r="D2053">
        <v>79.961357117000006</v>
      </c>
      <c r="E2053">
        <v>50</v>
      </c>
      <c r="F2053">
        <v>47.723041533999996</v>
      </c>
      <c r="G2053">
        <v>1381.9219971</v>
      </c>
      <c r="H2053">
        <v>1368.5509033000001</v>
      </c>
      <c r="I2053">
        <v>1288.2154541</v>
      </c>
      <c r="J2053">
        <v>1268.8099365</v>
      </c>
      <c r="K2053">
        <v>2400</v>
      </c>
      <c r="L2053">
        <v>0</v>
      </c>
      <c r="M2053">
        <v>0</v>
      </c>
      <c r="N2053">
        <v>2400</v>
      </c>
    </row>
    <row r="2054" spans="1:14" x14ac:dyDescent="0.25">
      <c r="A2054">
        <v>1504.56864</v>
      </c>
      <c r="B2054" s="1">
        <f>DATE(2014,6,13) + TIME(13,38,50)</f>
        <v>41803.56863425926</v>
      </c>
      <c r="C2054">
        <v>80</v>
      </c>
      <c r="D2054">
        <v>79.961349487000007</v>
      </c>
      <c r="E2054">
        <v>50</v>
      </c>
      <c r="F2054">
        <v>47.687526703000003</v>
      </c>
      <c r="G2054">
        <v>1381.8713379000001</v>
      </c>
      <c r="H2054">
        <v>1368.5106201000001</v>
      </c>
      <c r="I2054">
        <v>1288.1931152</v>
      </c>
      <c r="J2054">
        <v>1268.7799072</v>
      </c>
      <c r="K2054">
        <v>2400</v>
      </c>
      <c r="L2054">
        <v>0</v>
      </c>
      <c r="M2054">
        <v>0</v>
      </c>
      <c r="N2054">
        <v>2400</v>
      </c>
    </row>
    <row r="2055" spans="1:14" x14ac:dyDescent="0.25">
      <c r="A2055">
        <v>1505.475927</v>
      </c>
      <c r="B2055" s="1">
        <f>DATE(2014,6,14) + TIME(11,25,20)</f>
        <v>41804.475925925923</v>
      </c>
      <c r="C2055">
        <v>80</v>
      </c>
      <c r="D2055">
        <v>79.961341857999997</v>
      </c>
      <c r="E2055">
        <v>50</v>
      </c>
      <c r="F2055">
        <v>47.651611328000001</v>
      </c>
      <c r="G2055">
        <v>1381.8205565999999</v>
      </c>
      <c r="H2055">
        <v>1368.4700928</v>
      </c>
      <c r="I2055">
        <v>1288.1701660000001</v>
      </c>
      <c r="J2055">
        <v>1268.7487793</v>
      </c>
      <c r="K2055">
        <v>2400</v>
      </c>
      <c r="L2055">
        <v>0</v>
      </c>
      <c r="M2055">
        <v>0</v>
      </c>
      <c r="N2055">
        <v>2400</v>
      </c>
    </row>
    <row r="2056" spans="1:14" x14ac:dyDescent="0.25">
      <c r="A2056">
        <v>1506.4028949999999</v>
      </c>
      <c r="B2056" s="1">
        <f>DATE(2014,6,15) + TIME(9,40,10)</f>
        <v>41805.40289351852</v>
      </c>
      <c r="C2056">
        <v>80</v>
      </c>
      <c r="D2056">
        <v>79.961334229000002</v>
      </c>
      <c r="E2056">
        <v>50</v>
      </c>
      <c r="F2056">
        <v>47.615226745999998</v>
      </c>
      <c r="G2056">
        <v>1381.7697754000001</v>
      </c>
      <c r="H2056">
        <v>1368.4293213000001</v>
      </c>
      <c r="I2056">
        <v>1288.1464844</v>
      </c>
      <c r="J2056">
        <v>1268.7165527</v>
      </c>
      <c r="K2056">
        <v>2400</v>
      </c>
      <c r="L2056">
        <v>0</v>
      </c>
      <c r="M2056">
        <v>0</v>
      </c>
      <c r="N2056">
        <v>2400</v>
      </c>
    </row>
    <row r="2057" spans="1:14" x14ac:dyDescent="0.25">
      <c r="A2057">
        <v>1507.3526409999999</v>
      </c>
      <c r="B2057" s="1">
        <f>DATE(2014,6,16) + TIME(8,27,48)</f>
        <v>41806.352638888886</v>
      </c>
      <c r="C2057">
        <v>80</v>
      </c>
      <c r="D2057">
        <v>79.961334229000002</v>
      </c>
      <c r="E2057">
        <v>50</v>
      </c>
      <c r="F2057">
        <v>47.578277587999999</v>
      </c>
      <c r="G2057">
        <v>1381.7185059000001</v>
      </c>
      <c r="H2057">
        <v>1368.3881836</v>
      </c>
      <c r="I2057">
        <v>1288.1218262</v>
      </c>
      <c r="J2057">
        <v>1268.6829834</v>
      </c>
      <c r="K2057">
        <v>2400</v>
      </c>
      <c r="L2057">
        <v>0</v>
      </c>
      <c r="M2057">
        <v>0</v>
      </c>
      <c r="N2057">
        <v>2400</v>
      </c>
    </row>
    <row r="2058" spans="1:14" x14ac:dyDescent="0.25">
      <c r="A2058">
        <v>1508.3221249999999</v>
      </c>
      <c r="B2058" s="1">
        <f>DATE(2014,6,17) + TIME(7,43,51)</f>
        <v>41807.322118055556</v>
      </c>
      <c r="C2058">
        <v>80</v>
      </c>
      <c r="D2058">
        <v>79.961326599000003</v>
      </c>
      <c r="E2058">
        <v>50</v>
      </c>
      <c r="F2058">
        <v>47.540771483999997</v>
      </c>
      <c r="G2058">
        <v>1381.6668701000001</v>
      </c>
      <c r="H2058">
        <v>1368.3466797000001</v>
      </c>
      <c r="I2058">
        <v>1288.0963135</v>
      </c>
      <c r="J2058">
        <v>1268.6480713000001</v>
      </c>
      <c r="K2058">
        <v>2400</v>
      </c>
      <c r="L2058">
        <v>0</v>
      </c>
      <c r="M2058">
        <v>0</v>
      </c>
      <c r="N2058">
        <v>2400</v>
      </c>
    </row>
    <row r="2059" spans="1:14" x14ac:dyDescent="0.25">
      <c r="A2059">
        <v>1509.2947300000001</v>
      </c>
      <c r="B2059" s="1">
        <f>DATE(2014,6,18) + TIME(7,4,24)</f>
        <v>41808.294722222221</v>
      </c>
      <c r="C2059">
        <v>80</v>
      </c>
      <c r="D2059">
        <v>79.961326599000003</v>
      </c>
      <c r="E2059">
        <v>50</v>
      </c>
      <c r="F2059">
        <v>47.503021240000002</v>
      </c>
      <c r="G2059">
        <v>1381.6152344</v>
      </c>
      <c r="H2059">
        <v>1368.3050536999999</v>
      </c>
      <c r="I2059">
        <v>1288.0699463000001</v>
      </c>
      <c r="J2059">
        <v>1268.6119385</v>
      </c>
      <c r="K2059">
        <v>2400</v>
      </c>
      <c r="L2059">
        <v>0</v>
      </c>
      <c r="M2059">
        <v>0</v>
      </c>
      <c r="N2059">
        <v>2400</v>
      </c>
    </row>
    <row r="2060" spans="1:14" x14ac:dyDescent="0.25">
      <c r="A2060">
        <v>1510.2728360000001</v>
      </c>
      <c r="B2060" s="1">
        <f>DATE(2014,6,19) + TIME(6,32,53)</f>
        <v>41809.272835648146</v>
      </c>
      <c r="C2060">
        <v>80</v>
      </c>
      <c r="D2060">
        <v>79.961318969999994</v>
      </c>
      <c r="E2060">
        <v>50</v>
      </c>
      <c r="F2060">
        <v>47.465179442999997</v>
      </c>
      <c r="G2060">
        <v>1381.5640868999999</v>
      </c>
      <c r="H2060">
        <v>1368.2635498</v>
      </c>
      <c r="I2060">
        <v>1288.0430908000001</v>
      </c>
      <c r="J2060">
        <v>1268.5748291</v>
      </c>
      <c r="K2060">
        <v>2400</v>
      </c>
      <c r="L2060">
        <v>0</v>
      </c>
      <c r="M2060">
        <v>0</v>
      </c>
      <c r="N2060">
        <v>2400</v>
      </c>
    </row>
    <row r="2061" spans="1:14" x14ac:dyDescent="0.25">
      <c r="A2061">
        <v>1511.2589230000001</v>
      </c>
      <c r="B2061" s="1">
        <f>DATE(2014,6,20) + TIME(6,12,50)</f>
        <v>41810.258912037039</v>
      </c>
      <c r="C2061">
        <v>80</v>
      </c>
      <c r="D2061">
        <v>79.961318969999994</v>
      </c>
      <c r="E2061">
        <v>50</v>
      </c>
      <c r="F2061">
        <v>47.427265167000002</v>
      </c>
      <c r="G2061">
        <v>1381.5134277</v>
      </c>
      <c r="H2061">
        <v>1368.2222899999999</v>
      </c>
      <c r="I2061">
        <v>1288.015625</v>
      </c>
      <c r="J2061">
        <v>1268.5367432</v>
      </c>
      <c r="K2061">
        <v>2400</v>
      </c>
      <c r="L2061">
        <v>0</v>
      </c>
      <c r="M2061">
        <v>0</v>
      </c>
      <c r="N2061">
        <v>2400</v>
      </c>
    </row>
    <row r="2062" spans="1:14" x14ac:dyDescent="0.25">
      <c r="A2062">
        <v>1512.2555649999999</v>
      </c>
      <c r="B2062" s="1">
        <f>DATE(2014,6,21) + TIME(6,8,0)</f>
        <v>41811.255555555559</v>
      </c>
      <c r="C2062">
        <v>80</v>
      </c>
      <c r="D2062">
        <v>79.961318969999994</v>
      </c>
      <c r="E2062">
        <v>50</v>
      </c>
      <c r="F2062">
        <v>47.389240264999998</v>
      </c>
      <c r="G2062">
        <v>1381.4628906</v>
      </c>
      <c r="H2062">
        <v>1368.1812743999999</v>
      </c>
      <c r="I2062">
        <v>1287.9874268000001</v>
      </c>
      <c r="J2062">
        <v>1268.4976807</v>
      </c>
      <c r="K2062">
        <v>2400</v>
      </c>
      <c r="L2062">
        <v>0</v>
      </c>
      <c r="M2062">
        <v>0</v>
      </c>
      <c r="N2062">
        <v>2400</v>
      </c>
    </row>
    <row r="2063" spans="1:14" x14ac:dyDescent="0.25">
      <c r="A2063">
        <v>1513.260871</v>
      </c>
      <c r="B2063" s="1">
        <f>DATE(2014,6,22) + TIME(6,15,39)</f>
        <v>41812.260868055557</v>
      </c>
      <c r="C2063">
        <v>80</v>
      </c>
      <c r="D2063">
        <v>79.961311339999995</v>
      </c>
      <c r="E2063">
        <v>50</v>
      </c>
      <c r="F2063">
        <v>47.351100922000001</v>
      </c>
      <c r="G2063">
        <v>1381.4127197</v>
      </c>
      <c r="H2063">
        <v>1368.1402588000001</v>
      </c>
      <c r="I2063">
        <v>1287.9586182</v>
      </c>
      <c r="J2063">
        <v>1268.4575195</v>
      </c>
      <c r="K2063">
        <v>2400</v>
      </c>
      <c r="L2063">
        <v>0</v>
      </c>
      <c r="M2063">
        <v>0</v>
      </c>
      <c r="N2063">
        <v>2400</v>
      </c>
    </row>
    <row r="2064" spans="1:14" x14ac:dyDescent="0.25">
      <c r="A2064">
        <v>1514.275457</v>
      </c>
      <c r="B2064" s="1">
        <f>DATE(2014,6,23) + TIME(6,36,39)</f>
        <v>41813.275451388887</v>
      </c>
      <c r="C2064">
        <v>80</v>
      </c>
      <c r="D2064">
        <v>79.961311339999995</v>
      </c>
      <c r="E2064">
        <v>50</v>
      </c>
      <c r="F2064">
        <v>47.312850951999998</v>
      </c>
      <c r="G2064">
        <v>1381.362793</v>
      </c>
      <c r="H2064">
        <v>1368.0993652</v>
      </c>
      <c r="I2064">
        <v>1287.9291992000001</v>
      </c>
      <c r="J2064">
        <v>1268.4161377</v>
      </c>
      <c r="K2064">
        <v>2400</v>
      </c>
      <c r="L2064">
        <v>0</v>
      </c>
      <c r="M2064">
        <v>0</v>
      </c>
      <c r="N2064">
        <v>2400</v>
      </c>
    </row>
    <row r="2065" spans="1:14" x14ac:dyDescent="0.25">
      <c r="A2065">
        <v>1515.3018970000001</v>
      </c>
      <c r="B2065" s="1">
        <f>DATE(2014,6,24) + TIME(7,14,43)</f>
        <v>41814.301886574074</v>
      </c>
      <c r="C2065">
        <v>80</v>
      </c>
      <c r="D2065">
        <v>79.961311339999995</v>
      </c>
      <c r="E2065">
        <v>50</v>
      </c>
      <c r="F2065">
        <v>47.274440765000001</v>
      </c>
      <c r="G2065">
        <v>1381.3131103999999</v>
      </c>
      <c r="H2065">
        <v>1368.0584716999999</v>
      </c>
      <c r="I2065">
        <v>1287.8989257999999</v>
      </c>
      <c r="J2065">
        <v>1268.3736572</v>
      </c>
      <c r="K2065">
        <v>2400</v>
      </c>
      <c r="L2065">
        <v>0</v>
      </c>
      <c r="M2065">
        <v>0</v>
      </c>
      <c r="N2065">
        <v>2400</v>
      </c>
    </row>
    <row r="2066" spans="1:14" x14ac:dyDescent="0.25">
      <c r="A2066">
        <v>1516.342938</v>
      </c>
      <c r="B2066" s="1">
        <f>DATE(2014,6,25) + TIME(8,13,49)</f>
        <v>41815.342928240738</v>
      </c>
      <c r="C2066">
        <v>80</v>
      </c>
      <c r="D2066">
        <v>79.961318969999994</v>
      </c>
      <c r="E2066">
        <v>50</v>
      </c>
      <c r="F2066">
        <v>47.235801696999999</v>
      </c>
      <c r="G2066">
        <v>1381.2635498</v>
      </c>
      <c r="H2066">
        <v>1368.0175781</v>
      </c>
      <c r="I2066">
        <v>1287.8679199000001</v>
      </c>
      <c r="J2066">
        <v>1268.3299560999999</v>
      </c>
      <c r="K2066">
        <v>2400</v>
      </c>
      <c r="L2066">
        <v>0</v>
      </c>
      <c r="M2066">
        <v>0</v>
      </c>
      <c r="N2066">
        <v>2400</v>
      </c>
    </row>
    <row r="2067" spans="1:14" x14ac:dyDescent="0.25">
      <c r="A2067">
        <v>1517.4015529999999</v>
      </c>
      <c r="B2067" s="1">
        <f>DATE(2014,6,26) + TIME(9,38,14)</f>
        <v>41816.401550925926</v>
      </c>
      <c r="C2067">
        <v>80</v>
      </c>
      <c r="D2067">
        <v>79.961318969999994</v>
      </c>
      <c r="E2067">
        <v>50</v>
      </c>
      <c r="F2067">
        <v>47.196842193999998</v>
      </c>
      <c r="G2067">
        <v>1381.2139893000001</v>
      </c>
      <c r="H2067">
        <v>1367.9766846</v>
      </c>
      <c r="I2067">
        <v>1287.8359375</v>
      </c>
      <c r="J2067">
        <v>1268.284668</v>
      </c>
      <c r="K2067">
        <v>2400</v>
      </c>
      <c r="L2067">
        <v>0</v>
      </c>
      <c r="M2067">
        <v>0</v>
      </c>
      <c r="N2067">
        <v>2400</v>
      </c>
    </row>
    <row r="2068" spans="1:14" x14ac:dyDescent="0.25">
      <c r="A2068">
        <v>1518.4810070000001</v>
      </c>
      <c r="B2068" s="1">
        <f>DATE(2014,6,27) + TIME(11,32,38)</f>
        <v>41817.480995370373</v>
      </c>
      <c r="C2068">
        <v>80</v>
      </c>
      <c r="D2068">
        <v>79.961318969999994</v>
      </c>
      <c r="E2068">
        <v>50</v>
      </c>
      <c r="F2068">
        <v>47.157459258999999</v>
      </c>
      <c r="G2068">
        <v>1381.1641846</v>
      </c>
      <c r="H2068">
        <v>1367.9354248</v>
      </c>
      <c r="I2068">
        <v>1287.8029785000001</v>
      </c>
      <c r="J2068">
        <v>1268.237793</v>
      </c>
      <c r="K2068">
        <v>2400</v>
      </c>
      <c r="L2068">
        <v>0</v>
      </c>
      <c r="M2068">
        <v>0</v>
      </c>
      <c r="N2068">
        <v>2400</v>
      </c>
    </row>
    <row r="2069" spans="1:14" x14ac:dyDescent="0.25">
      <c r="A2069">
        <v>1519.5849029999999</v>
      </c>
      <c r="B2069" s="1">
        <f>DATE(2014,6,28) + TIME(14,2,15)</f>
        <v>41818.58489583333</v>
      </c>
      <c r="C2069">
        <v>80</v>
      </c>
      <c r="D2069">
        <v>79.961326599000003</v>
      </c>
      <c r="E2069">
        <v>50</v>
      </c>
      <c r="F2069">
        <v>47.117542266999997</v>
      </c>
      <c r="G2069">
        <v>1381.1141356999999</v>
      </c>
      <c r="H2069">
        <v>1367.8937988</v>
      </c>
      <c r="I2069">
        <v>1287.7689209</v>
      </c>
      <c r="J2069">
        <v>1268.1892089999999</v>
      </c>
      <c r="K2069">
        <v>2400</v>
      </c>
      <c r="L2069">
        <v>0</v>
      </c>
      <c r="M2069">
        <v>0</v>
      </c>
      <c r="N2069">
        <v>2400</v>
      </c>
    </row>
    <row r="2070" spans="1:14" x14ac:dyDescent="0.25">
      <c r="A2070">
        <v>1520.7176509999999</v>
      </c>
      <c r="B2070" s="1">
        <f>DATE(2014,6,29) + TIME(17,13,25)</f>
        <v>41819.717650462961</v>
      </c>
      <c r="C2070">
        <v>80</v>
      </c>
      <c r="D2070">
        <v>79.961326599000003</v>
      </c>
      <c r="E2070">
        <v>50</v>
      </c>
      <c r="F2070">
        <v>47.076965332</v>
      </c>
      <c r="G2070">
        <v>1381.0637207</v>
      </c>
      <c r="H2070">
        <v>1367.8518065999999</v>
      </c>
      <c r="I2070">
        <v>1287.7335204999999</v>
      </c>
      <c r="J2070">
        <v>1268.1384277</v>
      </c>
      <c r="K2070">
        <v>2400</v>
      </c>
      <c r="L2070">
        <v>0</v>
      </c>
      <c r="M2070">
        <v>0</v>
      </c>
      <c r="N2070">
        <v>2400</v>
      </c>
    </row>
    <row r="2071" spans="1:14" x14ac:dyDescent="0.25">
      <c r="A2071">
        <v>1521.8841299999999</v>
      </c>
      <c r="B2071" s="1">
        <f>DATE(2014,6,30) + TIME(21,13,8)</f>
        <v>41820.884120370371</v>
      </c>
      <c r="C2071">
        <v>80</v>
      </c>
      <c r="D2071">
        <v>79.961334229000002</v>
      </c>
      <c r="E2071">
        <v>50</v>
      </c>
      <c r="F2071">
        <v>47.035583496000001</v>
      </c>
      <c r="G2071">
        <v>1381.0125731999999</v>
      </c>
      <c r="H2071">
        <v>1367.809082</v>
      </c>
      <c r="I2071">
        <v>1287.6967772999999</v>
      </c>
      <c r="J2071">
        <v>1268.0854492000001</v>
      </c>
      <c r="K2071">
        <v>2400</v>
      </c>
      <c r="L2071">
        <v>0</v>
      </c>
      <c r="M2071">
        <v>0</v>
      </c>
      <c r="N2071">
        <v>2400</v>
      </c>
    </row>
    <row r="2072" spans="1:14" x14ac:dyDescent="0.25">
      <c r="A2072">
        <v>1522</v>
      </c>
      <c r="B2072" s="1">
        <f>DATE(2014,7,1) + TIME(0,0,0)</f>
        <v>41821</v>
      </c>
      <c r="C2072">
        <v>80</v>
      </c>
      <c r="D2072">
        <v>79.961303710999999</v>
      </c>
      <c r="E2072">
        <v>50</v>
      </c>
      <c r="F2072">
        <v>47.026744843000003</v>
      </c>
      <c r="G2072">
        <v>1380.9929199000001</v>
      </c>
      <c r="H2072">
        <v>1367.7955322</v>
      </c>
      <c r="I2072">
        <v>1287.6707764</v>
      </c>
      <c r="J2072">
        <v>1268.0527344</v>
      </c>
      <c r="K2072">
        <v>2400</v>
      </c>
      <c r="L2072">
        <v>0</v>
      </c>
      <c r="M2072">
        <v>0</v>
      </c>
      <c r="N2072">
        <v>2400</v>
      </c>
    </row>
    <row r="2073" spans="1:14" x14ac:dyDescent="0.25">
      <c r="A2073">
        <v>1523.205111</v>
      </c>
      <c r="B2073" s="1">
        <f>DATE(2014,7,2) + TIME(4,55,21)</f>
        <v>41822.205104166664</v>
      </c>
      <c r="C2073">
        <v>80</v>
      </c>
      <c r="D2073">
        <v>79.961334229000002</v>
      </c>
      <c r="E2073">
        <v>50</v>
      </c>
      <c r="F2073">
        <v>46.987197876000003</v>
      </c>
      <c r="G2073">
        <v>1380.9536132999999</v>
      </c>
      <c r="H2073">
        <v>1367.7595214999999</v>
      </c>
      <c r="I2073">
        <v>1287.6533202999999</v>
      </c>
      <c r="J2073">
        <v>1268.0225829999999</v>
      </c>
      <c r="K2073">
        <v>2400</v>
      </c>
      <c r="L2073">
        <v>0</v>
      </c>
      <c r="M2073">
        <v>0</v>
      </c>
      <c r="N2073">
        <v>2400</v>
      </c>
    </row>
    <row r="2074" spans="1:14" x14ac:dyDescent="0.25">
      <c r="A2074">
        <v>1523.8250969999999</v>
      </c>
      <c r="B2074" s="1">
        <f>DATE(2014,7,2) + TIME(19,48,8)</f>
        <v>41822.825092592589</v>
      </c>
      <c r="C2074">
        <v>80</v>
      </c>
      <c r="D2074">
        <v>79.961318969999994</v>
      </c>
      <c r="E2074">
        <v>50</v>
      </c>
      <c r="F2074">
        <v>46.957027435000001</v>
      </c>
      <c r="G2074">
        <v>1380.9123535000001</v>
      </c>
      <c r="H2074">
        <v>1367.7261963000001</v>
      </c>
      <c r="I2074">
        <v>1287.6170654</v>
      </c>
      <c r="J2074">
        <v>1267.9724120999999</v>
      </c>
      <c r="K2074">
        <v>2400</v>
      </c>
      <c r="L2074">
        <v>0</v>
      </c>
      <c r="M2074">
        <v>0</v>
      </c>
      <c r="N2074">
        <v>2400</v>
      </c>
    </row>
    <row r="2075" spans="1:14" x14ac:dyDescent="0.25">
      <c r="A2075">
        <v>1524.4439890000001</v>
      </c>
      <c r="B2075" s="1">
        <f>DATE(2014,7,3) + TIME(10,39,20)</f>
        <v>41823.443981481483</v>
      </c>
      <c r="C2075">
        <v>80</v>
      </c>
      <c r="D2075">
        <v>79.961318969999994</v>
      </c>
      <c r="E2075">
        <v>50</v>
      </c>
      <c r="F2075">
        <v>46.930377960000001</v>
      </c>
      <c r="G2075">
        <v>1380.8817139</v>
      </c>
      <c r="H2075">
        <v>1367.7000731999999</v>
      </c>
      <c r="I2075">
        <v>1287.5943603999999</v>
      </c>
      <c r="J2075">
        <v>1267.9384766000001</v>
      </c>
      <c r="K2075">
        <v>2400</v>
      </c>
      <c r="L2075">
        <v>0</v>
      </c>
      <c r="M2075">
        <v>0</v>
      </c>
      <c r="N2075">
        <v>2400</v>
      </c>
    </row>
    <row r="2076" spans="1:14" x14ac:dyDescent="0.25">
      <c r="A2076">
        <v>1525.06288</v>
      </c>
      <c r="B2076" s="1">
        <f>DATE(2014,7,4) + TIME(1,30,32)</f>
        <v>41824.06287037037</v>
      </c>
      <c r="C2076">
        <v>80</v>
      </c>
      <c r="D2076">
        <v>79.961326599000003</v>
      </c>
      <c r="E2076">
        <v>50</v>
      </c>
      <c r="F2076">
        <v>46.905738831000001</v>
      </c>
      <c r="G2076">
        <v>1380.8536377</v>
      </c>
      <c r="H2076">
        <v>1367.6762695</v>
      </c>
      <c r="I2076">
        <v>1287.5727539</v>
      </c>
      <c r="J2076">
        <v>1267.9061279</v>
      </c>
      <c r="K2076">
        <v>2400</v>
      </c>
      <c r="L2076">
        <v>0</v>
      </c>
      <c r="M2076">
        <v>0</v>
      </c>
      <c r="N2076">
        <v>2400</v>
      </c>
    </row>
    <row r="2077" spans="1:14" x14ac:dyDescent="0.25">
      <c r="A2077">
        <v>1525.6817719999999</v>
      </c>
      <c r="B2077" s="1">
        <f>DATE(2014,7,4) + TIME(16,21,45)</f>
        <v>41824.681770833333</v>
      </c>
      <c r="C2077">
        <v>80</v>
      </c>
      <c r="D2077">
        <v>79.961326599000003</v>
      </c>
      <c r="E2077">
        <v>50</v>
      </c>
      <c r="F2077">
        <v>46.882278442</v>
      </c>
      <c r="G2077">
        <v>1380.8265381000001</v>
      </c>
      <c r="H2077">
        <v>1367.6531981999999</v>
      </c>
      <c r="I2077">
        <v>1287.5511475000001</v>
      </c>
      <c r="J2077">
        <v>1267.8741454999999</v>
      </c>
      <c r="K2077">
        <v>2400</v>
      </c>
      <c r="L2077">
        <v>0</v>
      </c>
      <c r="M2077">
        <v>0</v>
      </c>
      <c r="N2077">
        <v>2400</v>
      </c>
    </row>
    <row r="2078" spans="1:14" x14ac:dyDescent="0.25">
      <c r="A2078">
        <v>1526.3006640000001</v>
      </c>
      <c r="B2078" s="1">
        <f>DATE(2014,7,5) + TIME(7,12,57)</f>
        <v>41825.300659722219</v>
      </c>
      <c r="C2078">
        <v>80</v>
      </c>
      <c r="D2078">
        <v>79.961334229000002</v>
      </c>
      <c r="E2078">
        <v>50</v>
      </c>
      <c r="F2078">
        <v>46.859519958</v>
      </c>
      <c r="G2078">
        <v>1380.7999268000001</v>
      </c>
      <c r="H2078">
        <v>1367.6304932</v>
      </c>
      <c r="I2078">
        <v>1287.5294189000001</v>
      </c>
      <c r="J2078">
        <v>1267.8420410000001</v>
      </c>
      <c r="K2078">
        <v>2400</v>
      </c>
      <c r="L2078">
        <v>0</v>
      </c>
      <c r="M2078">
        <v>0</v>
      </c>
      <c r="N2078">
        <v>2400</v>
      </c>
    </row>
    <row r="2079" spans="1:14" x14ac:dyDescent="0.25">
      <c r="A2079">
        <v>1526.9195549999999</v>
      </c>
      <c r="B2079" s="1">
        <f>DATE(2014,7,5) + TIME(22,4,9)</f>
        <v>41825.919548611113</v>
      </c>
      <c r="C2079">
        <v>80</v>
      </c>
      <c r="D2079">
        <v>79.961341857999997</v>
      </c>
      <c r="E2079">
        <v>50</v>
      </c>
      <c r="F2079">
        <v>46.837196349999999</v>
      </c>
      <c r="G2079">
        <v>1380.7735596</v>
      </c>
      <c r="H2079">
        <v>1367.6081543</v>
      </c>
      <c r="I2079">
        <v>1287.5076904</v>
      </c>
      <c r="J2079">
        <v>1267.8099365</v>
      </c>
      <c r="K2079">
        <v>2400</v>
      </c>
      <c r="L2079">
        <v>0</v>
      </c>
      <c r="M2079">
        <v>0</v>
      </c>
      <c r="N2079">
        <v>2400</v>
      </c>
    </row>
    <row r="2080" spans="1:14" x14ac:dyDescent="0.25">
      <c r="A2080">
        <v>1527.5384469999999</v>
      </c>
      <c r="B2080" s="1">
        <f>DATE(2014,7,6) + TIME(12,55,21)</f>
        <v>41826.538437499999</v>
      </c>
      <c r="C2080">
        <v>80</v>
      </c>
      <c r="D2080">
        <v>79.961349487000007</v>
      </c>
      <c r="E2080">
        <v>50</v>
      </c>
      <c r="F2080">
        <v>46.815151215</v>
      </c>
      <c r="G2080">
        <v>1380.7474365</v>
      </c>
      <c r="H2080">
        <v>1367.5860596</v>
      </c>
      <c r="I2080">
        <v>1287.4857178</v>
      </c>
      <c r="J2080">
        <v>1267.7775879000001</v>
      </c>
      <c r="K2080">
        <v>2400</v>
      </c>
      <c r="L2080">
        <v>0</v>
      </c>
      <c r="M2080">
        <v>0</v>
      </c>
      <c r="N2080">
        <v>2400</v>
      </c>
    </row>
    <row r="2081" spans="1:14" x14ac:dyDescent="0.25">
      <c r="A2081">
        <v>1528.1573390000001</v>
      </c>
      <c r="B2081" s="1">
        <f>DATE(2014,7,7) + TIME(3,46,34)</f>
        <v>41827.157337962963</v>
      </c>
      <c r="C2081">
        <v>80</v>
      </c>
      <c r="D2081">
        <v>79.961349487000007</v>
      </c>
      <c r="E2081">
        <v>50</v>
      </c>
      <c r="F2081">
        <v>46.793292999000002</v>
      </c>
      <c r="G2081">
        <v>1380.7216797000001</v>
      </c>
      <c r="H2081">
        <v>1367.5640868999999</v>
      </c>
      <c r="I2081">
        <v>1287.4636230000001</v>
      </c>
      <c r="J2081">
        <v>1267.7449951000001</v>
      </c>
      <c r="K2081">
        <v>2400</v>
      </c>
      <c r="L2081">
        <v>0</v>
      </c>
      <c r="M2081">
        <v>0</v>
      </c>
      <c r="N2081">
        <v>2400</v>
      </c>
    </row>
    <row r="2082" spans="1:14" x14ac:dyDescent="0.25">
      <c r="A2082">
        <v>1528.7762310000001</v>
      </c>
      <c r="B2082" s="1">
        <f>DATE(2014,7,7) + TIME(18,37,46)</f>
        <v>41827.776226851849</v>
      </c>
      <c r="C2082">
        <v>80</v>
      </c>
      <c r="D2082">
        <v>79.961357117000006</v>
      </c>
      <c r="E2082">
        <v>50</v>
      </c>
      <c r="F2082">
        <v>46.771579742</v>
      </c>
      <c r="G2082">
        <v>1380.6960449000001</v>
      </c>
      <c r="H2082">
        <v>1367.5422363</v>
      </c>
      <c r="I2082">
        <v>1287.4414062000001</v>
      </c>
      <c r="J2082">
        <v>1267.7121582</v>
      </c>
      <c r="K2082">
        <v>2400</v>
      </c>
      <c r="L2082">
        <v>0</v>
      </c>
      <c r="M2082">
        <v>0</v>
      </c>
      <c r="N2082">
        <v>2400</v>
      </c>
    </row>
    <row r="2083" spans="1:14" x14ac:dyDescent="0.25">
      <c r="A2083">
        <v>1529.3951219999999</v>
      </c>
      <c r="B2083" s="1">
        <f>DATE(2014,7,8) + TIME(9,28,58)</f>
        <v>41828.395115740743</v>
      </c>
      <c r="C2083">
        <v>80</v>
      </c>
      <c r="D2083">
        <v>79.961357117000006</v>
      </c>
      <c r="E2083">
        <v>50</v>
      </c>
      <c r="F2083">
        <v>46.749980927000003</v>
      </c>
      <c r="G2083">
        <v>1380.6706543</v>
      </c>
      <c r="H2083">
        <v>1367.5206298999999</v>
      </c>
      <c r="I2083">
        <v>1287.4190673999999</v>
      </c>
      <c r="J2083">
        <v>1267.6790771000001</v>
      </c>
      <c r="K2083">
        <v>2400</v>
      </c>
      <c r="L2083">
        <v>0</v>
      </c>
      <c r="M2083">
        <v>0</v>
      </c>
      <c r="N2083">
        <v>2400</v>
      </c>
    </row>
    <row r="2084" spans="1:14" x14ac:dyDescent="0.25">
      <c r="A2084">
        <v>1530.632906</v>
      </c>
      <c r="B2084" s="1">
        <f>DATE(2014,7,9) + TIME(15,11,23)</f>
        <v>41829.632905092592</v>
      </c>
      <c r="C2084">
        <v>80</v>
      </c>
      <c r="D2084">
        <v>79.961395264000004</v>
      </c>
      <c r="E2084">
        <v>50</v>
      </c>
      <c r="F2084">
        <v>46.719921112000002</v>
      </c>
      <c r="G2084">
        <v>1380.6380615</v>
      </c>
      <c r="H2084">
        <v>1367.4919434000001</v>
      </c>
      <c r="I2084">
        <v>1287.3937988</v>
      </c>
      <c r="J2084">
        <v>1267.6398925999999</v>
      </c>
      <c r="K2084">
        <v>2400</v>
      </c>
      <c r="L2084">
        <v>0</v>
      </c>
      <c r="M2084">
        <v>0</v>
      </c>
      <c r="N2084">
        <v>2400</v>
      </c>
    </row>
    <row r="2085" spans="1:14" x14ac:dyDescent="0.25">
      <c r="A2085">
        <v>1531.8711960000001</v>
      </c>
      <c r="B2085" s="1">
        <f>DATE(2014,7,10) + TIME(20,54,31)</f>
        <v>41830.871192129627</v>
      </c>
      <c r="C2085">
        <v>80</v>
      </c>
      <c r="D2085">
        <v>79.961395264000004</v>
      </c>
      <c r="E2085">
        <v>50</v>
      </c>
      <c r="F2085">
        <v>46.682357787999997</v>
      </c>
      <c r="G2085">
        <v>1380.5919189000001</v>
      </c>
      <c r="H2085">
        <v>1367.4528809000001</v>
      </c>
      <c r="I2085">
        <v>1287.3503418</v>
      </c>
      <c r="J2085">
        <v>1267.5769043</v>
      </c>
      <c r="K2085">
        <v>2400</v>
      </c>
      <c r="L2085">
        <v>0</v>
      </c>
      <c r="M2085">
        <v>0</v>
      </c>
      <c r="N2085">
        <v>2400</v>
      </c>
    </row>
    <row r="2086" spans="1:14" x14ac:dyDescent="0.25">
      <c r="A2086">
        <v>1533.1220679999999</v>
      </c>
      <c r="B2086" s="1">
        <f>DATE(2014,7,12) + TIME(2,55,46)</f>
        <v>41832.122060185182</v>
      </c>
      <c r="C2086">
        <v>80</v>
      </c>
      <c r="D2086">
        <v>79.961402892999999</v>
      </c>
      <c r="E2086">
        <v>50</v>
      </c>
      <c r="F2086">
        <v>46.641838073999999</v>
      </c>
      <c r="G2086">
        <v>1380.5439452999999</v>
      </c>
      <c r="H2086">
        <v>1367.4119873</v>
      </c>
      <c r="I2086">
        <v>1287.3050536999999</v>
      </c>
      <c r="J2086">
        <v>1267.5101318</v>
      </c>
      <c r="K2086">
        <v>2400</v>
      </c>
      <c r="L2086">
        <v>0</v>
      </c>
      <c r="M2086">
        <v>0</v>
      </c>
      <c r="N2086">
        <v>2400</v>
      </c>
    </row>
    <row r="2087" spans="1:14" x14ac:dyDescent="0.25">
      <c r="A2087">
        <v>1534.3890650000001</v>
      </c>
      <c r="B2087" s="1">
        <f>DATE(2014,7,13) + TIME(9,20,15)</f>
        <v>41833.389062499999</v>
      </c>
      <c r="C2087">
        <v>80</v>
      </c>
      <c r="D2087">
        <v>79.961410521999994</v>
      </c>
      <c r="E2087">
        <v>50</v>
      </c>
      <c r="F2087">
        <v>46.600025176999999</v>
      </c>
      <c r="G2087">
        <v>1380.4954834</v>
      </c>
      <c r="H2087">
        <v>1367.3706055</v>
      </c>
      <c r="I2087">
        <v>1287.2586670000001</v>
      </c>
      <c r="J2087">
        <v>1267.4407959</v>
      </c>
      <c r="K2087">
        <v>2400</v>
      </c>
      <c r="L2087">
        <v>0</v>
      </c>
      <c r="M2087">
        <v>0</v>
      </c>
      <c r="N2087">
        <v>2400</v>
      </c>
    </row>
    <row r="2088" spans="1:14" x14ac:dyDescent="0.25">
      <c r="A2088">
        <v>1535.676074</v>
      </c>
      <c r="B2088" s="1">
        <f>DATE(2014,7,14) + TIME(16,13,32)</f>
        <v>41834.676064814812</v>
      </c>
      <c r="C2088">
        <v>80</v>
      </c>
      <c r="D2088">
        <v>79.961425781000003</v>
      </c>
      <c r="E2088">
        <v>50</v>
      </c>
      <c r="F2088">
        <v>46.557518004999999</v>
      </c>
      <c r="G2088">
        <v>1380.4466553</v>
      </c>
      <c r="H2088">
        <v>1367.3287353999999</v>
      </c>
      <c r="I2088">
        <v>1287.2109375</v>
      </c>
      <c r="J2088">
        <v>1267.3691406</v>
      </c>
      <c r="K2088">
        <v>2400</v>
      </c>
      <c r="L2088">
        <v>0</v>
      </c>
      <c r="M2088">
        <v>0</v>
      </c>
      <c r="N2088">
        <v>2400</v>
      </c>
    </row>
    <row r="2089" spans="1:14" x14ac:dyDescent="0.25">
      <c r="A2089">
        <v>1536.9873279999999</v>
      </c>
      <c r="B2089" s="1">
        <f>DATE(2014,7,15) + TIME(23,41,45)</f>
        <v>41835.987326388888</v>
      </c>
      <c r="C2089">
        <v>80</v>
      </c>
      <c r="D2089">
        <v>79.961433411000002</v>
      </c>
      <c r="E2089">
        <v>50</v>
      </c>
      <c r="F2089">
        <v>46.514492035000004</v>
      </c>
      <c r="G2089">
        <v>1380.3975829999999</v>
      </c>
      <c r="H2089">
        <v>1367.286499</v>
      </c>
      <c r="I2089">
        <v>1287.1618652</v>
      </c>
      <c r="J2089">
        <v>1267.2951660000001</v>
      </c>
      <c r="K2089">
        <v>2400</v>
      </c>
      <c r="L2089">
        <v>0</v>
      </c>
      <c r="M2089">
        <v>0</v>
      </c>
      <c r="N2089">
        <v>2400</v>
      </c>
    </row>
    <row r="2090" spans="1:14" x14ac:dyDescent="0.25">
      <c r="A2090">
        <v>1538.327495</v>
      </c>
      <c r="B2090" s="1">
        <f>DATE(2014,7,17) + TIME(7,51,35)</f>
        <v>41837.327488425923</v>
      </c>
      <c r="C2090">
        <v>80</v>
      </c>
      <c r="D2090">
        <v>79.961448669000006</v>
      </c>
      <c r="E2090">
        <v>50</v>
      </c>
      <c r="F2090">
        <v>46.470947266000003</v>
      </c>
      <c r="G2090">
        <v>1380.3481445</v>
      </c>
      <c r="H2090">
        <v>1367.2437743999999</v>
      </c>
      <c r="I2090">
        <v>1287.1113281</v>
      </c>
      <c r="J2090">
        <v>1267.2186279</v>
      </c>
      <c r="K2090">
        <v>2400</v>
      </c>
      <c r="L2090">
        <v>0</v>
      </c>
      <c r="M2090">
        <v>0</v>
      </c>
      <c r="N2090">
        <v>2400</v>
      </c>
    </row>
    <row r="2091" spans="1:14" x14ac:dyDescent="0.25">
      <c r="A2091">
        <v>1539.702094</v>
      </c>
      <c r="B2091" s="1">
        <f>DATE(2014,7,18) + TIME(16,51,0)</f>
        <v>41838.70208333333</v>
      </c>
      <c r="C2091">
        <v>80</v>
      </c>
      <c r="D2091">
        <v>79.961463928000001</v>
      </c>
      <c r="E2091">
        <v>50</v>
      </c>
      <c r="F2091">
        <v>46.426815032999997</v>
      </c>
      <c r="G2091">
        <v>1380.2980957</v>
      </c>
      <c r="H2091">
        <v>1367.2005615</v>
      </c>
      <c r="I2091">
        <v>1287.059082</v>
      </c>
      <c r="J2091">
        <v>1267.1391602000001</v>
      </c>
      <c r="K2091">
        <v>2400</v>
      </c>
      <c r="L2091">
        <v>0</v>
      </c>
      <c r="M2091">
        <v>0</v>
      </c>
      <c r="N2091">
        <v>2400</v>
      </c>
    </row>
    <row r="2092" spans="1:14" x14ac:dyDescent="0.25">
      <c r="A2092">
        <v>1541.117718</v>
      </c>
      <c r="B2092" s="1">
        <f>DATE(2014,7,20) + TIME(2,49,30)</f>
        <v>41840.117708333331</v>
      </c>
      <c r="C2092">
        <v>80</v>
      </c>
      <c r="D2092">
        <v>79.961479186999995</v>
      </c>
      <c r="E2092">
        <v>50</v>
      </c>
      <c r="F2092">
        <v>46.381977081000002</v>
      </c>
      <c r="G2092">
        <v>1380.2474365</v>
      </c>
      <c r="H2092">
        <v>1367.1564940999999</v>
      </c>
      <c r="I2092">
        <v>1287.0048827999999</v>
      </c>
      <c r="J2092">
        <v>1267.0565185999999</v>
      </c>
      <c r="K2092">
        <v>2400</v>
      </c>
      <c r="L2092">
        <v>0</v>
      </c>
      <c r="M2092">
        <v>0</v>
      </c>
      <c r="N2092">
        <v>2400</v>
      </c>
    </row>
    <row r="2093" spans="1:14" x14ac:dyDescent="0.25">
      <c r="A2093">
        <v>1542.5710529999999</v>
      </c>
      <c r="B2093" s="1">
        <f>DATE(2014,7,21) + TIME(13,42,19)</f>
        <v>41841.571053240739</v>
      </c>
      <c r="C2093">
        <v>80</v>
      </c>
      <c r="D2093">
        <v>79.961494446000003</v>
      </c>
      <c r="E2093">
        <v>50</v>
      </c>
      <c r="F2093">
        <v>46.336402892999999</v>
      </c>
      <c r="G2093">
        <v>1380.1959228999999</v>
      </c>
      <c r="H2093">
        <v>1367.1118164</v>
      </c>
      <c r="I2093">
        <v>1286.9484863</v>
      </c>
      <c r="J2093">
        <v>1266.9703368999999</v>
      </c>
      <c r="K2093">
        <v>2400</v>
      </c>
      <c r="L2093">
        <v>0</v>
      </c>
      <c r="M2093">
        <v>0</v>
      </c>
      <c r="N2093">
        <v>2400</v>
      </c>
    </row>
    <row r="2094" spans="1:14" x14ac:dyDescent="0.25">
      <c r="A2094">
        <v>1544.0503679999999</v>
      </c>
      <c r="B2094" s="1">
        <f>DATE(2014,7,23) + TIME(1,12,31)</f>
        <v>41843.050358796296</v>
      </c>
      <c r="C2094">
        <v>80</v>
      </c>
      <c r="D2094">
        <v>79.961509704999997</v>
      </c>
      <c r="E2094">
        <v>50</v>
      </c>
      <c r="F2094">
        <v>46.290283203000001</v>
      </c>
      <c r="G2094">
        <v>1380.1437988</v>
      </c>
      <c r="H2094">
        <v>1367.0664062000001</v>
      </c>
      <c r="I2094">
        <v>1286.8901367000001</v>
      </c>
      <c r="J2094">
        <v>1266.8807373</v>
      </c>
      <c r="K2094">
        <v>2400</v>
      </c>
      <c r="L2094">
        <v>0</v>
      </c>
      <c r="M2094">
        <v>0</v>
      </c>
      <c r="N2094">
        <v>2400</v>
      </c>
    </row>
    <row r="2095" spans="1:14" x14ac:dyDescent="0.25">
      <c r="A2095">
        <v>1544.80567</v>
      </c>
      <c r="B2095" s="1">
        <f>DATE(2014,7,23) + TIME(19,20,9)</f>
        <v>41843.805659722224</v>
      </c>
      <c r="C2095">
        <v>80</v>
      </c>
      <c r="D2095">
        <v>79.961486816000004</v>
      </c>
      <c r="E2095">
        <v>50</v>
      </c>
      <c r="F2095">
        <v>46.255825043000002</v>
      </c>
      <c r="G2095">
        <v>1380.1019286999999</v>
      </c>
      <c r="H2095">
        <v>1367.0310059000001</v>
      </c>
      <c r="I2095">
        <v>1286.8349608999999</v>
      </c>
      <c r="J2095">
        <v>1266.7985839999999</v>
      </c>
      <c r="K2095">
        <v>2400</v>
      </c>
      <c r="L2095">
        <v>0</v>
      </c>
      <c r="M2095">
        <v>0</v>
      </c>
      <c r="N2095">
        <v>2400</v>
      </c>
    </row>
    <row r="2096" spans="1:14" x14ac:dyDescent="0.25">
      <c r="A2096">
        <v>1545.5609710000001</v>
      </c>
      <c r="B2096" s="1">
        <f>DATE(2014,7,24) + TIME(13,27,47)</f>
        <v>41844.560960648145</v>
      </c>
      <c r="C2096">
        <v>80</v>
      </c>
      <c r="D2096">
        <v>79.961502074999999</v>
      </c>
      <c r="E2096">
        <v>50</v>
      </c>
      <c r="F2096">
        <v>46.226749419999997</v>
      </c>
      <c r="G2096">
        <v>1380.0710449000001</v>
      </c>
      <c r="H2096">
        <v>1367.0035399999999</v>
      </c>
      <c r="I2096">
        <v>1286.8012695</v>
      </c>
      <c r="J2096">
        <v>1266.744751</v>
      </c>
      <c r="K2096">
        <v>2400</v>
      </c>
      <c r="L2096">
        <v>0</v>
      </c>
      <c r="M2096">
        <v>0</v>
      </c>
      <c r="N2096">
        <v>2400</v>
      </c>
    </row>
    <row r="2097" spans="1:14" x14ac:dyDescent="0.25">
      <c r="A2097">
        <v>1546.316272</v>
      </c>
      <c r="B2097" s="1">
        <f>DATE(2014,7,25) + TIME(7,35,25)</f>
        <v>41845.316261574073</v>
      </c>
      <c r="C2097">
        <v>80</v>
      </c>
      <c r="D2097">
        <v>79.961509704999997</v>
      </c>
      <c r="E2097">
        <v>50</v>
      </c>
      <c r="F2097">
        <v>46.200538635000001</v>
      </c>
      <c r="G2097">
        <v>1380.0428466999999</v>
      </c>
      <c r="H2097">
        <v>1366.9786377</v>
      </c>
      <c r="I2097">
        <v>1286.7692870999999</v>
      </c>
      <c r="J2097">
        <v>1266.6939697</v>
      </c>
      <c r="K2097">
        <v>2400</v>
      </c>
      <c r="L2097">
        <v>0</v>
      </c>
      <c r="M2097">
        <v>0</v>
      </c>
      <c r="N2097">
        <v>2400</v>
      </c>
    </row>
    <row r="2098" spans="1:14" x14ac:dyDescent="0.25">
      <c r="A2098">
        <v>1547.0715729999999</v>
      </c>
      <c r="B2098" s="1">
        <f>DATE(2014,7,26) + TIME(1,43,3)</f>
        <v>41846.071562500001</v>
      </c>
      <c r="C2098">
        <v>80</v>
      </c>
      <c r="D2098">
        <v>79.961524963000002</v>
      </c>
      <c r="E2098">
        <v>50</v>
      </c>
      <c r="F2098">
        <v>46.175895691000001</v>
      </c>
      <c r="G2098">
        <v>1380.015625</v>
      </c>
      <c r="H2098">
        <v>1366.9545897999999</v>
      </c>
      <c r="I2098">
        <v>1286.7375488</v>
      </c>
      <c r="J2098">
        <v>1266.644043</v>
      </c>
      <c r="K2098">
        <v>2400</v>
      </c>
      <c r="L2098">
        <v>0</v>
      </c>
      <c r="M2098">
        <v>0</v>
      </c>
      <c r="N2098">
        <v>2400</v>
      </c>
    </row>
    <row r="2099" spans="1:14" x14ac:dyDescent="0.25">
      <c r="A2099">
        <v>1547.826875</v>
      </c>
      <c r="B2099" s="1">
        <f>DATE(2014,7,26) + TIME(19,50,41)</f>
        <v>41846.826863425929</v>
      </c>
      <c r="C2099">
        <v>80</v>
      </c>
      <c r="D2099">
        <v>79.961532593000001</v>
      </c>
      <c r="E2099">
        <v>50</v>
      </c>
      <c r="F2099">
        <v>46.152156830000003</v>
      </c>
      <c r="G2099">
        <v>1379.9890137</v>
      </c>
      <c r="H2099">
        <v>1366.9311522999999</v>
      </c>
      <c r="I2099">
        <v>1286.7059326000001</v>
      </c>
      <c r="J2099">
        <v>1266.5944824000001</v>
      </c>
      <c r="K2099">
        <v>2400</v>
      </c>
      <c r="L2099">
        <v>0</v>
      </c>
      <c r="M2099">
        <v>0</v>
      </c>
      <c r="N2099">
        <v>2400</v>
      </c>
    </row>
    <row r="2100" spans="1:14" x14ac:dyDescent="0.25">
      <c r="A2100">
        <v>1548.5821759999999</v>
      </c>
      <c r="B2100" s="1">
        <f>DATE(2014,7,27) + TIME(13,58,19)</f>
        <v>41847.58216435185</v>
      </c>
      <c r="C2100">
        <v>80</v>
      </c>
      <c r="D2100">
        <v>79.961547851999995</v>
      </c>
      <c r="E2100">
        <v>50</v>
      </c>
      <c r="F2100">
        <v>46.128971100000001</v>
      </c>
      <c r="G2100">
        <v>1379.9626464999999</v>
      </c>
      <c r="H2100">
        <v>1366.9079589999999</v>
      </c>
      <c r="I2100">
        <v>1286.6741943</v>
      </c>
      <c r="J2100">
        <v>1266.5449219</v>
      </c>
      <c r="K2100">
        <v>2400</v>
      </c>
      <c r="L2100">
        <v>0</v>
      </c>
      <c r="M2100">
        <v>0</v>
      </c>
      <c r="N2100">
        <v>2400</v>
      </c>
    </row>
    <row r="2101" spans="1:14" x14ac:dyDescent="0.25">
      <c r="A2101">
        <v>1549.337477</v>
      </c>
      <c r="B2101" s="1">
        <f>DATE(2014,7,28) + TIME(8,5,58)</f>
        <v>41848.337476851855</v>
      </c>
      <c r="C2101">
        <v>80</v>
      </c>
      <c r="D2101">
        <v>79.961555481000005</v>
      </c>
      <c r="E2101">
        <v>50</v>
      </c>
      <c r="F2101">
        <v>46.10616684</v>
      </c>
      <c r="G2101">
        <v>1379.9366454999999</v>
      </c>
      <c r="H2101">
        <v>1366.8850098</v>
      </c>
      <c r="I2101">
        <v>1286.6425781</v>
      </c>
      <c r="J2101">
        <v>1266.4953613</v>
      </c>
      <c r="K2101">
        <v>2400</v>
      </c>
      <c r="L2101">
        <v>0</v>
      </c>
      <c r="M2101">
        <v>0</v>
      </c>
      <c r="N2101">
        <v>2400</v>
      </c>
    </row>
    <row r="2102" spans="1:14" x14ac:dyDescent="0.25">
      <c r="A2102">
        <v>1550.092778</v>
      </c>
      <c r="B2102" s="1">
        <f>DATE(2014,7,29) + TIME(2,13,36)</f>
        <v>41849.092777777776</v>
      </c>
      <c r="C2102">
        <v>80</v>
      </c>
      <c r="D2102">
        <v>79.96156311</v>
      </c>
      <c r="E2102">
        <v>50</v>
      </c>
      <c r="F2102">
        <v>46.083652495999999</v>
      </c>
      <c r="G2102">
        <v>1379.9108887</v>
      </c>
      <c r="H2102">
        <v>1366.8621826000001</v>
      </c>
      <c r="I2102">
        <v>1286.6107178</v>
      </c>
      <c r="J2102">
        <v>1266.4455565999999</v>
      </c>
      <c r="K2102">
        <v>2400</v>
      </c>
      <c r="L2102">
        <v>0</v>
      </c>
      <c r="M2102">
        <v>0</v>
      </c>
      <c r="N2102">
        <v>2400</v>
      </c>
    </row>
    <row r="2103" spans="1:14" x14ac:dyDescent="0.25">
      <c r="A2103">
        <v>1550.8480790000001</v>
      </c>
      <c r="B2103" s="1">
        <f>DATE(2014,7,29) + TIME(20,21,14)</f>
        <v>41849.848078703704</v>
      </c>
      <c r="C2103">
        <v>80</v>
      </c>
      <c r="D2103">
        <v>79.961570739999999</v>
      </c>
      <c r="E2103">
        <v>50</v>
      </c>
      <c r="F2103">
        <v>46.061393738</v>
      </c>
      <c r="G2103">
        <v>1379.8852539</v>
      </c>
      <c r="H2103">
        <v>1366.8395995999999</v>
      </c>
      <c r="I2103">
        <v>1286.5789795000001</v>
      </c>
      <c r="J2103">
        <v>1266.3956298999999</v>
      </c>
      <c r="K2103">
        <v>2400</v>
      </c>
      <c r="L2103">
        <v>0</v>
      </c>
      <c r="M2103">
        <v>0</v>
      </c>
      <c r="N2103">
        <v>2400</v>
      </c>
    </row>
    <row r="2104" spans="1:14" x14ac:dyDescent="0.25">
      <c r="A2104">
        <v>1552.358682</v>
      </c>
      <c r="B2104" s="1">
        <f>DATE(2014,7,31) + TIME(8,36,30)</f>
        <v>41851.358680555553</v>
      </c>
      <c r="C2104">
        <v>80</v>
      </c>
      <c r="D2104">
        <v>79.961616516000007</v>
      </c>
      <c r="E2104">
        <v>50</v>
      </c>
      <c r="F2104">
        <v>46.031692505000002</v>
      </c>
      <c r="G2104">
        <v>1379.8521728999999</v>
      </c>
      <c r="H2104">
        <v>1366.8095702999999</v>
      </c>
      <c r="I2104">
        <v>1286.5432129000001</v>
      </c>
      <c r="J2104">
        <v>1266.3375243999999</v>
      </c>
      <c r="K2104">
        <v>2400</v>
      </c>
      <c r="L2104">
        <v>0</v>
      </c>
      <c r="M2104">
        <v>0</v>
      </c>
      <c r="N2104">
        <v>2400</v>
      </c>
    </row>
    <row r="2105" spans="1:14" x14ac:dyDescent="0.25">
      <c r="A2105">
        <v>1553</v>
      </c>
      <c r="B2105" s="1">
        <f>DATE(2014,8,1) + TIME(0,0,0)</f>
        <v>41852</v>
      </c>
      <c r="C2105">
        <v>80</v>
      </c>
      <c r="D2105">
        <v>79.961593628000003</v>
      </c>
      <c r="E2105">
        <v>50</v>
      </c>
      <c r="F2105">
        <v>46.005592346</v>
      </c>
      <c r="G2105">
        <v>1379.8178711</v>
      </c>
      <c r="H2105">
        <v>1366.7806396000001</v>
      </c>
      <c r="I2105">
        <v>1286.4882812000001</v>
      </c>
      <c r="J2105">
        <v>1266.2562256000001</v>
      </c>
      <c r="K2105">
        <v>2400</v>
      </c>
      <c r="L2105">
        <v>0</v>
      </c>
      <c r="M2105">
        <v>0</v>
      </c>
      <c r="N2105">
        <v>2400</v>
      </c>
    </row>
    <row r="2106" spans="1:14" x14ac:dyDescent="0.25">
      <c r="A2106">
        <v>1554.5134820000001</v>
      </c>
      <c r="B2106" s="1">
        <f>DATE(2014,8,2) + TIME(12,19,24)</f>
        <v>41853.513472222221</v>
      </c>
      <c r="C2106">
        <v>80</v>
      </c>
      <c r="D2106">
        <v>79.961631775000001</v>
      </c>
      <c r="E2106">
        <v>50</v>
      </c>
      <c r="F2106">
        <v>45.972515106000003</v>
      </c>
      <c r="G2106">
        <v>1379.7824707</v>
      </c>
      <c r="H2106">
        <v>1366.7481689000001</v>
      </c>
      <c r="I2106">
        <v>1286.4532471</v>
      </c>
      <c r="J2106">
        <v>1266.1965332</v>
      </c>
      <c r="K2106">
        <v>2400</v>
      </c>
      <c r="L2106">
        <v>0</v>
      </c>
      <c r="M2106">
        <v>0</v>
      </c>
      <c r="N2106">
        <v>2400</v>
      </c>
    </row>
    <row r="2107" spans="1:14" x14ac:dyDescent="0.25">
      <c r="A2107">
        <v>1556.050917</v>
      </c>
      <c r="B2107" s="1">
        <f>DATE(2014,8,4) + TIME(1,13,19)</f>
        <v>41855.05091435185</v>
      </c>
      <c r="C2107">
        <v>80</v>
      </c>
      <c r="D2107">
        <v>79.961654663000004</v>
      </c>
      <c r="E2107">
        <v>50</v>
      </c>
      <c r="F2107">
        <v>45.933532714999998</v>
      </c>
      <c r="G2107">
        <v>1379.7359618999999</v>
      </c>
      <c r="H2107">
        <v>1366.7070312000001</v>
      </c>
      <c r="I2107">
        <v>1286.3912353999999</v>
      </c>
      <c r="J2107">
        <v>1266.0994873</v>
      </c>
      <c r="K2107">
        <v>2400</v>
      </c>
      <c r="L2107">
        <v>0</v>
      </c>
      <c r="M2107">
        <v>0</v>
      </c>
      <c r="N2107">
        <v>2400</v>
      </c>
    </row>
    <row r="2108" spans="1:14" x14ac:dyDescent="0.25">
      <c r="A2108">
        <v>1557.6108389999999</v>
      </c>
      <c r="B2108" s="1">
        <f>DATE(2014,8,5) + TIME(14,39,36)</f>
        <v>41856.610833333332</v>
      </c>
      <c r="C2108">
        <v>80</v>
      </c>
      <c r="D2108">
        <v>79.961669921999999</v>
      </c>
      <c r="E2108">
        <v>50</v>
      </c>
      <c r="F2108">
        <v>45.892723083</v>
      </c>
      <c r="G2108">
        <v>1379.6873779</v>
      </c>
      <c r="H2108">
        <v>1366.6639404</v>
      </c>
      <c r="I2108">
        <v>1286.3265381000001</v>
      </c>
      <c r="J2108">
        <v>1265.9970702999999</v>
      </c>
      <c r="K2108">
        <v>2400</v>
      </c>
      <c r="L2108">
        <v>0</v>
      </c>
      <c r="M2108">
        <v>0</v>
      </c>
      <c r="N2108">
        <v>2400</v>
      </c>
    </row>
    <row r="2109" spans="1:14" x14ac:dyDescent="0.25">
      <c r="A2109">
        <v>1559.198832</v>
      </c>
      <c r="B2109" s="1">
        <f>DATE(2014,8,7) + TIME(4,46,19)</f>
        <v>41858.198831018519</v>
      </c>
      <c r="C2109">
        <v>80</v>
      </c>
      <c r="D2109">
        <v>79.961692810000002</v>
      </c>
      <c r="E2109">
        <v>50</v>
      </c>
      <c r="F2109">
        <v>45.8515625</v>
      </c>
      <c r="G2109">
        <v>1379.6379394999999</v>
      </c>
      <c r="H2109">
        <v>1366.6201172000001</v>
      </c>
      <c r="I2109">
        <v>1286.2602539</v>
      </c>
      <c r="J2109">
        <v>1265.8914795000001</v>
      </c>
      <c r="K2109">
        <v>2400</v>
      </c>
      <c r="L2109">
        <v>0</v>
      </c>
      <c r="M2109">
        <v>0</v>
      </c>
      <c r="N2109">
        <v>2400</v>
      </c>
    </row>
    <row r="2110" spans="1:14" x14ac:dyDescent="0.25">
      <c r="A2110">
        <v>1560.82096</v>
      </c>
      <c r="B2110" s="1">
        <f>DATE(2014,8,8) + TIME(19,42,10)</f>
        <v>41859.820949074077</v>
      </c>
      <c r="C2110">
        <v>80</v>
      </c>
      <c r="D2110">
        <v>79.961715698000006</v>
      </c>
      <c r="E2110">
        <v>50</v>
      </c>
      <c r="F2110">
        <v>45.810558319000002</v>
      </c>
      <c r="G2110">
        <v>1379.5880127</v>
      </c>
      <c r="H2110">
        <v>1366.5755615</v>
      </c>
      <c r="I2110">
        <v>1286.1926269999999</v>
      </c>
      <c r="J2110">
        <v>1265.7830810999999</v>
      </c>
      <c r="K2110">
        <v>2400</v>
      </c>
      <c r="L2110">
        <v>0</v>
      </c>
      <c r="M2110">
        <v>0</v>
      </c>
      <c r="N2110">
        <v>2400</v>
      </c>
    </row>
    <row r="2111" spans="1:14" x14ac:dyDescent="0.25">
      <c r="A2111">
        <v>1562.463919</v>
      </c>
      <c r="B2111" s="1">
        <f>DATE(2014,8,10) + TIME(11,8,2)</f>
        <v>41861.463912037034</v>
      </c>
      <c r="C2111">
        <v>80</v>
      </c>
      <c r="D2111">
        <v>79.961730957</v>
      </c>
      <c r="E2111">
        <v>50</v>
      </c>
      <c r="F2111">
        <v>45.770050048999998</v>
      </c>
      <c r="G2111">
        <v>1379.5377197</v>
      </c>
      <c r="H2111">
        <v>1366.5306396000001</v>
      </c>
      <c r="I2111">
        <v>1286.1235352000001</v>
      </c>
      <c r="J2111">
        <v>1265.671875</v>
      </c>
      <c r="K2111">
        <v>2400</v>
      </c>
      <c r="L2111">
        <v>0</v>
      </c>
      <c r="M2111">
        <v>0</v>
      </c>
      <c r="N2111">
        <v>2400</v>
      </c>
    </row>
    <row r="2112" spans="1:14" x14ac:dyDescent="0.25">
      <c r="A2112">
        <v>1564.1273960000001</v>
      </c>
      <c r="B2112" s="1">
        <f>DATE(2014,8,12) + TIME(3,3,26)</f>
        <v>41863.127384259256</v>
      </c>
      <c r="C2112">
        <v>80</v>
      </c>
      <c r="D2112">
        <v>79.961753845000004</v>
      </c>
      <c r="E2112">
        <v>50</v>
      </c>
      <c r="F2112">
        <v>45.730369568</v>
      </c>
      <c r="G2112">
        <v>1379.4870605000001</v>
      </c>
      <c r="H2112">
        <v>1366.4853516000001</v>
      </c>
      <c r="I2112">
        <v>1286.0534668</v>
      </c>
      <c r="J2112">
        <v>1265.5587158000001</v>
      </c>
      <c r="K2112">
        <v>2400</v>
      </c>
      <c r="L2112">
        <v>0</v>
      </c>
      <c r="M2112">
        <v>0</v>
      </c>
      <c r="N2112">
        <v>2400</v>
      </c>
    </row>
    <row r="2113" spans="1:14" x14ac:dyDescent="0.25">
      <c r="A2113">
        <v>1565.817139</v>
      </c>
      <c r="B2113" s="1">
        <f>DATE(2014,8,13) + TIME(19,36,40)</f>
        <v>41864.817129629628</v>
      </c>
      <c r="C2113">
        <v>80</v>
      </c>
      <c r="D2113">
        <v>79.961776732999994</v>
      </c>
      <c r="E2113">
        <v>50</v>
      </c>
      <c r="F2113">
        <v>45.691699982000003</v>
      </c>
      <c r="G2113">
        <v>1379.4362793</v>
      </c>
      <c r="H2113">
        <v>1366.4396973</v>
      </c>
      <c r="I2113">
        <v>1285.9825439000001</v>
      </c>
      <c r="J2113">
        <v>1265.4437256000001</v>
      </c>
      <c r="K2113">
        <v>2400</v>
      </c>
      <c r="L2113">
        <v>0</v>
      </c>
      <c r="M2113">
        <v>0</v>
      </c>
      <c r="N2113">
        <v>2400</v>
      </c>
    </row>
    <row r="2114" spans="1:14" x14ac:dyDescent="0.25">
      <c r="A2114">
        <v>1567.539434</v>
      </c>
      <c r="B2114" s="1">
        <f>DATE(2014,8,15) + TIME(12,56,47)</f>
        <v>41866.53943287037</v>
      </c>
      <c r="C2114">
        <v>80</v>
      </c>
      <c r="D2114">
        <v>79.961807250999996</v>
      </c>
      <c r="E2114">
        <v>50</v>
      </c>
      <c r="F2114">
        <v>45.654132842999999</v>
      </c>
      <c r="G2114">
        <v>1379.3852539</v>
      </c>
      <c r="H2114">
        <v>1366.3937988</v>
      </c>
      <c r="I2114">
        <v>1285.9105225000001</v>
      </c>
      <c r="J2114">
        <v>1265.3266602000001</v>
      </c>
      <c r="K2114">
        <v>2400</v>
      </c>
      <c r="L2114">
        <v>0</v>
      </c>
      <c r="M2114">
        <v>0</v>
      </c>
      <c r="N2114">
        <v>2400</v>
      </c>
    </row>
    <row r="2115" spans="1:14" x14ac:dyDescent="0.25">
      <c r="A2115">
        <v>1569.301295</v>
      </c>
      <c r="B2115" s="1">
        <f>DATE(2014,8,17) + TIME(7,13,51)</f>
        <v>41868.30128472222</v>
      </c>
      <c r="C2115">
        <v>80</v>
      </c>
      <c r="D2115">
        <v>79.961830139</v>
      </c>
      <c r="E2115">
        <v>50</v>
      </c>
      <c r="F2115">
        <v>45.617767334</v>
      </c>
      <c r="G2115">
        <v>1379.3337402</v>
      </c>
      <c r="H2115">
        <v>1366.3474120999999</v>
      </c>
      <c r="I2115">
        <v>1285.8375243999999</v>
      </c>
      <c r="J2115">
        <v>1265.2072754000001</v>
      </c>
      <c r="K2115">
        <v>2400</v>
      </c>
      <c r="L2115">
        <v>0</v>
      </c>
      <c r="M2115">
        <v>0</v>
      </c>
      <c r="N2115">
        <v>2400</v>
      </c>
    </row>
    <row r="2116" spans="1:14" x14ac:dyDescent="0.25">
      <c r="A2116">
        <v>1571.0997689999999</v>
      </c>
      <c r="B2116" s="1">
        <f>DATE(2014,8,19) + TIME(2,23,40)</f>
        <v>41870.099768518521</v>
      </c>
      <c r="C2116">
        <v>80</v>
      </c>
      <c r="D2116">
        <v>79.961853027000004</v>
      </c>
      <c r="E2116">
        <v>50</v>
      </c>
      <c r="F2116">
        <v>45.582786560000002</v>
      </c>
      <c r="G2116">
        <v>1379.2816161999999</v>
      </c>
      <c r="H2116">
        <v>1366.3004149999999</v>
      </c>
      <c r="I2116">
        <v>1285.7631836</v>
      </c>
      <c r="J2116">
        <v>1265.0853271000001</v>
      </c>
      <c r="K2116">
        <v>2400</v>
      </c>
      <c r="L2116">
        <v>0</v>
      </c>
      <c r="M2116">
        <v>0</v>
      </c>
      <c r="N2116">
        <v>2400</v>
      </c>
    </row>
    <row r="2117" spans="1:14" x14ac:dyDescent="0.25">
      <c r="A2117">
        <v>1572.9066210000001</v>
      </c>
      <c r="B2117" s="1">
        <f>DATE(2014,8,20) + TIME(21,45,32)</f>
        <v>41871.90662037037</v>
      </c>
      <c r="C2117">
        <v>80</v>
      </c>
      <c r="D2117">
        <v>79.961883545000006</v>
      </c>
      <c r="E2117">
        <v>50</v>
      </c>
      <c r="F2117">
        <v>45.549652100000003</v>
      </c>
      <c r="G2117">
        <v>1379.2292480000001</v>
      </c>
      <c r="H2117">
        <v>1366.2530518000001</v>
      </c>
      <c r="I2117">
        <v>1285.6879882999999</v>
      </c>
      <c r="J2117">
        <v>1264.9614257999999</v>
      </c>
      <c r="K2117">
        <v>2400</v>
      </c>
      <c r="L2117">
        <v>0</v>
      </c>
      <c r="M2117">
        <v>0</v>
      </c>
      <c r="N2117">
        <v>2400</v>
      </c>
    </row>
    <row r="2118" spans="1:14" x14ac:dyDescent="0.25">
      <c r="A2118">
        <v>1574.7277690000001</v>
      </c>
      <c r="B2118" s="1">
        <f>DATE(2014,8,22) + TIME(17,27,59)</f>
        <v>41873.727766203701</v>
      </c>
      <c r="C2118">
        <v>80</v>
      </c>
      <c r="D2118">
        <v>79.961906432999996</v>
      </c>
      <c r="E2118">
        <v>50</v>
      </c>
      <c r="F2118">
        <v>45.518852234000001</v>
      </c>
      <c r="G2118">
        <v>1379.1770019999999</v>
      </c>
      <c r="H2118">
        <v>1366.2056885</v>
      </c>
      <c r="I2118">
        <v>1285.612793</v>
      </c>
      <c r="J2118">
        <v>1264.8370361</v>
      </c>
      <c r="K2118">
        <v>2400</v>
      </c>
      <c r="L2118">
        <v>0</v>
      </c>
      <c r="M2118">
        <v>0</v>
      </c>
      <c r="N2118">
        <v>2400</v>
      </c>
    </row>
    <row r="2119" spans="1:14" x14ac:dyDescent="0.25">
      <c r="A2119">
        <v>1576.569661</v>
      </c>
      <c r="B2119" s="1">
        <f>DATE(2014,8,24) + TIME(13,40,18)</f>
        <v>41875.569652777776</v>
      </c>
      <c r="C2119">
        <v>80</v>
      </c>
      <c r="D2119">
        <v>79.961936950999998</v>
      </c>
      <c r="E2119">
        <v>50</v>
      </c>
      <c r="F2119">
        <v>45.490665436</v>
      </c>
      <c r="G2119">
        <v>1379.1247559000001</v>
      </c>
      <c r="H2119">
        <v>1366.1583252</v>
      </c>
      <c r="I2119">
        <v>1285.5377197</v>
      </c>
      <c r="J2119">
        <v>1264.7122803</v>
      </c>
      <c r="K2119">
        <v>2400</v>
      </c>
      <c r="L2119">
        <v>0</v>
      </c>
      <c r="M2119">
        <v>0</v>
      </c>
      <c r="N2119">
        <v>2400</v>
      </c>
    </row>
    <row r="2120" spans="1:14" x14ac:dyDescent="0.25">
      <c r="A2120">
        <v>1577.5043780000001</v>
      </c>
      <c r="B2120" s="1">
        <f>DATE(2014,8,25) + TIME(12,6,18)</f>
        <v>41876.504374999997</v>
      </c>
      <c r="C2120">
        <v>80</v>
      </c>
      <c r="D2120">
        <v>79.961929321</v>
      </c>
      <c r="E2120">
        <v>50</v>
      </c>
      <c r="F2120">
        <v>45.471138000000003</v>
      </c>
      <c r="G2120">
        <v>1379.0838623</v>
      </c>
      <c r="H2120">
        <v>1366.1219481999999</v>
      </c>
      <c r="I2120">
        <v>1285.4692382999999</v>
      </c>
      <c r="J2120">
        <v>1264.5999756000001</v>
      </c>
      <c r="K2120">
        <v>2400</v>
      </c>
      <c r="L2120">
        <v>0</v>
      </c>
      <c r="M2120">
        <v>0</v>
      </c>
      <c r="N2120">
        <v>2400</v>
      </c>
    </row>
    <row r="2121" spans="1:14" x14ac:dyDescent="0.25">
      <c r="A2121">
        <v>1578.439095</v>
      </c>
      <c r="B2121" s="1">
        <f>DATE(2014,8,26) + TIME(10,32,17)</f>
        <v>41877.439085648148</v>
      </c>
      <c r="C2121">
        <v>80</v>
      </c>
      <c r="D2121">
        <v>79.961944579999994</v>
      </c>
      <c r="E2121">
        <v>50</v>
      </c>
      <c r="F2121">
        <v>45.456569672000001</v>
      </c>
      <c r="G2121">
        <v>1379.0527344</v>
      </c>
      <c r="H2121">
        <v>1366.0933838000001</v>
      </c>
      <c r="I2121">
        <v>1285.4276123</v>
      </c>
      <c r="J2121">
        <v>1264.5285644999999</v>
      </c>
      <c r="K2121">
        <v>2400</v>
      </c>
      <c r="L2121">
        <v>0</v>
      </c>
      <c r="M2121">
        <v>0</v>
      </c>
      <c r="N2121">
        <v>2400</v>
      </c>
    </row>
    <row r="2122" spans="1:14" x14ac:dyDescent="0.25">
      <c r="A2122">
        <v>1579.3738129999999</v>
      </c>
      <c r="B2122" s="1">
        <f>DATE(2014,8,27) + TIME(8,58,17)</f>
        <v>41878.373807870368</v>
      </c>
      <c r="C2122">
        <v>80</v>
      </c>
      <c r="D2122">
        <v>79.961959839000002</v>
      </c>
      <c r="E2122">
        <v>50</v>
      </c>
      <c r="F2122">
        <v>45.444805144999997</v>
      </c>
      <c r="G2122">
        <v>1379.0245361</v>
      </c>
      <c r="H2122">
        <v>1366.0675048999999</v>
      </c>
      <c r="I2122">
        <v>1285.3886719</v>
      </c>
      <c r="J2122">
        <v>1264.4620361</v>
      </c>
      <c r="K2122">
        <v>2400</v>
      </c>
      <c r="L2122">
        <v>0</v>
      </c>
      <c r="M2122">
        <v>0</v>
      </c>
      <c r="N2122">
        <v>2400</v>
      </c>
    </row>
    <row r="2123" spans="1:14" x14ac:dyDescent="0.25">
      <c r="A2123">
        <v>1580.30853</v>
      </c>
      <c r="B2123" s="1">
        <f>DATE(2014,8,28) + TIME(7,24,16)</f>
        <v>41879.308518518519</v>
      </c>
      <c r="C2123">
        <v>80</v>
      </c>
      <c r="D2123">
        <v>79.961975097999996</v>
      </c>
      <c r="E2123">
        <v>50</v>
      </c>
      <c r="F2123">
        <v>45.434871674</v>
      </c>
      <c r="G2123">
        <v>1378.9973144999999</v>
      </c>
      <c r="H2123">
        <v>1366.0424805</v>
      </c>
      <c r="I2123">
        <v>1285.3507079999999</v>
      </c>
      <c r="J2123">
        <v>1264.3977050999999</v>
      </c>
      <c r="K2123">
        <v>2400</v>
      </c>
      <c r="L2123">
        <v>0</v>
      </c>
      <c r="M2123">
        <v>0</v>
      </c>
      <c r="N2123">
        <v>2400</v>
      </c>
    </row>
    <row r="2124" spans="1:14" x14ac:dyDescent="0.25">
      <c r="A2124">
        <v>1581.2432470000001</v>
      </c>
      <c r="B2124" s="1">
        <f>DATE(2014,8,29) + TIME(5,50,16)</f>
        <v>41880.24324074074</v>
      </c>
      <c r="C2124">
        <v>80</v>
      </c>
      <c r="D2124">
        <v>79.961990356000001</v>
      </c>
      <c r="E2124">
        <v>50</v>
      </c>
      <c r="F2124">
        <v>45.426353454999997</v>
      </c>
      <c r="G2124">
        <v>1378.9707031</v>
      </c>
      <c r="H2124">
        <v>1366.0181885</v>
      </c>
      <c r="I2124">
        <v>1285.3133545000001</v>
      </c>
      <c r="J2124">
        <v>1264.3347168</v>
      </c>
      <c r="K2124">
        <v>2400</v>
      </c>
      <c r="L2124">
        <v>0</v>
      </c>
      <c r="M2124">
        <v>0</v>
      </c>
      <c r="N2124">
        <v>2400</v>
      </c>
    </row>
    <row r="2125" spans="1:14" x14ac:dyDescent="0.25">
      <c r="A2125">
        <v>1583.1126810000001</v>
      </c>
      <c r="B2125" s="1">
        <f>DATE(2014,8,31) + TIME(2,42,15)</f>
        <v>41882.112673611111</v>
      </c>
      <c r="C2125">
        <v>80</v>
      </c>
      <c r="D2125">
        <v>79.962043761999993</v>
      </c>
      <c r="E2125">
        <v>50</v>
      </c>
      <c r="F2125">
        <v>45.416900634999998</v>
      </c>
      <c r="G2125">
        <v>1378.9360352000001</v>
      </c>
      <c r="H2125">
        <v>1365.9857178</v>
      </c>
      <c r="I2125">
        <v>1285.2713623</v>
      </c>
      <c r="J2125">
        <v>1264.2631836</v>
      </c>
      <c r="K2125">
        <v>2400</v>
      </c>
      <c r="L2125">
        <v>0</v>
      </c>
      <c r="M2125">
        <v>0</v>
      </c>
      <c r="N2125">
        <v>2400</v>
      </c>
    </row>
    <row r="2126" spans="1:14" x14ac:dyDescent="0.25">
      <c r="A2126">
        <v>1584</v>
      </c>
      <c r="B2126" s="1">
        <f>DATE(2014,9,1) + TIME(0,0,0)</f>
        <v>41883</v>
      </c>
      <c r="C2126">
        <v>80</v>
      </c>
      <c r="D2126">
        <v>79.962028502999999</v>
      </c>
      <c r="E2126">
        <v>50</v>
      </c>
      <c r="F2126">
        <v>45.409439087000003</v>
      </c>
      <c r="G2126">
        <v>1378.9000243999999</v>
      </c>
      <c r="H2126">
        <v>1365.9538574000001</v>
      </c>
      <c r="I2126">
        <v>1285.2097168</v>
      </c>
      <c r="J2126">
        <v>1264.1612548999999</v>
      </c>
      <c r="K2126">
        <v>2400</v>
      </c>
      <c r="L2126">
        <v>0</v>
      </c>
      <c r="M2126">
        <v>0</v>
      </c>
      <c r="N2126">
        <v>2400</v>
      </c>
    </row>
    <row r="2127" spans="1:14" x14ac:dyDescent="0.25">
      <c r="A2127">
        <v>1585.8705070000001</v>
      </c>
      <c r="B2127" s="1">
        <f>DATE(2014,9,2) + TIME(20,53,31)</f>
        <v>41884.870497685188</v>
      </c>
      <c r="C2127">
        <v>80</v>
      </c>
      <c r="D2127">
        <v>79.962081909000005</v>
      </c>
      <c r="E2127">
        <v>50</v>
      </c>
      <c r="F2127">
        <v>45.402950287000003</v>
      </c>
      <c r="G2127">
        <v>1378.8623047000001</v>
      </c>
      <c r="H2127">
        <v>1365.918457</v>
      </c>
      <c r="I2127">
        <v>1285.1668701000001</v>
      </c>
      <c r="J2127">
        <v>1264.0866699000001</v>
      </c>
      <c r="K2127">
        <v>2400</v>
      </c>
      <c r="L2127">
        <v>0</v>
      </c>
      <c r="M2127">
        <v>0</v>
      </c>
      <c r="N2127">
        <v>2400</v>
      </c>
    </row>
    <row r="2128" spans="1:14" x14ac:dyDescent="0.25">
      <c r="A2128">
        <v>1587.768331</v>
      </c>
      <c r="B2128" s="1">
        <f>DATE(2014,9,4) + TIME(18,26,23)</f>
        <v>41886.768321759257</v>
      </c>
      <c r="C2128">
        <v>80</v>
      </c>
      <c r="D2128">
        <v>79.962104796999995</v>
      </c>
      <c r="E2128">
        <v>50</v>
      </c>
      <c r="F2128">
        <v>45.398921967</v>
      </c>
      <c r="G2128">
        <v>1378.8146973</v>
      </c>
      <c r="H2128">
        <v>1365.875</v>
      </c>
      <c r="I2128">
        <v>1285.0992432</v>
      </c>
      <c r="J2128">
        <v>1263.9722899999999</v>
      </c>
      <c r="K2128">
        <v>2400</v>
      </c>
      <c r="L2128">
        <v>0</v>
      </c>
      <c r="M2128">
        <v>0</v>
      </c>
      <c r="N2128">
        <v>2400</v>
      </c>
    </row>
    <row r="2129" spans="1:14" x14ac:dyDescent="0.25">
      <c r="A2129">
        <v>1589.6918129999999</v>
      </c>
      <c r="B2129" s="1">
        <f>DATE(2014,9,6) + TIME(16,36,12)</f>
        <v>41888.691805555558</v>
      </c>
      <c r="C2129">
        <v>80</v>
      </c>
      <c r="D2129">
        <v>79.962135314999998</v>
      </c>
      <c r="E2129">
        <v>50</v>
      </c>
      <c r="F2129">
        <v>45.399368285999998</v>
      </c>
      <c r="G2129">
        <v>1378.7650146000001</v>
      </c>
      <c r="H2129">
        <v>1365.8293457</v>
      </c>
      <c r="I2129">
        <v>1285.0305175999999</v>
      </c>
      <c r="J2129">
        <v>1263.8548584</v>
      </c>
      <c r="K2129">
        <v>2400</v>
      </c>
      <c r="L2129">
        <v>0</v>
      </c>
      <c r="M2129">
        <v>0</v>
      </c>
      <c r="N2129">
        <v>2400</v>
      </c>
    </row>
    <row r="2130" spans="1:14" x14ac:dyDescent="0.25">
      <c r="A2130">
        <v>1591.647696</v>
      </c>
      <c r="B2130" s="1">
        <f>DATE(2014,9,8) + TIME(15,32,40)</f>
        <v>41890.647685185184</v>
      </c>
      <c r="C2130">
        <v>80</v>
      </c>
      <c r="D2130">
        <v>79.962165833</v>
      </c>
      <c r="E2130">
        <v>50</v>
      </c>
      <c r="F2130">
        <v>45.405338286999999</v>
      </c>
      <c r="G2130">
        <v>1378.7144774999999</v>
      </c>
      <c r="H2130">
        <v>1365.7829589999999</v>
      </c>
      <c r="I2130">
        <v>1284.9619141000001</v>
      </c>
      <c r="J2130">
        <v>1263.7370605000001</v>
      </c>
      <c r="K2130">
        <v>2400</v>
      </c>
      <c r="L2130">
        <v>0</v>
      </c>
      <c r="M2130">
        <v>0</v>
      </c>
      <c r="N2130">
        <v>2400</v>
      </c>
    </row>
    <row r="2131" spans="1:14" x14ac:dyDescent="0.25">
      <c r="A2131">
        <v>1593.6433730000001</v>
      </c>
      <c r="B2131" s="1">
        <f>DATE(2014,9,10) + TIME(15,26,27)</f>
        <v>41892.643368055556</v>
      </c>
      <c r="C2131">
        <v>80</v>
      </c>
      <c r="D2131">
        <v>79.962196349999999</v>
      </c>
      <c r="E2131">
        <v>50</v>
      </c>
      <c r="F2131">
        <v>45.417640685999999</v>
      </c>
      <c r="G2131">
        <v>1378.6634521000001</v>
      </c>
      <c r="H2131">
        <v>1365.7358397999999</v>
      </c>
      <c r="I2131">
        <v>1284.8939209</v>
      </c>
      <c r="J2131">
        <v>1263.619751</v>
      </c>
      <c r="K2131">
        <v>2400</v>
      </c>
      <c r="L2131">
        <v>0</v>
      </c>
      <c r="M2131">
        <v>0</v>
      </c>
      <c r="N2131">
        <v>2400</v>
      </c>
    </row>
    <row r="2132" spans="1:14" x14ac:dyDescent="0.25">
      <c r="A2132">
        <v>1595.6870240000001</v>
      </c>
      <c r="B2132" s="1">
        <f>DATE(2014,9,12) + TIME(16,29,18)</f>
        <v>41894.687013888892</v>
      </c>
      <c r="C2132">
        <v>80</v>
      </c>
      <c r="D2132">
        <v>79.962226868000002</v>
      </c>
      <c r="E2132">
        <v>50</v>
      </c>
      <c r="F2132">
        <v>45.437137604</v>
      </c>
      <c r="G2132">
        <v>1378.6115723</v>
      </c>
      <c r="H2132">
        <v>1365.6879882999999</v>
      </c>
      <c r="I2132">
        <v>1284.8264160000001</v>
      </c>
      <c r="J2132">
        <v>1263.5030518000001</v>
      </c>
      <c r="K2132">
        <v>2400</v>
      </c>
      <c r="L2132">
        <v>0</v>
      </c>
      <c r="M2132">
        <v>0</v>
      </c>
      <c r="N2132">
        <v>2400</v>
      </c>
    </row>
    <row r="2133" spans="1:14" x14ac:dyDescent="0.25">
      <c r="A2133">
        <v>1597.7876960000001</v>
      </c>
      <c r="B2133" s="1">
        <f>DATE(2014,9,14) + TIME(18,54,16)</f>
        <v>41896.787685185183</v>
      </c>
      <c r="C2133">
        <v>80</v>
      </c>
      <c r="D2133">
        <v>79.962257385000001</v>
      </c>
      <c r="E2133">
        <v>50</v>
      </c>
      <c r="F2133">
        <v>45.464828490999999</v>
      </c>
      <c r="G2133">
        <v>1378.5589600000001</v>
      </c>
      <c r="H2133">
        <v>1365.6394043</v>
      </c>
      <c r="I2133">
        <v>1284.7595214999999</v>
      </c>
      <c r="J2133">
        <v>1263.3870850000001</v>
      </c>
      <c r="K2133">
        <v>2400</v>
      </c>
      <c r="L2133">
        <v>0</v>
      </c>
      <c r="M2133">
        <v>0</v>
      </c>
      <c r="N2133">
        <v>2400</v>
      </c>
    </row>
    <row r="2134" spans="1:14" x14ac:dyDescent="0.25">
      <c r="A2134">
        <v>1599.956013</v>
      </c>
      <c r="B2134" s="1">
        <f>DATE(2014,9,16) + TIME(22,56,39)</f>
        <v>41898.956006944441</v>
      </c>
      <c r="C2134">
        <v>80</v>
      </c>
      <c r="D2134">
        <v>79.962295531999999</v>
      </c>
      <c r="E2134">
        <v>50</v>
      </c>
      <c r="F2134">
        <v>45.501922606999997</v>
      </c>
      <c r="G2134">
        <v>1378.5053711</v>
      </c>
      <c r="H2134">
        <v>1365.5897216999999</v>
      </c>
      <c r="I2134">
        <v>1284.6933594</v>
      </c>
      <c r="J2134">
        <v>1263.2718506000001</v>
      </c>
      <c r="K2134">
        <v>2400</v>
      </c>
      <c r="L2134">
        <v>0</v>
      </c>
      <c r="M2134">
        <v>0</v>
      </c>
      <c r="N2134">
        <v>2400</v>
      </c>
    </row>
    <row r="2135" spans="1:14" x14ac:dyDescent="0.25">
      <c r="A2135">
        <v>1602.1489939999999</v>
      </c>
      <c r="B2135" s="1">
        <f>DATE(2014,9,19) + TIME(3,34,33)</f>
        <v>41901.148993055554</v>
      </c>
      <c r="C2135">
        <v>80</v>
      </c>
      <c r="D2135">
        <v>79.962326050000001</v>
      </c>
      <c r="E2135">
        <v>50</v>
      </c>
      <c r="F2135">
        <v>45.549625397</v>
      </c>
      <c r="G2135">
        <v>1378.4509277</v>
      </c>
      <c r="H2135">
        <v>1365.5393065999999</v>
      </c>
      <c r="I2135">
        <v>1284.6279297000001</v>
      </c>
      <c r="J2135">
        <v>1263.1578368999999</v>
      </c>
      <c r="K2135">
        <v>2400</v>
      </c>
      <c r="L2135">
        <v>0</v>
      </c>
      <c r="M2135">
        <v>0</v>
      </c>
      <c r="N2135">
        <v>2400</v>
      </c>
    </row>
    <row r="2136" spans="1:14" x14ac:dyDescent="0.25">
      <c r="A2136">
        <v>1604.3548290000001</v>
      </c>
      <c r="B2136" s="1">
        <f>DATE(2014,9,21) + TIME(8,30,57)</f>
        <v>41903.354826388888</v>
      </c>
      <c r="C2136">
        <v>80</v>
      </c>
      <c r="D2136">
        <v>79.962364196999999</v>
      </c>
      <c r="E2136">
        <v>50</v>
      </c>
      <c r="F2136">
        <v>45.608528137</v>
      </c>
      <c r="G2136">
        <v>1378.3963623</v>
      </c>
      <c r="H2136">
        <v>1365.4886475000001</v>
      </c>
      <c r="I2136">
        <v>1284.5645752</v>
      </c>
      <c r="J2136">
        <v>1263.0472411999999</v>
      </c>
      <c r="K2136">
        <v>2400</v>
      </c>
      <c r="L2136">
        <v>0</v>
      </c>
      <c r="M2136">
        <v>0</v>
      </c>
      <c r="N2136">
        <v>2400</v>
      </c>
    </row>
    <row r="2137" spans="1:14" x14ac:dyDescent="0.25">
      <c r="A2137">
        <v>1606.563555</v>
      </c>
      <c r="B2137" s="1">
        <f>DATE(2014,9,23) + TIME(13,31,31)</f>
        <v>41905.56355324074</v>
      </c>
      <c r="C2137">
        <v>80</v>
      </c>
      <c r="D2137">
        <v>79.962394713999998</v>
      </c>
      <c r="E2137">
        <v>50</v>
      </c>
      <c r="F2137">
        <v>45.679092406999999</v>
      </c>
      <c r="G2137">
        <v>1378.3419189000001</v>
      </c>
      <c r="H2137">
        <v>1365.4379882999999</v>
      </c>
      <c r="I2137">
        <v>1284.5039062000001</v>
      </c>
      <c r="J2137">
        <v>1262.9412841999999</v>
      </c>
      <c r="K2137">
        <v>2400</v>
      </c>
      <c r="L2137">
        <v>0</v>
      </c>
      <c r="M2137">
        <v>0</v>
      </c>
      <c r="N2137">
        <v>2400</v>
      </c>
    </row>
    <row r="2138" spans="1:14" x14ac:dyDescent="0.25">
      <c r="A2138">
        <v>1608.783735</v>
      </c>
      <c r="B2138" s="1">
        <f>DATE(2014,9,25) + TIME(18,48,34)</f>
        <v>41907.783726851849</v>
      </c>
      <c r="C2138">
        <v>80</v>
      </c>
      <c r="D2138">
        <v>79.962432860999996</v>
      </c>
      <c r="E2138">
        <v>50</v>
      </c>
      <c r="F2138">
        <v>45.761760711999997</v>
      </c>
      <c r="G2138">
        <v>1378.2878418</v>
      </c>
      <c r="H2138">
        <v>1365.3876952999999</v>
      </c>
      <c r="I2138">
        <v>1284.4462891000001</v>
      </c>
      <c r="J2138">
        <v>1262.8406981999999</v>
      </c>
      <c r="K2138">
        <v>2400</v>
      </c>
      <c r="L2138">
        <v>0</v>
      </c>
      <c r="M2138">
        <v>0</v>
      </c>
      <c r="N2138">
        <v>2400</v>
      </c>
    </row>
    <row r="2139" spans="1:14" x14ac:dyDescent="0.25">
      <c r="A2139">
        <v>1611.023715</v>
      </c>
      <c r="B2139" s="1">
        <f>DATE(2014,9,28) + TIME(0,34,8)</f>
        <v>41910.0237037037</v>
      </c>
      <c r="C2139">
        <v>80</v>
      </c>
      <c r="D2139">
        <v>79.962471007999994</v>
      </c>
      <c r="E2139">
        <v>50</v>
      </c>
      <c r="F2139">
        <v>45.857299804999997</v>
      </c>
      <c r="G2139">
        <v>1378.2338867000001</v>
      </c>
      <c r="H2139">
        <v>1365.3374022999999</v>
      </c>
      <c r="I2139">
        <v>1284.3914795000001</v>
      </c>
      <c r="J2139">
        <v>1262.7454834</v>
      </c>
      <c r="K2139">
        <v>2400</v>
      </c>
      <c r="L2139">
        <v>0</v>
      </c>
      <c r="M2139">
        <v>0</v>
      </c>
      <c r="N2139">
        <v>2400</v>
      </c>
    </row>
    <row r="2140" spans="1:14" x14ac:dyDescent="0.25">
      <c r="A2140">
        <v>1613.2914020000001</v>
      </c>
      <c r="B2140" s="1">
        <f>DATE(2014,9,30) + TIME(6,59,37)</f>
        <v>41912.291400462964</v>
      </c>
      <c r="C2140">
        <v>80</v>
      </c>
      <c r="D2140">
        <v>79.962501525999997</v>
      </c>
      <c r="E2140">
        <v>50</v>
      </c>
      <c r="F2140">
        <v>45.966526031000001</v>
      </c>
      <c r="G2140">
        <v>1378.1799315999999</v>
      </c>
      <c r="H2140">
        <v>1365.2869873</v>
      </c>
      <c r="I2140">
        <v>1284.3394774999999</v>
      </c>
      <c r="J2140">
        <v>1262.6555175999999</v>
      </c>
      <c r="K2140">
        <v>2400</v>
      </c>
      <c r="L2140">
        <v>0</v>
      </c>
      <c r="M2140">
        <v>0</v>
      </c>
      <c r="N2140">
        <v>2400</v>
      </c>
    </row>
    <row r="2141" spans="1:14" x14ac:dyDescent="0.25">
      <c r="A2141">
        <v>1614</v>
      </c>
      <c r="B2141" s="1">
        <f>DATE(2014,10,1) + TIME(0,0,0)</f>
        <v>41913</v>
      </c>
      <c r="C2141">
        <v>80</v>
      </c>
      <c r="D2141">
        <v>79.962486267000003</v>
      </c>
      <c r="E2141">
        <v>50</v>
      </c>
      <c r="F2141">
        <v>46.046474457000002</v>
      </c>
      <c r="G2141">
        <v>1378.1466064000001</v>
      </c>
      <c r="H2141">
        <v>1365.2568358999999</v>
      </c>
      <c r="I2141">
        <v>1284.3063964999999</v>
      </c>
      <c r="J2141">
        <v>1262.5863036999999</v>
      </c>
      <c r="K2141">
        <v>2400</v>
      </c>
      <c r="L2141">
        <v>0</v>
      </c>
      <c r="M2141">
        <v>0</v>
      </c>
      <c r="N2141">
        <v>2400</v>
      </c>
    </row>
    <row r="2142" spans="1:14" x14ac:dyDescent="0.25">
      <c r="A2142">
        <v>1616.3040590000001</v>
      </c>
      <c r="B2142" s="1">
        <f>DATE(2014,10,3) + TIME(7,17,50)</f>
        <v>41915.304050925923</v>
      </c>
      <c r="C2142">
        <v>80</v>
      </c>
      <c r="D2142">
        <v>79.962554932000003</v>
      </c>
      <c r="E2142">
        <v>50</v>
      </c>
      <c r="F2142">
        <v>46.143459319999998</v>
      </c>
      <c r="G2142">
        <v>1378.1053466999999</v>
      </c>
      <c r="H2142">
        <v>1365.2170410000001</v>
      </c>
      <c r="I2142">
        <v>1284.2723389</v>
      </c>
      <c r="J2142">
        <v>1262.5433350000001</v>
      </c>
      <c r="K2142">
        <v>2400</v>
      </c>
      <c r="L2142">
        <v>0</v>
      </c>
      <c r="M2142">
        <v>0</v>
      </c>
      <c r="N2142">
        <v>2400</v>
      </c>
    </row>
    <row r="2143" spans="1:14" x14ac:dyDescent="0.25">
      <c r="A2143">
        <v>1618.670226</v>
      </c>
      <c r="B2143" s="1">
        <f>DATE(2014,10,5) + TIME(16,5,7)</f>
        <v>41917.670219907406</v>
      </c>
      <c r="C2143">
        <v>80</v>
      </c>
      <c r="D2143">
        <v>79.962593079000001</v>
      </c>
      <c r="E2143">
        <v>50</v>
      </c>
      <c r="F2143">
        <v>46.279987335000001</v>
      </c>
      <c r="G2143">
        <v>1378.0535889</v>
      </c>
      <c r="H2143">
        <v>1365.1687012</v>
      </c>
      <c r="I2143">
        <v>1284.2288818</v>
      </c>
      <c r="J2143">
        <v>1262.4680175999999</v>
      </c>
      <c r="K2143">
        <v>2400</v>
      </c>
      <c r="L2143">
        <v>0</v>
      </c>
      <c r="M2143">
        <v>0</v>
      </c>
      <c r="N2143">
        <v>2400</v>
      </c>
    </row>
    <row r="2144" spans="1:14" x14ac:dyDescent="0.25">
      <c r="A2144">
        <v>1621.0944030000001</v>
      </c>
      <c r="B2144" s="1">
        <f>DATE(2014,10,8) + TIME(2,15,56)</f>
        <v>41920.094398148147</v>
      </c>
      <c r="C2144">
        <v>80</v>
      </c>
      <c r="D2144">
        <v>79.962631225999999</v>
      </c>
      <c r="E2144">
        <v>50</v>
      </c>
      <c r="F2144">
        <v>46.440174102999997</v>
      </c>
      <c r="G2144">
        <v>1377.9992675999999</v>
      </c>
      <c r="H2144">
        <v>1365.1177978999999</v>
      </c>
      <c r="I2144">
        <v>1284.1861572</v>
      </c>
      <c r="J2144">
        <v>1262.3963623</v>
      </c>
      <c r="K2144">
        <v>2400</v>
      </c>
      <c r="L2144">
        <v>0</v>
      </c>
      <c r="M2144">
        <v>0</v>
      </c>
      <c r="N2144">
        <v>2400</v>
      </c>
    </row>
    <row r="2145" spans="1:14" x14ac:dyDescent="0.25">
      <c r="A2145">
        <v>1623.5849949999999</v>
      </c>
      <c r="B2145" s="1">
        <f>DATE(2014,10,10) + TIME(14,2,23)</f>
        <v>41922.584988425922</v>
      </c>
      <c r="C2145">
        <v>80</v>
      </c>
      <c r="D2145">
        <v>79.962669372999997</v>
      </c>
      <c r="E2145">
        <v>50</v>
      </c>
      <c r="F2145">
        <v>46.620532990000001</v>
      </c>
      <c r="G2145">
        <v>1377.9438477000001</v>
      </c>
      <c r="H2145">
        <v>1365.0656738</v>
      </c>
      <c r="I2145">
        <v>1284.1453856999999</v>
      </c>
      <c r="J2145">
        <v>1262.3298339999999</v>
      </c>
      <c r="K2145">
        <v>2400</v>
      </c>
      <c r="L2145">
        <v>0</v>
      </c>
      <c r="M2145">
        <v>0</v>
      </c>
      <c r="N2145">
        <v>2400</v>
      </c>
    </row>
    <row r="2146" spans="1:14" x14ac:dyDescent="0.25">
      <c r="A2146">
        <v>1626.0822390000001</v>
      </c>
      <c r="B2146" s="1">
        <f>DATE(2014,10,13) + TIME(1,58,25)</f>
        <v>41925.082233796296</v>
      </c>
      <c r="C2146">
        <v>80</v>
      </c>
      <c r="D2146">
        <v>79.962707519999995</v>
      </c>
      <c r="E2146">
        <v>50</v>
      </c>
      <c r="F2146">
        <v>46.819889068999998</v>
      </c>
      <c r="G2146">
        <v>1377.8878173999999</v>
      </c>
      <c r="H2146">
        <v>1365.0130615</v>
      </c>
      <c r="I2146">
        <v>1284.1072998</v>
      </c>
      <c r="J2146">
        <v>1262.2691649999999</v>
      </c>
      <c r="K2146">
        <v>2400</v>
      </c>
      <c r="L2146">
        <v>0</v>
      </c>
      <c r="M2146">
        <v>0</v>
      </c>
      <c r="N2146">
        <v>2400</v>
      </c>
    </row>
    <row r="2147" spans="1:14" x14ac:dyDescent="0.25">
      <c r="A2147">
        <v>1628.595501</v>
      </c>
      <c r="B2147" s="1">
        <f>DATE(2014,10,15) + TIME(14,17,31)</f>
        <v>41927.595497685186</v>
      </c>
      <c r="C2147">
        <v>80</v>
      </c>
      <c r="D2147">
        <v>79.962753296000002</v>
      </c>
      <c r="E2147">
        <v>50</v>
      </c>
      <c r="F2147">
        <v>47.035213470000002</v>
      </c>
      <c r="G2147">
        <v>1377.8319091999999</v>
      </c>
      <c r="H2147">
        <v>1364.9605713000001</v>
      </c>
      <c r="I2147">
        <v>1284.0723877</v>
      </c>
      <c r="J2147">
        <v>1262.2155762</v>
      </c>
      <c r="K2147">
        <v>2400</v>
      </c>
      <c r="L2147">
        <v>0</v>
      </c>
      <c r="M2147">
        <v>0</v>
      </c>
      <c r="N2147">
        <v>2400</v>
      </c>
    </row>
    <row r="2148" spans="1:14" x14ac:dyDescent="0.25">
      <c r="A2148">
        <v>1631.134358</v>
      </c>
      <c r="B2148" s="1">
        <f>DATE(2014,10,18) + TIME(3,13,28)</f>
        <v>41930.134351851855</v>
      </c>
      <c r="C2148">
        <v>80</v>
      </c>
      <c r="D2148">
        <v>79.962791443</v>
      </c>
      <c r="E2148">
        <v>50</v>
      </c>
      <c r="F2148">
        <v>47.265647887999997</v>
      </c>
      <c r="G2148">
        <v>1377.7762451000001</v>
      </c>
      <c r="H2148">
        <v>1364.9080810999999</v>
      </c>
      <c r="I2148">
        <v>1284.0404053</v>
      </c>
      <c r="J2148">
        <v>1262.1688231999999</v>
      </c>
      <c r="K2148">
        <v>2400</v>
      </c>
      <c r="L2148">
        <v>0</v>
      </c>
      <c r="M2148">
        <v>0</v>
      </c>
      <c r="N2148">
        <v>2400</v>
      </c>
    </row>
    <row r="2149" spans="1:14" x14ac:dyDescent="0.25">
      <c r="A2149">
        <v>1633.6863760000001</v>
      </c>
      <c r="B2149" s="1">
        <f>DATE(2014,10,20) + TIME(16,28,22)</f>
        <v>41932.686365740738</v>
      </c>
      <c r="C2149">
        <v>80</v>
      </c>
      <c r="D2149">
        <v>79.962829589999998</v>
      </c>
      <c r="E2149">
        <v>50</v>
      </c>
      <c r="F2149">
        <v>47.510440826</v>
      </c>
      <c r="G2149">
        <v>1377.7208252</v>
      </c>
      <c r="H2149">
        <v>1364.8558350000001</v>
      </c>
      <c r="I2149">
        <v>1284.0113524999999</v>
      </c>
      <c r="J2149">
        <v>1262.1285399999999</v>
      </c>
      <c r="K2149">
        <v>2400</v>
      </c>
      <c r="L2149">
        <v>0</v>
      </c>
      <c r="M2149">
        <v>0</v>
      </c>
      <c r="N2149">
        <v>2400</v>
      </c>
    </row>
    <row r="2150" spans="1:14" x14ac:dyDescent="0.25">
      <c r="A2150">
        <v>1636.2556689999999</v>
      </c>
      <c r="B2150" s="1">
        <f>DATE(2014,10,23) + TIME(6,8,9)</f>
        <v>41935.255659722221</v>
      </c>
      <c r="C2150">
        <v>80</v>
      </c>
      <c r="D2150">
        <v>79.962875366000006</v>
      </c>
      <c r="E2150">
        <v>50</v>
      </c>
      <c r="F2150">
        <v>47.767623901</v>
      </c>
      <c r="G2150">
        <v>1377.6657714999999</v>
      </c>
      <c r="H2150">
        <v>1364.8038329999999</v>
      </c>
      <c r="I2150">
        <v>1283.9851074000001</v>
      </c>
      <c r="J2150">
        <v>1262.0946045000001</v>
      </c>
      <c r="K2150">
        <v>2400</v>
      </c>
      <c r="L2150">
        <v>0</v>
      </c>
      <c r="M2150">
        <v>0</v>
      </c>
      <c r="N2150">
        <v>2400</v>
      </c>
    </row>
    <row r="2151" spans="1:14" x14ac:dyDescent="0.25">
      <c r="A2151">
        <v>1638.853566</v>
      </c>
      <c r="B2151" s="1">
        <f>DATE(2014,10,25) + TIME(20,29,8)</f>
        <v>41937.853564814817</v>
      </c>
      <c r="C2151">
        <v>80</v>
      </c>
      <c r="D2151">
        <v>79.962913513000004</v>
      </c>
      <c r="E2151">
        <v>50</v>
      </c>
      <c r="F2151">
        <v>48.036190032999997</v>
      </c>
      <c r="G2151">
        <v>1377.6110839999999</v>
      </c>
      <c r="H2151">
        <v>1364.7521973</v>
      </c>
      <c r="I2151">
        <v>1283.9614257999999</v>
      </c>
      <c r="J2151">
        <v>1262.0666504000001</v>
      </c>
      <c r="K2151">
        <v>2400</v>
      </c>
      <c r="L2151">
        <v>0</v>
      </c>
      <c r="M2151">
        <v>0</v>
      </c>
      <c r="N2151">
        <v>2400</v>
      </c>
    </row>
    <row r="2152" spans="1:14" x14ac:dyDescent="0.25">
      <c r="A2152">
        <v>1641.4920569999999</v>
      </c>
      <c r="B2152" s="1">
        <f>DATE(2014,10,28) + TIME(11,48,33)</f>
        <v>41940.492048611108</v>
      </c>
      <c r="C2152">
        <v>80</v>
      </c>
      <c r="D2152">
        <v>79.962959290000001</v>
      </c>
      <c r="E2152">
        <v>50</v>
      </c>
      <c r="F2152">
        <v>48.315906525000003</v>
      </c>
      <c r="G2152">
        <v>1377.5563964999999</v>
      </c>
      <c r="H2152">
        <v>1364.7004394999999</v>
      </c>
      <c r="I2152">
        <v>1283.9399414</v>
      </c>
      <c r="J2152">
        <v>1262.0440673999999</v>
      </c>
      <c r="K2152">
        <v>2400</v>
      </c>
      <c r="L2152">
        <v>0</v>
      </c>
      <c r="M2152">
        <v>0</v>
      </c>
      <c r="N2152">
        <v>2400</v>
      </c>
    </row>
    <row r="2153" spans="1:14" x14ac:dyDescent="0.25">
      <c r="A2153">
        <v>1644.184479</v>
      </c>
      <c r="B2153" s="1">
        <f>DATE(2014,10,31) + TIME(4,25,39)</f>
        <v>41943.184479166666</v>
      </c>
      <c r="C2153">
        <v>80</v>
      </c>
      <c r="D2153">
        <v>79.963005065999994</v>
      </c>
      <c r="E2153">
        <v>50</v>
      </c>
      <c r="F2153">
        <v>48.606193542</v>
      </c>
      <c r="G2153">
        <v>1377.5017089999999</v>
      </c>
      <c r="H2153">
        <v>1364.6486815999999</v>
      </c>
      <c r="I2153">
        <v>1283.9205322</v>
      </c>
      <c r="J2153">
        <v>1262.0263672000001</v>
      </c>
      <c r="K2153">
        <v>2400</v>
      </c>
      <c r="L2153">
        <v>0</v>
      </c>
      <c r="M2153">
        <v>0</v>
      </c>
      <c r="N2153">
        <v>2400</v>
      </c>
    </row>
    <row r="2154" spans="1:14" x14ac:dyDescent="0.25">
      <c r="A2154">
        <v>1645</v>
      </c>
      <c r="B2154" s="1">
        <f>DATE(2014,11,1) + TIME(0,0,0)</f>
        <v>41944</v>
      </c>
      <c r="C2154">
        <v>80</v>
      </c>
      <c r="D2154">
        <v>79.962989807</v>
      </c>
      <c r="E2154">
        <v>50</v>
      </c>
      <c r="F2154">
        <v>48.808689117</v>
      </c>
      <c r="G2154">
        <v>1377.4683838000001</v>
      </c>
      <c r="H2154">
        <v>1364.6180420000001</v>
      </c>
      <c r="I2154">
        <v>1283.9232178</v>
      </c>
      <c r="J2154">
        <v>1262.0180664</v>
      </c>
      <c r="K2154">
        <v>2400</v>
      </c>
      <c r="L2154">
        <v>0</v>
      </c>
      <c r="M2154">
        <v>0</v>
      </c>
      <c r="N2154">
        <v>2400</v>
      </c>
    </row>
    <row r="2155" spans="1:14" x14ac:dyDescent="0.25">
      <c r="A2155">
        <v>1645.0000010000001</v>
      </c>
      <c r="B2155" s="1">
        <f>DATE(2014,11,1) + TIME(0,0,0)</f>
        <v>41944</v>
      </c>
      <c r="C2155">
        <v>80</v>
      </c>
      <c r="D2155">
        <v>79.962959290000001</v>
      </c>
      <c r="E2155">
        <v>50</v>
      </c>
      <c r="F2155">
        <v>48.808708191000001</v>
      </c>
      <c r="G2155">
        <v>1364.6080322</v>
      </c>
      <c r="H2155">
        <v>1352.1450195</v>
      </c>
      <c r="I2155">
        <v>1305.8597411999999</v>
      </c>
      <c r="J2155">
        <v>1283.9342041</v>
      </c>
      <c r="K2155">
        <v>0</v>
      </c>
      <c r="L2155">
        <v>2400</v>
      </c>
      <c r="M2155">
        <v>2400</v>
      </c>
      <c r="N2155">
        <v>0</v>
      </c>
    </row>
    <row r="2156" spans="1:14" x14ac:dyDescent="0.25">
      <c r="A2156">
        <v>1645.000004</v>
      </c>
      <c r="B2156" s="1">
        <f>DATE(2014,11,1) + TIME(0,0,0)</f>
        <v>41944</v>
      </c>
      <c r="C2156">
        <v>80</v>
      </c>
      <c r="D2156">
        <v>79.962860106999997</v>
      </c>
      <c r="E2156">
        <v>50</v>
      </c>
      <c r="F2156">
        <v>48.808765411000003</v>
      </c>
      <c r="G2156">
        <v>1364.578125</v>
      </c>
      <c r="H2156">
        <v>1352.1149902</v>
      </c>
      <c r="I2156">
        <v>1305.8896483999999</v>
      </c>
      <c r="J2156">
        <v>1283.9672852000001</v>
      </c>
      <c r="K2156">
        <v>0</v>
      </c>
      <c r="L2156">
        <v>2400</v>
      </c>
      <c r="M2156">
        <v>2400</v>
      </c>
      <c r="N2156">
        <v>0</v>
      </c>
    </row>
    <row r="2157" spans="1:14" x14ac:dyDescent="0.25">
      <c r="A2157">
        <v>1645.0000130000001</v>
      </c>
      <c r="B2157" s="1">
        <f>DATE(2014,11,1) + TIME(0,0,1)</f>
        <v>41944.000011574077</v>
      </c>
      <c r="C2157">
        <v>80</v>
      </c>
      <c r="D2157">
        <v>79.962577820000007</v>
      </c>
      <c r="E2157">
        <v>50</v>
      </c>
      <c r="F2157">
        <v>48.808937073000003</v>
      </c>
      <c r="G2157">
        <v>1364.4887695</v>
      </c>
      <c r="H2157">
        <v>1352.0256348</v>
      </c>
      <c r="I2157">
        <v>1305.9787598</v>
      </c>
      <c r="J2157">
        <v>1284.065918</v>
      </c>
      <c r="K2157">
        <v>0</v>
      </c>
      <c r="L2157">
        <v>2400</v>
      </c>
      <c r="M2157">
        <v>2400</v>
      </c>
      <c r="N2157">
        <v>0</v>
      </c>
    </row>
    <row r="2158" spans="1:14" x14ac:dyDescent="0.25">
      <c r="A2158">
        <v>1645.0000399999999</v>
      </c>
      <c r="B2158" s="1">
        <f>DATE(2014,11,1) + TIME(0,0,3)</f>
        <v>41944.000034722223</v>
      </c>
      <c r="C2158">
        <v>80</v>
      </c>
      <c r="D2158">
        <v>79.961730957</v>
      </c>
      <c r="E2158">
        <v>50</v>
      </c>
      <c r="F2158">
        <v>48.809444427000003</v>
      </c>
      <c r="G2158">
        <v>1364.2260742000001</v>
      </c>
      <c r="H2158">
        <v>1351.7625731999999</v>
      </c>
      <c r="I2158">
        <v>1306.2431641000001</v>
      </c>
      <c r="J2158">
        <v>1284.3580322</v>
      </c>
      <c r="K2158">
        <v>0</v>
      </c>
      <c r="L2158">
        <v>2400</v>
      </c>
      <c r="M2158">
        <v>2400</v>
      </c>
      <c r="N2158">
        <v>0</v>
      </c>
    </row>
    <row r="2159" spans="1:14" x14ac:dyDescent="0.25">
      <c r="A2159">
        <v>1645.000121</v>
      </c>
      <c r="B2159" s="1">
        <f>DATE(2014,11,1) + TIME(0,0,10)</f>
        <v>41944.000115740739</v>
      </c>
      <c r="C2159">
        <v>80</v>
      </c>
      <c r="D2159">
        <v>79.959342957000004</v>
      </c>
      <c r="E2159">
        <v>50</v>
      </c>
      <c r="F2159">
        <v>48.810916900999999</v>
      </c>
      <c r="G2159">
        <v>1363.4804687999999</v>
      </c>
      <c r="H2159">
        <v>1351.0163574000001</v>
      </c>
      <c r="I2159">
        <v>1307.010376</v>
      </c>
      <c r="J2159">
        <v>1285.2030029</v>
      </c>
      <c r="K2159">
        <v>0</v>
      </c>
      <c r="L2159">
        <v>2400</v>
      </c>
      <c r="M2159">
        <v>2400</v>
      </c>
      <c r="N2159">
        <v>0</v>
      </c>
    </row>
    <row r="2160" spans="1:14" x14ac:dyDescent="0.25">
      <c r="A2160">
        <v>1645.000364</v>
      </c>
      <c r="B2160" s="1">
        <f>DATE(2014,11,1) + TIME(0,0,31)</f>
        <v>41944.000358796293</v>
      </c>
      <c r="C2160">
        <v>80</v>
      </c>
      <c r="D2160">
        <v>79.953170775999993</v>
      </c>
      <c r="E2160">
        <v>50</v>
      </c>
      <c r="F2160">
        <v>48.814960480000003</v>
      </c>
      <c r="G2160">
        <v>1361.5582274999999</v>
      </c>
      <c r="H2160">
        <v>1349.0924072</v>
      </c>
      <c r="I2160">
        <v>1309.1071777</v>
      </c>
      <c r="J2160">
        <v>1287.4893798999999</v>
      </c>
      <c r="K2160">
        <v>0</v>
      </c>
      <c r="L2160">
        <v>2400</v>
      </c>
      <c r="M2160">
        <v>2400</v>
      </c>
      <c r="N2160">
        <v>0</v>
      </c>
    </row>
    <row r="2161" spans="1:14" x14ac:dyDescent="0.25">
      <c r="A2161">
        <v>1645.0010930000001</v>
      </c>
      <c r="B2161" s="1">
        <f>DATE(2014,11,1) + TIME(0,1,34)</f>
        <v>41944.001087962963</v>
      </c>
      <c r="C2161">
        <v>80</v>
      </c>
      <c r="D2161">
        <v>79.940223693999997</v>
      </c>
      <c r="E2161">
        <v>50</v>
      </c>
      <c r="F2161">
        <v>48.824718474999997</v>
      </c>
      <c r="G2161">
        <v>1357.5246582</v>
      </c>
      <c r="H2161">
        <v>1345.0559082</v>
      </c>
      <c r="I2161">
        <v>1314.0683594</v>
      </c>
      <c r="J2161">
        <v>1292.7784423999999</v>
      </c>
      <c r="K2161">
        <v>0</v>
      </c>
      <c r="L2161">
        <v>2400</v>
      </c>
      <c r="M2161">
        <v>2400</v>
      </c>
      <c r="N2161">
        <v>0</v>
      </c>
    </row>
    <row r="2162" spans="1:14" x14ac:dyDescent="0.25">
      <c r="A2162">
        <v>1645.0032799999999</v>
      </c>
      <c r="B2162" s="1">
        <f>DATE(2014,11,1) + TIME(0,4,43)</f>
        <v>41944.003275462965</v>
      </c>
      <c r="C2162">
        <v>80</v>
      </c>
      <c r="D2162">
        <v>79.920219420999999</v>
      </c>
      <c r="E2162">
        <v>50</v>
      </c>
      <c r="F2162">
        <v>48.842395781999997</v>
      </c>
      <c r="G2162">
        <v>1351.3411865</v>
      </c>
      <c r="H2162">
        <v>1338.8701172000001</v>
      </c>
      <c r="I2162">
        <v>1323.0426024999999</v>
      </c>
      <c r="J2162">
        <v>1301.9953613</v>
      </c>
      <c r="K2162">
        <v>0</v>
      </c>
      <c r="L2162">
        <v>2400</v>
      </c>
      <c r="M2162">
        <v>2400</v>
      </c>
      <c r="N2162">
        <v>0</v>
      </c>
    </row>
    <row r="2163" spans="1:14" x14ac:dyDescent="0.25">
      <c r="A2163">
        <v>1645.0098410000001</v>
      </c>
      <c r="B2163" s="1">
        <f>DATE(2014,11,1) + TIME(0,14,10)</f>
        <v>41944.009837962964</v>
      </c>
      <c r="C2163">
        <v>80</v>
      </c>
      <c r="D2163">
        <v>79.896743774000001</v>
      </c>
      <c r="E2163">
        <v>50</v>
      </c>
      <c r="F2163">
        <v>48.870559692</v>
      </c>
      <c r="G2163">
        <v>1344.2244873</v>
      </c>
      <c r="H2163">
        <v>1331.7518310999999</v>
      </c>
      <c r="I2163">
        <v>1334.8312988</v>
      </c>
      <c r="J2163">
        <v>1313.7763672000001</v>
      </c>
      <c r="K2163">
        <v>0</v>
      </c>
      <c r="L2163">
        <v>2400</v>
      </c>
      <c r="M2163">
        <v>2400</v>
      </c>
      <c r="N2163">
        <v>0</v>
      </c>
    </row>
    <row r="2164" spans="1:14" x14ac:dyDescent="0.25">
      <c r="A2164">
        <v>1645.029524</v>
      </c>
      <c r="B2164" s="1">
        <f>DATE(2014,11,1) + TIME(0,42,30)</f>
        <v>41944.029513888891</v>
      </c>
      <c r="C2164">
        <v>80</v>
      </c>
      <c r="D2164">
        <v>79.871543884000005</v>
      </c>
      <c r="E2164">
        <v>50</v>
      </c>
      <c r="F2164">
        <v>48.918266295999999</v>
      </c>
      <c r="G2164">
        <v>1336.9875488</v>
      </c>
      <c r="H2164">
        <v>1324.510376</v>
      </c>
      <c r="I2164">
        <v>1347.3696289</v>
      </c>
      <c r="J2164">
        <v>1326.2180175999999</v>
      </c>
      <c r="K2164">
        <v>0</v>
      </c>
      <c r="L2164">
        <v>2400</v>
      </c>
      <c r="M2164">
        <v>2400</v>
      </c>
      <c r="N2164">
        <v>0</v>
      </c>
    </row>
    <row r="2165" spans="1:14" x14ac:dyDescent="0.25">
      <c r="A2165">
        <v>1645.083073</v>
      </c>
      <c r="B2165" s="1">
        <f>DATE(2014,11,1) + TIME(1,59,37)</f>
        <v>41944.083067129628</v>
      </c>
      <c r="C2165">
        <v>80</v>
      </c>
      <c r="D2165">
        <v>79.844062804999993</v>
      </c>
      <c r="E2165">
        <v>50</v>
      </c>
      <c r="F2165">
        <v>49.007694244</v>
      </c>
      <c r="G2165">
        <v>1330.0360106999999</v>
      </c>
      <c r="H2165">
        <v>1317.5336914</v>
      </c>
      <c r="I2165">
        <v>1359.3073730000001</v>
      </c>
      <c r="J2165">
        <v>1338.0750731999999</v>
      </c>
      <c r="K2165">
        <v>0</v>
      </c>
      <c r="L2165">
        <v>2400</v>
      </c>
      <c r="M2165">
        <v>2400</v>
      </c>
      <c r="N2165">
        <v>0</v>
      </c>
    </row>
    <row r="2166" spans="1:14" x14ac:dyDescent="0.25">
      <c r="A2166">
        <v>1645.1408980000001</v>
      </c>
      <c r="B2166" s="1">
        <f>DATE(2014,11,1) + TIME(3,22,53)</f>
        <v>41944.1408912037</v>
      </c>
      <c r="C2166">
        <v>80</v>
      </c>
      <c r="D2166">
        <v>79.824943542</v>
      </c>
      <c r="E2166">
        <v>50</v>
      </c>
      <c r="F2166">
        <v>49.088428497000002</v>
      </c>
      <c r="G2166">
        <v>1326.0155029</v>
      </c>
      <c r="H2166">
        <v>1313.4862060999999</v>
      </c>
      <c r="I2166">
        <v>1366.0152588000001</v>
      </c>
      <c r="J2166">
        <v>1344.7573242000001</v>
      </c>
      <c r="K2166">
        <v>0</v>
      </c>
      <c r="L2166">
        <v>2400</v>
      </c>
      <c r="M2166">
        <v>2400</v>
      </c>
      <c r="N2166">
        <v>0</v>
      </c>
    </row>
    <row r="2167" spans="1:14" x14ac:dyDescent="0.25">
      <c r="A2167">
        <v>1645.2023220000001</v>
      </c>
      <c r="B2167" s="1">
        <f>DATE(2014,11,1) + TIME(4,51,20)</f>
        <v>41944.202314814815</v>
      </c>
      <c r="C2167">
        <v>80</v>
      </c>
      <c r="D2167">
        <v>79.809028624999996</v>
      </c>
      <c r="E2167">
        <v>50</v>
      </c>
      <c r="F2167">
        <v>49.163867949999997</v>
      </c>
      <c r="G2167">
        <v>1323.1925048999999</v>
      </c>
      <c r="H2167">
        <v>1310.6405029</v>
      </c>
      <c r="I2167">
        <v>1370.5546875</v>
      </c>
      <c r="J2167">
        <v>1349.3062743999999</v>
      </c>
      <c r="K2167">
        <v>0</v>
      </c>
      <c r="L2167">
        <v>2400</v>
      </c>
      <c r="M2167">
        <v>2400</v>
      </c>
      <c r="N2167">
        <v>0</v>
      </c>
    </row>
    <row r="2168" spans="1:14" x14ac:dyDescent="0.25">
      <c r="A2168">
        <v>1645.2672950000001</v>
      </c>
      <c r="B2168" s="1">
        <f>DATE(2014,11,1) + TIME(6,24,54)</f>
        <v>41944.267291666663</v>
      </c>
      <c r="C2168">
        <v>80</v>
      </c>
      <c r="D2168">
        <v>79.794593810999999</v>
      </c>
      <c r="E2168">
        <v>50</v>
      </c>
      <c r="F2168">
        <v>49.235126495000003</v>
      </c>
      <c r="G2168">
        <v>1320.9959716999999</v>
      </c>
      <c r="H2168">
        <v>1308.4263916</v>
      </c>
      <c r="I2168">
        <v>1373.9588623</v>
      </c>
      <c r="J2168">
        <v>1352.7418213000001</v>
      </c>
      <c r="K2168">
        <v>0</v>
      </c>
      <c r="L2168">
        <v>2400</v>
      </c>
      <c r="M2168">
        <v>2400</v>
      </c>
      <c r="N2168">
        <v>0</v>
      </c>
    </row>
    <row r="2169" spans="1:14" x14ac:dyDescent="0.25">
      <c r="A2169">
        <v>1645.336022</v>
      </c>
      <c r="B2169" s="1">
        <f>DATE(2014,11,1) + TIME(8,3,52)</f>
        <v>41944.336018518516</v>
      </c>
      <c r="C2169">
        <v>80</v>
      </c>
      <c r="D2169">
        <v>79.780921935999999</v>
      </c>
      <c r="E2169">
        <v>50</v>
      </c>
      <c r="F2169">
        <v>49.302684784</v>
      </c>
      <c r="G2169">
        <v>1319.1865233999999</v>
      </c>
      <c r="H2169">
        <v>1306.6037598</v>
      </c>
      <c r="I2169">
        <v>1376.6708983999999</v>
      </c>
      <c r="J2169">
        <v>1355.4989014</v>
      </c>
      <c r="K2169">
        <v>0</v>
      </c>
      <c r="L2169">
        <v>2400</v>
      </c>
      <c r="M2169">
        <v>2400</v>
      </c>
      <c r="N2169">
        <v>0</v>
      </c>
    </row>
    <row r="2170" spans="1:14" x14ac:dyDescent="0.25">
      <c r="A2170">
        <v>1645.408856</v>
      </c>
      <c r="B2170" s="1">
        <f>DATE(2014,11,1) + TIME(9,48,45)</f>
        <v>41944.408854166664</v>
      </c>
      <c r="C2170">
        <v>80</v>
      </c>
      <c r="D2170">
        <v>79.767608643000003</v>
      </c>
      <c r="E2170">
        <v>50</v>
      </c>
      <c r="F2170">
        <v>49.366821289000001</v>
      </c>
      <c r="G2170">
        <v>1317.6431885</v>
      </c>
      <c r="H2170">
        <v>1305.0504149999999</v>
      </c>
      <c r="I2170">
        <v>1378.9169922000001</v>
      </c>
      <c r="J2170">
        <v>1357.7987060999999</v>
      </c>
      <c r="K2170">
        <v>0</v>
      </c>
      <c r="L2170">
        <v>2400</v>
      </c>
      <c r="M2170">
        <v>2400</v>
      </c>
      <c r="N2170">
        <v>0</v>
      </c>
    </row>
    <row r="2171" spans="1:14" x14ac:dyDescent="0.25">
      <c r="A2171">
        <v>1645.4862740000001</v>
      </c>
      <c r="B2171" s="1">
        <f>DATE(2014,11,1) + TIME(11,40,14)</f>
        <v>41944.486273148148</v>
      </c>
      <c r="C2171">
        <v>80</v>
      </c>
      <c r="D2171">
        <v>79.754409789999997</v>
      </c>
      <c r="E2171">
        <v>50</v>
      </c>
      <c r="F2171">
        <v>49.427703856999997</v>
      </c>
      <c r="G2171">
        <v>1316.2956543</v>
      </c>
      <c r="H2171">
        <v>1303.6950684000001</v>
      </c>
      <c r="I2171">
        <v>1380.8275146000001</v>
      </c>
      <c r="J2171">
        <v>1359.7684326000001</v>
      </c>
      <c r="K2171">
        <v>0</v>
      </c>
      <c r="L2171">
        <v>2400</v>
      </c>
      <c r="M2171">
        <v>2400</v>
      </c>
      <c r="N2171">
        <v>0</v>
      </c>
    </row>
    <row r="2172" spans="1:14" x14ac:dyDescent="0.25">
      <c r="A2172">
        <v>1645.56888</v>
      </c>
      <c r="B2172" s="1">
        <f>DATE(2014,11,1) + TIME(13,39,11)</f>
        <v>41944.568877314814</v>
      </c>
      <c r="C2172">
        <v>80</v>
      </c>
      <c r="D2172">
        <v>79.741127014</v>
      </c>
      <c r="E2172">
        <v>50</v>
      </c>
      <c r="F2172">
        <v>49.485454558999997</v>
      </c>
      <c r="G2172">
        <v>1315.0983887</v>
      </c>
      <c r="H2172">
        <v>1302.4918213000001</v>
      </c>
      <c r="I2172">
        <v>1382.4854736</v>
      </c>
      <c r="J2172">
        <v>1361.4888916</v>
      </c>
      <c r="K2172">
        <v>0</v>
      </c>
      <c r="L2172">
        <v>2400</v>
      </c>
      <c r="M2172">
        <v>2400</v>
      </c>
      <c r="N2172">
        <v>0</v>
      </c>
    </row>
    <row r="2173" spans="1:14" x14ac:dyDescent="0.25">
      <c r="A2173">
        <v>1645.6574350000001</v>
      </c>
      <c r="B2173" s="1">
        <f>DATE(2014,11,1) + TIME(15,46,42)</f>
        <v>41944.657430555555</v>
      </c>
      <c r="C2173">
        <v>80</v>
      </c>
      <c r="D2173">
        <v>79.727592467999997</v>
      </c>
      <c r="E2173">
        <v>50</v>
      </c>
      <c r="F2173">
        <v>49.540172577</v>
      </c>
      <c r="G2173">
        <v>1314.0196533000001</v>
      </c>
      <c r="H2173">
        <v>1301.4082031</v>
      </c>
      <c r="I2173">
        <v>1383.9468993999999</v>
      </c>
      <c r="J2173">
        <v>1363.0147704999999</v>
      </c>
      <c r="K2173">
        <v>0</v>
      </c>
      <c r="L2173">
        <v>2400</v>
      </c>
      <c r="M2173">
        <v>2400</v>
      </c>
      <c r="N2173">
        <v>0</v>
      </c>
    </row>
    <row r="2174" spans="1:14" x14ac:dyDescent="0.25">
      <c r="A2174">
        <v>1645.752892</v>
      </c>
      <c r="B2174" s="1">
        <f>DATE(2014,11,1) + TIME(18,4,9)</f>
        <v>41944.752881944441</v>
      </c>
      <c r="C2174">
        <v>80</v>
      </c>
      <c r="D2174">
        <v>79.713661193999997</v>
      </c>
      <c r="E2174">
        <v>50</v>
      </c>
      <c r="F2174">
        <v>49.591922760000003</v>
      </c>
      <c r="G2174">
        <v>1313.0357666</v>
      </c>
      <c r="H2174">
        <v>1300.4205322</v>
      </c>
      <c r="I2174">
        <v>1385.2520752</v>
      </c>
      <c r="J2174">
        <v>1364.3854980000001</v>
      </c>
      <c r="K2174">
        <v>0</v>
      </c>
      <c r="L2174">
        <v>2400</v>
      </c>
      <c r="M2174">
        <v>2400</v>
      </c>
      <c r="N2174">
        <v>0</v>
      </c>
    </row>
    <row r="2175" spans="1:14" x14ac:dyDescent="0.25">
      <c r="A2175">
        <v>1645.8564610000001</v>
      </c>
      <c r="B2175" s="1">
        <f>DATE(2014,11,1) + TIME(20,33,18)</f>
        <v>41944.856458333335</v>
      </c>
      <c r="C2175">
        <v>80</v>
      </c>
      <c r="D2175">
        <v>79.699165343999994</v>
      </c>
      <c r="E2175">
        <v>50</v>
      </c>
      <c r="F2175">
        <v>49.640750885000003</v>
      </c>
      <c r="G2175">
        <v>1312.1289062000001</v>
      </c>
      <c r="H2175">
        <v>1299.5104980000001</v>
      </c>
      <c r="I2175">
        <v>1386.4309082</v>
      </c>
      <c r="J2175">
        <v>1365.630249</v>
      </c>
      <c r="K2175">
        <v>0</v>
      </c>
      <c r="L2175">
        <v>2400</v>
      </c>
      <c r="M2175">
        <v>2400</v>
      </c>
      <c r="N2175">
        <v>0</v>
      </c>
    </row>
    <row r="2176" spans="1:14" x14ac:dyDescent="0.25">
      <c r="A2176">
        <v>1645.9696690000001</v>
      </c>
      <c r="B2176" s="1">
        <f>DATE(2014,11,1) + TIME(23,16,19)</f>
        <v>41944.969664351855</v>
      </c>
      <c r="C2176">
        <v>80</v>
      </c>
      <c r="D2176">
        <v>79.683921814000001</v>
      </c>
      <c r="E2176">
        <v>50</v>
      </c>
      <c r="F2176">
        <v>49.686676024999997</v>
      </c>
      <c r="G2176">
        <v>1311.2844238</v>
      </c>
      <c r="H2176">
        <v>1298.6635742000001</v>
      </c>
      <c r="I2176">
        <v>1387.5062256000001</v>
      </c>
      <c r="J2176">
        <v>1366.7713623</v>
      </c>
      <c r="K2176">
        <v>0</v>
      </c>
      <c r="L2176">
        <v>2400</v>
      </c>
      <c r="M2176">
        <v>2400</v>
      </c>
      <c r="N2176">
        <v>0</v>
      </c>
    </row>
    <row r="2177" spans="1:14" x14ac:dyDescent="0.25">
      <c r="A2177">
        <v>1646.094578</v>
      </c>
      <c r="B2177" s="1">
        <f>DATE(2014,11,2) + TIME(2,16,11)</f>
        <v>41945.094571759262</v>
      </c>
      <c r="C2177">
        <v>80</v>
      </c>
      <c r="D2177">
        <v>79.667716979999994</v>
      </c>
      <c r="E2177">
        <v>50</v>
      </c>
      <c r="F2177">
        <v>49.729705811000002</v>
      </c>
      <c r="G2177">
        <v>1310.4906006000001</v>
      </c>
      <c r="H2177">
        <v>1297.8675536999999</v>
      </c>
      <c r="I2177">
        <v>1388.496582</v>
      </c>
      <c r="J2177">
        <v>1367.8273925999999</v>
      </c>
      <c r="K2177">
        <v>0</v>
      </c>
      <c r="L2177">
        <v>2400</v>
      </c>
      <c r="M2177">
        <v>2400</v>
      </c>
      <c r="N2177">
        <v>0</v>
      </c>
    </row>
    <row r="2178" spans="1:14" x14ac:dyDescent="0.25">
      <c r="A2178">
        <v>1646.233923</v>
      </c>
      <c r="B2178" s="1">
        <f>DATE(2014,11,2) + TIME(5,36,50)</f>
        <v>41945.233912037038</v>
      </c>
      <c r="C2178">
        <v>80</v>
      </c>
      <c r="D2178">
        <v>79.650276184000006</v>
      </c>
      <c r="E2178">
        <v>50</v>
      </c>
      <c r="F2178">
        <v>49.769824982000003</v>
      </c>
      <c r="G2178">
        <v>1309.7370605000001</v>
      </c>
      <c r="H2178">
        <v>1297.1121826000001</v>
      </c>
      <c r="I2178">
        <v>1389.4167480000001</v>
      </c>
      <c r="J2178">
        <v>1368.8127440999999</v>
      </c>
      <c r="K2178">
        <v>0</v>
      </c>
      <c r="L2178">
        <v>2400</v>
      </c>
      <c r="M2178">
        <v>2400</v>
      </c>
      <c r="N2178">
        <v>0</v>
      </c>
    </row>
    <row r="2179" spans="1:14" x14ac:dyDescent="0.25">
      <c r="A2179">
        <v>1646.3914789999999</v>
      </c>
      <c r="B2179" s="1">
        <f>DATE(2014,11,2) + TIME(9,23,43)</f>
        <v>41945.391469907408</v>
      </c>
      <c r="C2179">
        <v>80</v>
      </c>
      <c r="D2179">
        <v>79.631271362000007</v>
      </c>
      <c r="E2179">
        <v>50</v>
      </c>
      <c r="F2179">
        <v>49.806983948000003</v>
      </c>
      <c r="G2179">
        <v>1309.0152588000001</v>
      </c>
      <c r="H2179">
        <v>1296.3886719</v>
      </c>
      <c r="I2179">
        <v>1390.2790527</v>
      </c>
      <c r="J2179">
        <v>1369.7395019999999</v>
      </c>
      <c r="K2179">
        <v>0</v>
      </c>
      <c r="L2179">
        <v>2400</v>
      </c>
      <c r="M2179">
        <v>2400</v>
      </c>
      <c r="N2179">
        <v>0</v>
      </c>
    </row>
    <row r="2180" spans="1:14" x14ac:dyDescent="0.25">
      <c r="A2180">
        <v>1646.572635</v>
      </c>
      <c r="B2180" s="1">
        <f>DATE(2014,11,2) + TIME(13,44,35)</f>
        <v>41945.572627314818</v>
      </c>
      <c r="C2180">
        <v>80</v>
      </c>
      <c r="D2180">
        <v>79.610221863000007</v>
      </c>
      <c r="E2180">
        <v>50</v>
      </c>
      <c r="F2180">
        <v>49.841102599999999</v>
      </c>
      <c r="G2180">
        <v>1308.3175048999999</v>
      </c>
      <c r="H2180">
        <v>1295.6894531</v>
      </c>
      <c r="I2180">
        <v>1391.0932617000001</v>
      </c>
      <c r="J2180">
        <v>1370.6176757999999</v>
      </c>
      <c r="K2180">
        <v>0</v>
      </c>
      <c r="L2180">
        <v>2400</v>
      </c>
      <c r="M2180">
        <v>2400</v>
      </c>
      <c r="N2180">
        <v>0</v>
      </c>
    </row>
    <row r="2181" spans="1:14" x14ac:dyDescent="0.25">
      <c r="A2181">
        <v>1646.7854110000001</v>
      </c>
      <c r="B2181" s="1">
        <f>DATE(2014,11,2) + TIME(18,50,59)</f>
        <v>41945.785405092596</v>
      </c>
      <c r="C2181">
        <v>80</v>
      </c>
      <c r="D2181">
        <v>79.586494446000003</v>
      </c>
      <c r="E2181">
        <v>50</v>
      </c>
      <c r="F2181">
        <v>49.872058868000003</v>
      </c>
      <c r="G2181">
        <v>1307.6369629000001</v>
      </c>
      <c r="H2181">
        <v>1295.0074463000001</v>
      </c>
      <c r="I2181">
        <v>1391.8676757999999</v>
      </c>
      <c r="J2181">
        <v>1371.4553223</v>
      </c>
      <c r="K2181">
        <v>0</v>
      </c>
      <c r="L2181">
        <v>2400</v>
      </c>
      <c r="M2181">
        <v>2400</v>
      </c>
      <c r="N2181">
        <v>0</v>
      </c>
    </row>
    <row r="2182" spans="1:14" x14ac:dyDescent="0.25">
      <c r="A2182">
        <v>1647.013164</v>
      </c>
      <c r="B2182" s="1">
        <f>DATE(2014,11,3) + TIME(0,18,57)</f>
        <v>41946.013159722221</v>
      </c>
      <c r="C2182">
        <v>80</v>
      </c>
      <c r="D2182">
        <v>79.561500549000002</v>
      </c>
      <c r="E2182">
        <v>50</v>
      </c>
      <c r="F2182">
        <v>49.897270202999998</v>
      </c>
      <c r="G2182">
        <v>1307.0310059000001</v>
      </c>
      <c r="H2182">
        <v>1294.4002685999999</v>
      </c>
      <c r="I2182">
        <v>1392.5361327999999</v>
      </c>
      <c r="J2182">
        <v>1372.1813964999999</v>
      </c>
      <c r="K2182">
        <v>0</v>
      </c>
      <c r="L2182">
        <v>2400</v>
      </c>
      <c r="M2182">
        <v>2400</v>
      </c>
      <c r="N2182">
        <v>0</v>
      </c>
    </row>
    <row r="2183" spans="1:14" x14ac:dyDescent="0.25">
      <c r="A2183">
        <v>1647.243504</v>
      </c>
      <c r="B2183" s="1">
        <f>DATE(2014,11,3) + TIME(5,50,38)</f>
        <v>41946.243495370371</v>
      </c>
      <c r="C2183">
        <v>80</v>
      </c>
      <c r="D2183">
        <v>79.536270142000006</v>
      </c>
      <c r="E2183">
        <v>50</v>
      </c>
      <c r="F2183">
        <v>49.916641235</v>
      </c>
      <c r="G2183">
        <v>1306.5172118999999</v>
      </c>
      <c r="H2183">
        <v>1293.885376</v>
      </c>
      <c r="I2183">
        <v>1393.0848389</v>
      </c>
      <c r="J2183">
        <v>1372.7803954999999</v>
      </c>
      <c r="K2183">
        <v>0</v>
      </c>
      <c r="L2183">
        <v>2400</v>
      </c>
      <c r="M2183">
        <v>2400</v>
      </c>
      <c r="N2183">
        <v>0</v>
      </c>
    </row>
    <row r="2184" spans="1:14" x14ac:dyDescent="0.25">
      <c r="A2184">
        <v>1647.4803959999999</v>
      </c>
      <c r="B2184" s="1">
        <f>DATE(2014,11,3) + TIME(11,31,46)</f>
        <v>41946.480393518519</v>
      </c>
      <c r="C2184">
        <v>80</v>
      </c>
      <c r="D2184">
        <v>79.510536193999997</v>
      </c>
      <c r="E2184">
        <v>50</v>
      </c>
      <c r="F2184">
        <v>49.931682586999997</v>
      </c>
      <c r="G2184">
        <v>1306.0727539</v>
      </c>
      <c r="H2184">
        <v>1293.4398193</v>
      </c>
      <c r="I2184">
        <v>1393.5451660000001</v>
      </c>
      <c r="J2184">
        <v>1373.2850341999999</v>
      </c>
      <c r="K2184">
        <v>0</v>
      </c>
      <c r="L2184">
        <v>2400</v>
      </c>
      <c r="M2184">
        <v>2400</v>
      </c>
      <c r="N2184">
        <v>0</v>
      </c>
    </row>
    <row r="2185" spans="1:14" x14ac:dyDescent="0.25">
      <c r="A2185">
        <v>1647.7263439999999</v>
      </c>
      <c r="B2185" s="1">
        <f>DATE(2014,11,3) + TIME(17,25,56)</f>
        <v>41946.726342592592</v>
      </c>
      <c r="C2185">
        <v>80</v>
      </c>
      <c r="D2185">
        <v>79.484115600999999</v>
      </c>
      <c r="E2185">
        <v>50</v>
      </c>
      <c r="F2185">
        <v>49.943367004000002</v>
      </c>
      <c r="G2185">
        <v>1305.6845702999999</v>
      </c>
      <c r="H2185">
        <v>1293.0505370999999</v>
      </c>
      <c r="I2185">
        <v>1393.9343262</v>
      </c>
      <c r="J2185">
        <v>1373.7133789</v>
      </c>
      <c r="K2185">
        <v>0</v>
      </c>
      <c r="L2185">
        <v>2400</v>
      </c>
      <c r="M2185">
        <v>2400</v>
      </c>
      <c r="N2185">
        <v>0</v>
      </c>
    </row>
    <row r="2186" spans="1:14" x14ac:dyDescent="0.25">
      <c r="A2186">
        <v>1647.984136</v>
      </c>
      <c r="B2186" s="1">
        <f>DATE(2014,11,3) + TIME(23,37,9)</f>
        <v>41946.984131944446</v>
      </c>
      <c r="C2186">
        <v>80</v>
      </c>
      <c r="D2186">
        <v>79.456802367999998</v>
      </c>
      <c r="E2186">
        <v>50</v>
      </c>
      <c r="F2186">
        <v>49.952430724999999</v>
      </c>
      <c r="G2186">
        <v>1305.3428954999999</v>
      </c>
      <c r="H2186">
        <v>1292.7077637</v>
      </c>
      <c r="I2186">
        <v>1394.2642822</v>
      </c>
      <c r="J2186">
        <v>1374.0787353999999</v>
      </c>
      <c r="K2186">
        <v>0</v>
      </c>
      <c r="L2186">
        <v>2400</v>
      </c>
      <c r="M2186">
        <v>2400</v>
      </c>
      <c r="N2186">
        <v>0</v>
      </c>
    </row>
    <row r="2187" spans="1:14" x14ac:dyDescent="0.25">
      <c r="A2187">
        <v>1648.2569060000001</v>
      </c>
      <c r="B2187" s="1">
        <f>DATE(2014,11,4) + TIME(6,9,56)</f>
        <v>41947.256898148145</v>
      </c>
      <c r="C2187">
        <v>80</v>
      </c>
      <c r="D2187">
        <v>79.428359985</v>
      </c>
      <c r="E2187">
        <v>50</v>
      </c>
      <c r="F2187">
        <v>49.959423065000003</v>
      </c>
      <c r="G2187">
        <v>1305.0406493999999</v>
      </c>
      <c r="H2187">
        <v>1292.4044189000001</v>
      </c>
      <c r="I2187">
        <v>1394.5438231999999</v>
      </c>
      <c r="J2187">
        <v>1374.390625</v>
      </c>
      <c r="K2187">
        <v>0</v>
      </c>
      <c r="L2187">
        <v>2400</v>
      </c>
      <c r="M2187">
        <v>2400</v>
      </c>
      <c r="N2187">
        <v>0</v>
      </c>
    </row>
    <row r="2188" spans="1:14" x14ac:dyDescent="0.25">
      <c r="A2188">
        <v>1648.5483119999999</v>
      </c>
      <c r="B2188" s="1">
        <f>DATE(2014,11,4) + TIME(13,9,34)</f>
        <v>41947.548310185186</v>
      </c>
      <c r="C2188">
        <v>80</v>
      </c>
      <c r="D2188">
        <v>79.398498535000002</v>
      </c>
      <c r="E2188">
        <v>50</v>
      </c>
      <c r="F2188">
        <v>49.964767455999997</v>
      </c>
      <c r="G2188">
        <v>1304.7725829999999</v>
      </c>
      <c r="H2188">
        <v>1292.1350098</v>
      </c>
      <c r="I2188">
        <v>1394.7791748</v>
      </c>
      <c r="J2188">
        <v>1374.6557617000001</v>
      </c>
      <c r="K2188">
        <v>0</v>
      </c>
      <c r="L2188">
        <v>2400</v>
      </c>
      <c r="M2188">
        <v>2400</v>
      </c>
      <c r="N2188">
        <v>0</v>
      </c>
    </row>
    <row r="2189" spans="1:14" x14ac:dyDescent="0.25">
      <c r="A2189">
        <v>1648.862936</v>
      </c>
      <c r="B2189" s="1">
        <f>DATE(2014,11,4) + TIME(20,42,37)</f>
        <v>41947.862928240742</v>
      </c>
      <c r="C2189">
        <v>80</v>
      </c>
      <c r="D2189">
        <v>79.366882324000002</v>
      </c>
      <c r="E2189">
        <v>50</v>
      </c>
      <c r="F2189">
        <v>49.968811035000002</v>
      </c>
      <c r="G2189">
        <v>1304.5341797000001</v>
      </c>
      <c r="H2189">
        <v>1291.8952637</v>
      </c>
      <c r="I2189">
        <v>1394.9750977000001</v>
      </c>
      <c r="J2189">
        <v>1374.8796387</v>
      </c>
      <c r="K2189">
        <v>0</v>
      </c>
      <c r="L2189">
        <v>2400</v>
      </c>
      <c r="M2189">
        <v>2400</v>
      </c>
      <c r="N2189">
        <v>0</v>
      </c>
    </row>
    <row r="2190" spans="1:14" x14ac:dyDescent="0.25">
      <c r="A2190">
        <v>1649.2016679999999</v>
      </c>
      <c r="B2190" s="1">
        <f>DATE(2014,11,5) + TIME(4,50,24)</f>
        <v>41948.201666666668</v>
      </c>
      <c r="C2190">
        <v>80</v>
      </c>
      <c r="D2190">
        <v>79.333412170000003</v>
      </c>
      <c r="E2190">
        <v>50</v>
      </c>
      <c r="F2190">
        <v>49.971794127999999</v>
      </c>
      <c r="G2190">
        <v>1304.3244629000001</v>
      </c>
      <c r="H2190">
        <v>1291.6842041</v>
      </c>
      <c r="I2190">
        <v>1395.1328125</v>
      </c>
      <c r="J2190">
        <v>1375.0637207</v>
      </c>
      <c r="K2190">
        <v>0</v>
      </c>
      <c r="L2190">
        <v>2400</v>
      </c>
      <c r="M2190">
        <v>2400</v>
      </c>
      <c r="N2190">
        <v>0</v>
      </c>
    </row>
    <row r="2191" spans="1:14" x14ac:dyDescent="0.25">
      <c r="A2191">
        <v>1649.5683300000001</v>
      </c>
      <c r="B2191" s="1">
        <f>DATE(2014,11,5) + TIME(13,38,23)</f>
        <v>41948.56832175926</v>
      </c>
      <c r="C2191">
        <v>80</v>
      </c>
      <c r="D2191">
        <v>79.297805785999998</v>
      </c>
      <c r="E2191">
        <v>50</v>
      </c>
      <c r="F2191">
        <v>49.973949431999998</v>
      </c>
      <c r="G2191">
        <v>1304.1407471</v>
      </c>
      <c r="H2191">
        <v>1291.4990233999999</v>
      </c>
      <c r="I2191">
        <v>1395.2557373</v>
      </c>
      <c r="J2191">
        <v>1375.2120361</v>
      </c>
      <c r="K2191">
        <v>0</v>
      </c>
      <c r="L2191">
        <v>2400</v>
      </c>
      <c r="M2191">
        <v>2400</v>
      </c>
      <c r="N2191">
        <v>0</v>
      </c>
    </row>
    <row r="2192" spans="1:14" x14ac:dyDescent="0.25">
      <c r="A2192">
        <v>1649.969517</v>
      </c>
      <c r="B2192" s="1">
        <f>DATE(2014,11,5) + TIME(23,16,6)</f>
        <v>41948.969513888886</v>
      </c>
      <c r="C2192">
        <v>80</v>
      </c>
      <c r="D2192">
        <v>79.259597778</v>
      </c>
      <c r="E2192">
        <v>50</v>
      </c>
      <c r="F2192">
        <v>49.975482941000003</v>
      </c>
      <c r="G2192">
        <v>1303.9797363</v>
      </c>
      <c r="H2192">
        <v>1291.3364257999999</v>
      </c>
      <c r="I2192">
        <v>1395.3474120999999</v>
      </c>
      <c r="J2192">
        <v>1375.328125</v>
      </c>
      <c r="K2192">
        <v>0</v>
      </c>
      <c r="L2192">
        <v>2400</v>
      </c>
      <c r="M2192">
        <v>2400</v>
      </c>
      <c r="N2192">
        <v>0</v>
      </c>
    </row>
    <row r="2193" spans="1:14" x14ac:dyDescent="0.25">
      <c r="A2193">
        <v>1650.4136900000001</v>
      </c>
      <c r="B2193" s="1">
        <f>DATE(2014,11,6) + TIME(9,55,42)</f>
        <v>41949.413680555554</v>
      </c>
      <c r="C2193">
        <v>80</v>
      </c>
      <c r="D2193">
        <v>79.218208313000005</v>
      </c>
      <c r="E2193">
        <v>50</v>
      </c>
      <c r="F2193">
        <v>49.976547240999999</v>
      </c>
      <c r="G2193">
        <v>1303.8388672000001</v>
      </c>
      <c r="H2193">
        <v>1291.1937256000001</v>
      </c>
      <c r="I2193">
        <v>1395.4104004000001</v>
      </c>
      <c r="J2193">
        <v>1375.4152832</v>
      </c>
      <c r="K2193">
        <v>0</v>
      </c>
      <c r="L2193">
        <v>2400</v>
      </c>
      <c r="M2193">
        <v>2400</v>
      </c>
      <c r="N2193">
        <v>0</v>
      </c>
    </row>
    <row r="2194" spans="1:14" x14ac:dyDescent="0.25">
      <c r="A2194">
        <v>1650.8932990000001</v>
      </c>
      <c r="B2194" s="1">
        <f>DATE(2014,11,6) + TIME(21,26,21)</f>
        <v>41949.89329861111</v>
      </c>
      <c r="C2194">
        <v>80</v>
      </c>
      <c r="D2194">
        <v>79.173934936999999</v>
      </c>
      <c r="E2194">
        <v>50</v>
      </c>
      <c r="F2194">
        <v>49.977249145999998</v>
      </c>
      <c r="G2194">
        <v>1303.71875</v>
      </c>
      <c r="H2194">
        <v>1291.0715332</v>
      </c>
      <c r="I2194">
        <v>1395.4447021000001</v>
      </c>
      <c r="J2194">
        <v>1375.4736327999999</v>
      </c>
      <c r="K2194">
        <v>0</v>
      </c>
      <c r="L2194">
        <v>2400</v>
      </c>
      <c r="M2194">
        <v>2400</v>
      </c>
      <c r="N2194">
        <v>0</v>
      </c>
    </row>
    <row r="2195" spans="1:14" x14ac:dyDescent="0.25">
      <c r="A2195">
        <v>1651.3813829999999</v>
      </c>
      <c r="B2195" s="1">
        <f>DATE(2014,11,7) + TIME(9,9,11)</f>
        <v>41950.381377314814</v>
      </c>
      <c r="C2195">
        <v>80</v>
      </c>
      <c r="D2195">
        <v>79.128295898000005</v>
      </c>
      <c r="E2195">
        <v>50</v>
      </c>
      <c r="F2195">
        <v>49.977684021000002</v>
      </c>
      <c r="G2195">
        <v>1303.6204834</v>
      </c>
      <c r="H2195">
        <v>1290.9714355000001</v>
      </c>
      <c r="I2195">
        <v>1395.453125</v>
      </c>
      <c r="J2195">
        <v>1375.5054932</v>
      </c>
      <c r="K2195">
        <v>0</v>
      </c>
      <c r="L2195">
        <v>2400</v>
      </c>
      <c r="M2195">
        <v>2400</v>
      </c>
      <c r="N2195">
        <v>0</v>
      </c>
    </row>
    <row r="2196" spans="1:14" x14ac:dyDescent="0.25">
      <c r="A2196">
        <v>1651.8821640000001</v>
      </c>
      <c r="B2196" s="1">
        <f>DATE(2014,11,7) + TIME(21,10,18)</f>
        <v>41950.882152777776</v>
      </c>
      <c r="C2196">
        <v>80</v>
      </c>
      <c r="D2196">
        <v>79.081451415999993</v>
      </c>
      <c r="E2196">
        <v>50</v>
      </c>
      <c r="F2196">
        <v>49.977954865000001</v>
      </c>
      <c r="G2196">
        <v>1303.5391846</v>
      </c>
      <c r="H2196">
        <v>1290.8879394999999</v>
      </c>
      <c r="I2196">
        <v>1395.4453125</v>
      </c>
      <c r="J2196">
        <v>1375.5196533000001</v>
      </c>
      <c r="K2196">
        <v>0</v>
      </c>
      <c r="L2196">
        <v>2400</v>
      </c>
      <c r="M2196">
        <v>2400</v>
      </c>
      <c r="N2196">
        <v>0</v>
      </c>
    </row>
    <row r="2197" spans="1:14" x14ac:dyDescent="0.25">
      <c r="A2197">
        <v>1652.3959239999999</v>
      </c>
      <c r="B2197" s="1">
        <f>DATE(2014,11,8) + TIME(9,30,7)</f>
        <v>41951.395914351851</v>
      </c>
      <c r="C2197">
        <v>80</v>
      </c>
      <c r="D2197">
        <v>79.033584594999994</v>
      </c>
      <c r="E2197">
        <v>50</v>
      </c>
      <c r="F2197">
        <v>49.978130341000004</v>
      </c>
      <c r="G2197">
        <v>1303.4708252</v>
      </c>
      <c r="H2197">
        <v>1290.8172606999999</v>
      </c>
      <c r="I2197">
        <v>1395.4255370999999</v>
      </c>
      <c r="J2197">
        <v>1375.5206298999999</v>
      </c>
      <c r="K2197">
        <v>0</v>
      </c>
      <c r="L2197">
        <v>2400</v>
      </c>
      <c r="M2197">
        <v>2400</v>
      </c>
      <c r="N2197">
        <v>0</v>
      </c>
    </row>
    <row r="2198" spans="1:14" x14ac:dyDescent="0.25">
      <c r="A2198">
        <v>1652.928285</v>
      </c>
      <c r="B2198" s="1">
        <f>DATE(2014,11,8) + TIME(22,16,43)</f>
        <v>41951.92827546296</v>
      </c>
      <c r="C2198">
        <v>80</v>
      </c>
      <c r="D2198">
        <v>78.984497070000003</v>
      </c>
      <c r="E2198">
        <v>50</v>
      </c>
      <c r="F2198">
        <v>49.978240966999998</v>
      </c>
      <c r="G2198">
        <v>1303.4121094</v>
      </c>
      <c r="H2198">
        <v>1290.7561035000001</v>
      </c>
      <c r="I2198">
        <v>1395.3974608999999</v>
      </c>
      <c r="J2198">
        <v>1375.512207</v>
      </c>
      <c r="K2198">
        <v>0</v>
      </c>
      <c r="L2198">
        <v>2400</v>
      </c>
      <c r="M2198">
        <v>2400</v>
      </c>
      <c r="N2198">
        <v>0</v>
      </c>
    </row>
    <row r="2199" spans="1:14" x14ac:dyDescent="0.25">
      <c r="A2199">
        <v>1653.485101</v>
      </c>
      <c r="B2199" s="1">
        <f>DATE(2014,11,9) + TIME(11,38,32)</f>
        <v>41952.485092592593</v>
      </c>
      <c r="C2199">
        <v>80</v>
      </c>
      <c r="D2199">
        <v>78.933891295999999</v>
      </c>
      <c r="E2199">
        <v>50</v>
      </c>
      <c r="F2199">
        <v>49.978317261000001</v>
      </c>
      <c r="G2199">
        <v>1303.3604736</v>
      </c>
      <c r="H2199">
        <v>1290.7016602000001</v>
      </c>
      <c r="I2199">
        <v>1395.3631591999999</v>
      </c>
      <c r="J2199">
        <v>1375.4968262</v>
      </c>
      <c r="K2199">
        <v>0</v>
      </c>
      <c r="L2199">
        <v>2400</v>
      </c>
      <c r="M2199">
        <v>2400</v>
      </c>
      <c r="N2199">
        <v>0</v>
      </c>
    </row>
    <row r="2200" spans="1:14" x14ac:dyDescent="0.25">
      <c r="A2200">
        <v>1654.072985</v>
      </c>
      <c r="B2200" s="1">
        <f>DATE(2014,11,10) + TIME(1,45,5)</f>
        <v>41953.072974537034</v>
      </c>
      <c r="C2200">
        <v>80</v>
      </c>
      <c r="D2200">
        <v>78.881370544000006</v>
      </c>
      <c r="E2200">
        <v>50</v>
      </c>
      <c r="F2200">
        <v>49.978366852000001</v>
      </c>
      <c r="G2200">
        <v>1303.3138428</v>
      </c>
      <c r="H2200">
        <v>1290.6522216999999</v>
      </c>
      <c r="I2200">
        <v>1395.3240966999999</v>
      </c>
      <c r="J2200">
        <v>1375.4763184000001</v>
      </c>
      <c r="K2200">
        <v>0</v>
      </c>
      <c r="L2200">
        <v>2400</v>
      </c>
      <c r="M2200">
        <v>2400</v>
      </c>
      <c r="N2200">
        <v>0</v>
      </c>
    </row>
    <row r="2201" spans="1:14" x14ac:dyDescent="0.25">
      <c r="A2201">
        <v>1654.699732</v>
      </c>
      <c r="B2201" s="1">
        <f>DATE(2014,11,10) + TIME(16,47,36)</f>
        <v>41953.69972222222</v>
      </c>
      <c r="C2201">
        <v>80</v>
      </c>
      <c r="D2201">
        <v>78.826431274000001</v>
      </c>
      <c r="E2201">
        <v>50</v>
      </c>
      <c r="F2201">
        <v>49.978404998999999</v>
      </c>
      <c r="G2201">
        <v>1303.2706298999999</v>
      </c>
      <c r="H2201">
        <v>1290.605957</v>
      </c>
      <c r="I2201">
        <v>1395.2813721</v>
      </c>
      <c r="J2201">
        <v>1375.4517822</v>
      </c>
      <c r="K2201">
        <v>0</v>
      </c>
      <c r="L2201">
        <v>2400</v>
      </c>
      <c r="M2201">
        <v>2400</v>
      </c>
      <c r="N2201">
        <v>0</v>
      </c>
    </row>
    <row r="2202" spans="1:14" x14ac:dyDescent="0.25">
      <c r="A2202">
        <v>1655.3753220000001</v>
      </c>
      <c r="B2202" s="1">
        <f>DATE(2014,11,11) + TIME(9,0,27)</f>
        <v>41954.3753125</v>
      </c>
      <c r="C2202">
        <v>80</v>
      </c>
      <c r="D2202">
        <v>78.768432617000002</v>
      </c>
      <c r="E2202">
        <v>50</v>
      </c>
      <c r="F2202">
        <v>49.978431702000002</v>
      </c>
      <c r="G2202">
        <v>1303.2294922000001</v>
      </c>
      <c r="H2202">
        <v>1290.5614014</v>
      </c>
      <c r="I2202">
        <v>1395.2355957</v>
      </c>
      <c r="J2202">
        <v>1375.4241943</v>
      </c>
      <c r="K2202">
        <v>0</v>
      </c>
      <c r="L2202">
        <v>2400</v>
      </c>
      <c r="M2202">
        <v>2400</v>
      </c>
      <c r="N2202">
        <v>0</v>
      </c>
    </row>
    <row r="2203" spans="1:14" x14ac:dyDescent="0.25">
      <c r="A2203">
        <v>1656.10464</v>
      </c>
      <c r="B2203" s="1">
        <f>DATE(2014,11,12) + TIME(2,30,40)</f>
        <v>41955.104629629626</v>
      </c>
      <c r="C2203">
        <v>80</v>
      </c>
      <c r="D2203">
        <v>78.706924438000001</v>
      </c>
      <c r="E2203">
        <v>50</v>
      </c>
      <c r="F2203">
        <v>49.978450774999999</v>
      </c>
      <c r="G2203">
        <v>1303.1894531</v>
      </c>
      <c r="H2203">
        <v>1290.5175781</v>
      </c>
      <c r="I2203">
        <v>1395.1873779</v>
      </c>
      <c r="J2203">
        <v>1375.3941649999999</v>
      </c>
      <c r="K2203">
        <v>0</v>
      </c>
      <c r="L2203">
        <v>2400</v>
      </c>
      <c r="M2203">
        <v>2400</v>
      </c>
      <c r="N2203">
        <v>0</v>
      </c>
    </row>
    <row r="2204" spans="1:14" x14ac:dyDescent="0.25">
      <c r="A2204">
        <v>1656.8647120000001</v>
      </c>
      <c r="B2204" s="1">
        <f>DATE(2014,11,12) + TIME(20,45,11)</f>
        <v>41955.864710648151</v>
      </c>
      <c r="C2204">
        <v>80</v>
      </c>
      <c r="D2204">
        <v>78.642700195000003</v>
      </c>
      <c r="E2204">
        <v>50</v>
      </c>
      <c r="F2204">
        <v>49.978462219000001</v>
      </c>
      <c r="G2204">
        <v>1303.1502685999999</v>
      </c>
      <c r="H2204">
        <v>1290.4741211</v>
      </c>
      <c r="I2204">
        <v>1395.1374512</v>
      </c>
      <c r="J2204">
        <v>1375.3625488</v>
      </c>
      <c r="K2204">
        <v>0</v>
      </c>
      <c r="L2204">
        <v>2400</v>
      </c>
      <c r="M2204">
        <v>2400</v>
      </c>
      <c r="N2204">
        <v>0</v>
      </c>
    </row>
    <row r="2205" spans="1:14" x14ac:dyDescent="0.25">
      <c r="A2205">
        <v>1657.6460039999999</v>
      </c>
      <c r="B2205" s="1">
        <f>DATE(2014,11,13) + TIME(15,30,14)</f>
        <v>41956.645995370367</v>
      </c>
      <c r="C2205">
        <v>80</v>
      </c>
      <c r="D2205">
        <v>78.576545714999995</v>
      </c>
      <c r="E2205">
        <v>50</v>
      </c>
      <c r="F2205">
        <v>49.978473663000003</v>
      </c>
      <c r="G2205">
        <v>1303.1116943</v>
      </c>
      <c r="H2205">
        <v>1290.4310303</v>
      </c>
      <c r="I2205">
        <v>1395.0880127</v>
      </c>
      <c r="J2205">
        <v>1375.3308105000001</v>
      </c>
      <c r="K2205">
        <v>0</v>
      </c>
      <c r="L2205">
        <v>2400</v>
      </c>
      <c r="M2205">
        <v>2400</v>
      </c>
      <c r="N2205">
        <v>0</v>
      </c>
    </row>
    <row r="2206" spans="1:14" x14ac:dyDescent="0.25">
      <c r="A2206">
        <v>1658.4598940000001</v>
      </c>
      <c r="B2206" s="1">
        <f>DATE(2014,11,14) + TIME(11,2,14)</f>
        <v>41957.45988425926</v>
      </c>
      <c r="C2206">
        <v>80</v>
      </c>
      <c r="D2206">
        <v>78.508453368999994</v>
      </c>
      <c r="E2206">
        <v>50</v>
      </c>
      <c r="F2206">
        <v>49.978477478000002</v>
      </c>
      <c r="G2206">
        <v>1303.0734863</v>
      </c>
      <c r="H2206">
        <v>1290.3878173999999</v>
      </c>
      <c r="I2206">
        <v>1395.0399170000001</v>
      </c>
      <c r="J2206">
        <v>1375.2998047000001</v>
      </c>
      <c r="K2206">
        <v>0</v>
      </c>
      <c r="L2206">
        <v>2400</v>
      </c>
      <c r="M2206">
        <v>2400</v>
      </c>
      <c r="N2206">
        <v>0</v>
      </c>
    </row>
    <row r="2207" spans="1:14" x14ac:dyDescent="0.25">
      <c r="A2207">
        <v>1659.2901939999999</v>
      </c>
      <c r="B2207" s="1">
        <f>DATE(2014,11,15) + TIME(6,57,52)</f>
        <v>41958.290185185186</v>
      </c>
      <c r="C2207">
        <v>80</v>
      </c>
      <c r="D2207">
        <v>78.439079285000005</v>
      </c>
      <c r="E2207">
        <v>50</v>
      </c>
      <c r="F2207">
        <v>49.978481293000002</v>
      </c>
      <c r="G2207">
        <v>1303.0351562000001</v>
      </c>
      <c r="H2207">
        <v>1290.3439940999999</v>
      </c>
      <c r="I2207">
        <v>1394.9929199000001</v>
      </c>
      <c r="J2207">
        <v>1375.2694091999999</v>
      </c>
      <c r="K2207">
        <v>0</v>
      </c>
      <c r="L2207">
        <v>2400</v>
      </c>
      <c r="M2207">
        <v>2400</v>
      </c>
      <c r="N2207">
        <v>0</v>
      </c>
    </row>
    <row r="2208" spans="1:14" x14ac:dyDescent="0.25">
      <c r="A2208">
        <v>1660.1440620000001</v>
      </c>
      <c r="B2208" s="1">
        <f>DATE(2014,11,16) + TIME(3,27,26)</f>
        <v>41959.144050925926</v>
      </c>
      <c r="C2208">
        <v>80</v>
      </c>
      <c r="D2208">
        <v>78.368545531999999</v>
      </c>
      <c r="E2208">
        <v>50</v>
      </c>
      <c r="F2208">
        <v>49.978485106999997</v>
      </c>
      <c r="G2208">
        <v>1302.996582</v>
      </c>
      <c r="H2208">
        <v>1290.2995605000001</v>
      </c>
      <c r="I2208">
        <v>1394.9477539</v>
      </c>
      <c r="J2208">
        <v>1375.2401123</v>
      </c>
      <c r="K2208">
        <v>0</v>
      </c>
      <c r="L2208">
        <v>2400</v>
      </c>
      <c r="M2208">
        <v>2400</v>
      </c>
      <c r="N2208">
        <v>0</v>
      </c>
    </row>
    <row r="2209" spans="1:14" x14ac:dyDescent="0.25">
      <c r="A2209">
        <v>1661.030753</v>
      </c>
      <c r="B2209" s="1">
        <f>DATE(2014,11,17) + TIME(0,44,17)</f>
        <v>41960.030752314815</v>
      </c>
      <c r="C2209">
        <v>80</v>
      </c>
      <c r="D2209">
        <v>78.296539307000003</v>
      </c>
      <c r="E2209">
        <v>50</v>
      </c>
      <c r="F2209">
        <v>49.978488921999997</v>
      </c>
      <c r="G2209">
        <v>1302.9572754000001</v>
      </c>
      <c r="H2209">
        <v>1290.2537841999999</v>
      </c>
      <c r="I2209">
        <v>1394.9041748</v>
      </c>
      <c r="J2209">
        <v>1375.2116699000001</v>
      </c>
      <c r="K2209">
        <v>0</v>
      </c>
      <c r="L2209">
        <v>2400</v>
      </c>
      <c r="M2209">
        <v>2400</v>
      </c>
      <c r="N2209">
        <v>0</v>
      </c>
    </row>
    <row r="2210" spans="1:14" x14ac:dyDescent="0.25">
      <c r="A2210">
        <v>1661.9604879999999</v>
      </c>
      <c r="B2210" s="1">
        <f>DATE(2014,11,17) + TIME(23,3,6)</f>
        <v>41960.960486111115</v>
      </c>
      <c r="C2210">
        <v>80</v>
      </c>
      <c r="D2210">
        <v>78.222541809000006</v>
      </c>
      <c r="E2210">
        <v>50</v>
      </c>
      <c r="F2210">
        <v>49.978488921999997</v>
      </c>
      <c r="G2210">
        <v>1302.916626</v>
      </c>
      <c r="H2210">
        <v>1290.2061768000001</v>
      </c>
      <c r="I2210">
        <v>1394.8614502</v>
      </c>
      <c r="J2210">
        <v>1375.1837158000001</v>
      </c>
      <c r="K2210">
        <v>0</v>
      </c>
      <c r="L2210">
        <v>2400</v>
      </c>
      <c r="M2210">
        <v>2400</v>
      </c>
      <c r="N2210">
        <v>0</v>
      </c>
    </row>
    <row r="2211" spans="1:14" x14ac:dyDescent="0.25">
      <c r="A2211">
        <v>1662.945082</v>
      </c>
      <c r="B2211" s="1">
        <f>DATE(2014,11,18) + TIME(22,40,55)</f>
        <v>41961.945081018515</v>
      </c>
      <c r="C2211">
        <v>80</v>
      </c>
      <c r="D2211">
        <v>78.145881653000004</v>
      </c>
      <c r="E2211">
        <v>50</v>
      </c>
      <c r="F2211">
        <v>49.978492737000003</v>
      </c>
      <c r="G2211">
        <v>1302.8740233999999</v>
      </c>
      <c r="H2211">
        <v>1290.1557617000001</v>
      </c>
      <c r="I2211">
        <v>1394.8192139</v>
      </c>
      <c r="J2211">
        <v>1375.1561279</v>
      </c>
      <c r="K2211">
        <v>0</v>
      </c>
      <c r="L2211">
        <v>2400</v>
      </c>
      <c r="M2211">
        <v>2400</v>
      </c>
      <c r="N2211">
        <v>0</v>
      </c>
    </row>
    <row r="2212" spans="1:14" x14ac:dyDescent="0.25">
      <c r="A2212">
        <v>1663.999364</v>
      </c>
      <c r="B2212" s="1">
        <f>DATE(2014,11,19) + TIME(23,59,5)</f>
        <v>41962.999363425923</v>
      </c>
      <c r="C2212">
        <v>80</v>
      </c>
      <c r="D2212">
        <v>78.065719603999995</v>
      </c>
      <c r="E2212">
        <v>50</v>
      </c>
      <c r="F2212">
        <v>49.978492737000003</v>
      </c>
      <c r="G2212">
        <v>1302.8286132999999</v>
      </c>
      <c r="H2212">
        <v>1290.1016846</v>
      </c>
      <c r="I2212">
        <v>1394.7770995999999</v>
      </c>
      <c r="J2212">
        <v>1375.128418</v>
      </c>
      <c r="K2212">
        <v>0</v>
      </c>
      <c r="L2212">
        <v>2400</v>
      </c>
      <c r="M2212">
        <v>2400</v>
      </c>
      <c r="N2212">
        <v>0</v>
      </c>
    </row>
    <row r="2213" spans="1:14" x14ac:dyDescent="0.25">
      <c r="A2213">
        <v>1665.1003029999999</v>
      </c>
      <c r="B2213" s="1">
        <f>DATE(2014,11,21) + TIME(2,24,26)</f>
        <v>41964.100300925929</v>
      </c>
      <c r="C2213">
        <v>80</v>
      </c>
      <c r="D2213">
        <v>77.982345581000004</v>
      </c>
      <c r="E2213">
        <v>50</v>
      </c>
      <c r="F2213">
        <v>49.978492737000003</v>
      </c>
      <c r="G2213">
        <v>1302.7801514</v>
      </c>
      <c r="H2213">
        <v>1290.043457</v>
      </c>
      <c r="I2213">
        <v>1394.7346190999999</v>
      </c>
      <c r="J2213">
        <v>1375.1005858999999</v>
      </c>
      <c r="K2213">
        <v>0</v>
      </c>
      <c r="L2213">
        <v>2400</v>
      </c>
      <c r="M2213">
        <v>2400</v>
      </c>
      <c r="N2213">
        <v>0</v>
      </c>
    </row>
    <row r="2214" spans="1:14" x14ac:dyDescent="0.25">
      <c r="A2214">
        <v>1666.2453350000001</v>
      </c>
      <c r="B2214" s="1">
        <f>DATE(2014,11,22) + TIME(5,53,16)</f>
        <v>41965.245324074072</v>
      </c>
      <c r="C2214">
        <v>80</v>
      </c>
      <c r="D2214">
        <v>77.896286011000001</v>
      </c>
      <c r="E2214">
        <v>50</v>
      </c>
      <c r="F2214">
        <v>49.978496552000003</v>
      </c>
      <c r="G2214">
        <v>1302.7287598</v>
      </c>
      <c r="H2214">
        <v>1289.9813231999999</v>
      </c>
      <c r="I2214">
        <v>1394.692749</v>
      </c>
      <c r="J2214">
        <v>1375.072876</v>
      </c>
      <c r="K2214">
        <v>0</v>
      </c>
      <c r="L2214">
        <v>2400</v>
      </c>
      <c r="M2214">
        <v>2400</v>
      </c>
      <c r="N2214">
        <v>0</v>
      </c>
    </row>
    <row r="2215" spans="1:14" x14ac:dyDescent="0.25">
      <c r="A2215">
        <v>1667.4074800000001</v>
      </c>
      <c r="B2215" s="1">
        <f>DATE(2014,11,23) + TIME(9,46,46)</f>
        <v>41966.407476851855</v>
      </c>
      <c r="C2215">
        <v>80</v>
      </c>
      <c r="D2215">
        <v>77.808685303000004</v>
      </c>
      <c r="E2215">
        <v>50</v>
      </c>
      <c r="F2215">
        <v>49.978496552000003</v>
      </c>
      <c r="G2215">
        <v>1302.6748047000001</v>
      </c>
      <c r="H2215">
        <v>1289.9154053</v>
      </c>
      <c r="I2215">
        <v>1394.6517334</v>
      </c>
      <c r="J2215">
        <v>1375.0457764</v>
      </c>
      <c r="K2215">
        <v>0</v>
      </c>
      <c r="L2215">
        <v>2400</v>
      </c>
      <c r="M2215">
        <v>2400</v>
      </c>
      <c r="N2215">
        <v>0</v>
      </c>
    </row>
    <row r="2216" spans="1:14" x14ac:dyDescent="0.25">
      <c r="A2216">
        <v>1668.5902610000001</v>
      </c>
      <c r="B2216" s="1">
        <f>DATE(2014,11,24) + TIME(14,9,58)</f>
        <v>41967.590254629627</v>
      </c>
      <c r="C2216">
        <v>80</v>
      </c>
      <c r="D2216">
        <v>77.720329285000005</v>
      </c>
      <c r="E2216">
        <v>50</v>
      </c>
      <c r="F2216">
        <v>49.978500365999999</v>
      </c>
      <c r="G2216">
        <v>1302.6190185999999</v>
      </c>
      <c r="H2216">
        <v>1289.8466797000001</v>
      </c>
      <c r="I2216">
        <v>1394.6121826000001</v>
      </c>
      <c r="J2216">
        <v>1375.0194091999999</v>
      </c>
      <c r="K2216">
        <v>0</v>
      </c>
      <c r="L2216">
        <v>2400</v>
      </c>
      <c r="M2216">
        <v>2400</v>
      </c>
      <c r="N2216">
        <v>0</v>
      </c>
    </row>
    <row r="2217" spans="1:14" x14ac:dyDescent="0.25">
      <c r="A2217">
        <v>1669.7959430000001</v>
      </c>
      <c r="B2217" s="1">
        <f>DATE(2014,11,25) + TIME(19,6,9)</f>
        <v>41968.795937499999</v>
      </c>
      <c r="C2217">
        <v>80</v>
      </c>
      <c r="D2217">
        <v>77.631439209000007</v>
      </c>
      <c r="E2217">
        <v>50</v>
      </c>
      <c r="F2217">
        <v>49.978504180999998</v>
      </c>
      <c r="G2217">
        <v>1302.5611572</v>
      </c>
      <c r="H2217">
        <v>1289.7749022999999</v>
      </c>
      <c r="I2217">
        <v>1394.5739745999999</v>
      </c>
      <c r="J2217">
        <v>1374.9938964999999</v>
      </c>
      <c r="K2217">
        <v>0</v>
      </c>
      <c r="L2217">
        <v>2400</v>
      </c>
      <c r="M2217">
        <v>2400</v>
      </c>
      <c r="N2217">
        <v>0</v>
      </c>
    </row>
    <row r="2218" spans="1:14" x14ac:dyDescent="0.25">
      <c r="A2218">
        <v>1671.0283730000001</v>
      </c>
      <c r="B2218" s="1">
        <f>DATE(2014,11,27) + TIME(0,40,51)</f>
        <v>41970.028368055559</v>
      </c>
      <c r="C2218">
        <v>80</v>
      </c>
      <c r="D2218">
        <v>77.541969299000002</v>
      </c>
      <c r="E2218">
        <v>50</v>
      </c>
      <c r="F2218">
        <v>49.978507995999998</v>
      </c>
      <c r="G2218">
        <v>1302.5009766000001</v>
      </c>
      <c r="H2218">
        <v>1289.699707</v>
      </c>
      <c r="I2218">
        <v>1394.5369873</v>
      </c>
      <c r="J2218">
        <v>1374.9689940999999</v>
      </c>
      <c r="K2218">
        <v>0</v>
      </c>
      <c r="L2218">
        <v>2400</v>
      </c>
      <c r="M2218">
        <v>2400</v>
      </c>
      <c r="N2218">
        <v>0</v>
      </c>
    </row>
    <row r="2219" spans="1:14" x14ac:dyDescent="0.25">
      <c r="A2219">
        <v>1672.2906829999999</v>
      </c>
      <c r="B2219" s="1">
        <f>DATE(2014,11,28) + TIME(6,58,35)</f>
        <v>41971.290682870371</v>
      </c>
      <c r="C2219">
        <v>80</v>
      </c>
      <c r="D2219">
        <v>77.451789856000005</v>
      </c>
      <c r="E2219">
        <v>50</v>
      </c>
      <c r="F2219">
        <v>49.978511810000001</v>
      </c>
      <c r="G2219">
        <v>1302.4383545000001</v>
      </c>
      <c r="H2219">
        <v>1289.6207274999999</v>
      </c>
      <c r="I2219">
        <v>1394.5009766000001</v>
      </c>
      <c r="J2219">
        <v>1374.9445800999999</v>
      </c>
      <c r="K2219">
        <v>0</v>
      </c>
      <c r="L2219">
        <v>2400</v>
      </c>
      <c r="M2219">
        <v>2400</v>
      </c>
      <c r="N2219">
        <v>0</v>
      </c>
    </row>
    <row r="2220" spans="1:14" x14ac:dyDescent="0.25">
      <c r="A2220">
        <v>1673.5860339999999</v>
      </c>
      <c r="B2220" s="1">
        <f>DATE(2014,11,29) + TIME(14,3,53)</f>
        <v>41972.586030092592</v>
      </c>
      <c r="C2220">
        <v>80</v>
      </c>
      <c r="D2220">
        <v>77.360717773000005</v>
      </c>
      <c r="E2220">
        <v>50</v>
      </c>
      <c r="F2220">
        <v>49.978515625</v>
      </c>
      <c r="G2220">
        <v>1302.3729248</v>
      </c>
      <c r="H2220">
        <v>1289.5378418</v>
      </c>
      <c r="I2220">
        <v>1394.4656981999999</v>
      </c>
      <c r="J2220">
        <v>1374.9205322</v>
      </c>
      <c r="K2220">
        <v>0</v>
      </c>
      <c r="L2220">
        <v>2400</v>
      </c>
      <c r="M2220">
        <v>2400</v>
      </c>
      <c r="N2220">
        <v>0</v>
      </c>
    </row>
    <row r="2221" spans="1:14" x14ac:dyDescent="0.25">
      <c r="A2221">
        <v>1674.9176950000001</v>
      </c>
      <c r="B2221" s="1">
        <f>DATE(2014,11,30) + TIME(22,1,28)</f>
        <v>41973.917685185188</v>
      </c>
      <c r="C2221">
        <v>80</v>
      </c>
      <c r="D2221">
        <v>77.268577575999998</v>
      </c>
      <c r="E2221">
        <v>50</v>
      </c>
      <c r="F2221">
        <v>49.978523254000002</v>
      </c>
      <c r="G2221">
        <v>1302.3044434000001</v>
      </c>
      <c r="H2221">
        <v>1289.4504394999999</v>
      </c>
      <c r="I2221">
        <v>1394.4310303</v>
      </c>
      <c r="J2221">
        <v>1374.8968506000001</v>
      </c>
      <c r="K2221">
        <v>0</v>
      </c>
      <c r="L2221">
        <v>2400</v>
      </c>
      <c r="M2221">
        <v>2400</v>
      </c>
      <c r="N2221">
        <v>0</v>
      </c>
    </row>
    <row r="2222" spans="1:14" x14ac:dyDescent="0.25">
      <c r="A2222">
        <v>1675</v>
      </c>
      <c r="B2222" s="1">
        <f>DATE(2014,12,1) + TIME(0,0,0)</f>
        <v>41974</v>
      </c>
      <c r="C2222">
        <v>80</v>
      </c>
      <c r="D2222">
        <v>77.254623413000004</v>
      </c>
      <c r="E2222">
        <v>50</v>
      </c>
      <c r="F2222">
        <v>49.978507995999998</v>
      </c>
      <c r="G2222">
        <v>1302.2668457</v>
      </c>
      <c r="H2222">
        <v>1289.4030762</v>
      </c>
      <c r="I2222">
        <v>1394.4117432</v>
      </c>
      <c r="J2222">
        <v>1374.8848877</v>
      </c>
      <c r="K2222">
        <v>0</v>
      </c>
      <c r="L2222">
        <v>2400</v>
      </c>
      <c r="M2222">
        <v>2400</v>
      </c>
      <c r="N2222">
        <v>0</v>
      </c>
    </row>
    <row r="2223" spans="1:14" x14ac:dyDescent="0.25">
      <c r="A2223">
        <v>1676.3626099999999</v>
      </c>
      <c r="B2223" s="1">
        <f>DATE(2014,12,2) + TIME(8,42,9)</f>
        <v>41975.362604166665</v>
      </c>
      <c r="C2223">
        <v>80</v>
      </c>
      <c r="D2223">
        <v>77.166702271000005</v>
      </c>
      <c r="E2223">
        <v>50</v>
      </c>
      <c r="F2223">
        <v>49.978530884000001</v>
      </c>
      <c r="G2223">
        <v>1302.2264404</v>
      </c>
      <c r="H2223">
        <v>1289.3499756000001</v>
      </c>
      <c r="I2223">
        <v>1394.3941649999999</v>
      </c>
      <c r="J2223">
        <v>1374.8713379000001</v>
      </c>
      <c r="K2223">
        <v>0</v>
      </c>
      <c r="L2223">
        <v>2400</v>
      </c>
      <c r="M2223">
        <v>2400</v>
      </c>
      <c r="N2223">
        <v>0</v>
      </c>
    </row>
    <row r="2224" spans="1:14" x14ac:dyDescent="0.25">
      <c r="A2224">
        <v>1677.7523639999999</v>
      </c>
      <c r="B2224" s="1">
        <f>DATE(2014,12,3) + TIME(18,3,24)</f>
        <v>41976.75236111111</v>
      </c>
      <c r="C2224">
        <v>80</v>
      </c>
      <c r="D2224">
        <v>77.074737549000005</v>
      </c>
      <c r="E2224">
        <v>50</v>
      </c>
      <c r="F2224">
        <v>49.978538512999997</v>
      </c>
      <c r="G2224">
        <v>1302.152832</v>
      </c>
      <c r="H2224">
        <v>1289.2547606999999</v>
      </c>
      <c r="I2224">
        <v>1394.3615723</v>
      </c>
      <c r="J2224">
        <v>1374.8487548999999</v>
      </c>
      <c r="K2224">
        <v>0</v>
      </c>
      <c r="L2224">
        <v>2400</v>
      </c>
      <c r="M2224">
        <v>2400</v>
      </c>
      <c r="N2224">
        <v>0</v>
      </c>
    </row>
    <row r="2225" spans="1:14" x14ac:dyDescent="0.25">
      <c r="A2225">
        <v>1679.1722219999999</v>
      </c>
      <c r="B2225" s="1">
        <f>DATE(2014,12,5) + TIME(4,7,59)</f>
        <v>41978.172210648147</v>
      </c>
      <c r="C2225">
        <v>80</v>
      </c>
      <c r="D2225">
        <v>76.980850219999994</v>
      </c>
      <c r="E2225">
        <v>50</v>
      </c>
      <c r="F2225">
        <v>49.978546143000003</v>
      </c>
      <c r="G2225">
        <v>1302.0750731999999</v>
      </c>
      <c r="H2225">
        <v>1289.1536865</v>
      </c>
      <c r="I2225">
        <v>1394.3289795000001</v>
      </c>
      <c r="J2225">
        <v>1374.8260498</v>
      </c>
      <c r="K2225">
        <v>0</v>
      </c>
      <c r="L2225">
        <v>2400</v>
      </c>
      <c r="M2225">
        <v>2400</v>
      </c>
      <c r="N2225">
        <v>0</v>
      </c>
    </row>
    <row r="2226" spans="1:14" x14ac:dyDescent="0.25">
      <c r="A2226">
        <v>1680.625489</v>
      </c>
      <c r="B2226" s="1">
        <f>DATE(2014,12,6) + TIME(15,0,42)</f>
        <v>41979.625486111108</v>
      </c>
      <c r="C2226">
        <v>80</v>
      </c>
      <c r="D2226">
        <v>76.885726929</v>
      </c>
      <c r="E2226">
        <v>50</v>
      </c>
      <c r="F2226">
        <v>49.978553771999998</v>
      </c>
      <c r="G2226">
        <v>1301.9938964999999</v>
      </c>
      <c r="H2226">
        <v>1289.0473632999999</v>
      </c>
      <c r="I2226">
        <v>1394.2969971</v>
      </c>
      <c r="J2226">
        <v>1374.8034668</v>
      </c>
      <c r="K2226">
        <v>0</v>
      </c>
      <c r="L2226">
        <v>2400</v>
      </c>
      <c r="M2226">
        <v>2400</v>
      </c>
      <c r="N2226">
        <v>0</v>
      </c>
    </row>
    <row r="2227" spans="1:14" x14ac:dyDescent="0.25">
      <c r="A2227">
        <v>1682.11517</v>
      </c>
      <c r="B2227" s="1">
        <f>DATE(2014,12,8) + TIME(2,45,50)</f>
        <v>41981.115162037036</v>
      </c>
      <c r="C2227">
        <v>80</v>
      </c>
      <c r="D2227">
        <v>76.789527892999999</v>
      </c>
      <c r="E2227">
        <v>50</v>
      </c>
      <c r="F2227">
        <v>49.978565216</v>
      </c>
      <c r="G2227">
        <v>1301.9091797000001</v>
      </c>
      <c r="H2227">
        <v>1288.9357910000001</v>
      </c>
      <c r="I2227">
        <v>1394.2655029</v>
      </c>
      <c r="J2227">
        <v>1374.7811279</v>
      </c>
      <c r="K2227">
        <v>0</v>
      </c>
      <c r="L2227">
        <v>2400</v>
      </c>
      <c r="M2227">
        <v>2400</v>
      </c>
      <c r="N2227">
        <v>0</v>
      </c>
    </row>
    <row r="2228" spans="1:14" x14ac:dyDescent="0.25">
      <c r="A2228">
        <v>1683.6284310000001</v>
      </c>
      <c r="B2228" s="1">
        <f>DATE(2014,12,9) + TIME(15,4,56)</f>
        <v>41982.628425925926</v>
      </c>
      <c r="C2228">
        <v>80</v>
      </c>
      <c r="D2228">
        <v>76.692527771000002</v>
      </c>
      <c r="E2228">
        <v>50</v>
      </c>
      <c r="F2228">
        <v>49.978576660000002</v>
      </c>
      <c r="G2228">
        <v>1301.8206786999999</v>
      </c>
      <c r="H2228">
        <v>1288.8187256000001</v>
      </c>
      <c r="I2228">
        <v>1394.234375</v>
      </c>
      <c r="J2228">
        <v>1374.7590332</v>
      </c>
      <c r="K2228">
        <v>0</v>
      </c>
      <c r="L2228">
        <v>2400</v>
      </c>
      <c r="M2228">
        <v>2400</v>
      </c>
      <c r="N2228">
        <v>0</v>
      </c>
    </row>
    <row r="2229" spans="1:14" x14ac:dyDescent="0.25">
      <c r="A2229">
        <v>1685.169253</v>
      </c>
      <c r="B2229" s="1">
        <f>DATE(2014,12,11) + TIME(4,3,43)</f>
        <v>41984.169247685182</v>
      </c>
      <c r="C2229">
        <v>80</v>
      </c>
      <c r="D2229">
        <v>76.595024108999993</v>
      </c>
      <c r="E2229">
        <v>50</v>
      </c>
      <c r="F2229">
        <v>49.978584290000001</v>
      </c>
      <c r="G2229">
        <v>1301.7290039</v>
      </c>
      <c r="H2229">
        <v>1288.6966553</v>
      </c>
      <c r="I2229">
        <v>1394.2039795000001</v>
      </c>
      <c r="J2229">
        <v>1374.7373047000001</v>
      </c>
      <c r="K2229">
        <v>0</v>
      </c>
      <c r="L2229">
        <v>2400</v>
      </c>
      <c r="M2229">
        <v>2400</v>
      </c>
      <c r="N2229">
        <v>0</v>
      </c>
    </row>
    <row r="2230" spans="1:14" x14ac:dyDescent="0.25">
      <c r="A2230">
        <v>1686.7419609999999</v>
      </c>
      <c r="B2230" s="1">
        <f>DATE(2014,12,12) + TIME(17,48,25)</f>
        <v>41985.741956018515</v>
      </c>
      <c r="C2230">
        <v>80</v>
      </c>
      <c r="D2230">
        <v>76.496932982999994</v>
      </c>
      <c r="E2230">
        <v>50</v>
      </c>
      <c r="F2230">
        <v>49.978595734000002</v>
      </c>
      <c r="G2230">
        <v>1301.6339111</v>
      </c>
      <c r="H2230">
        <v>1288.5694579999999</v>
      </c>
      <c r="I2230">
        <v>1394.1740723</v>
      </c>
      <c r="J2230">
        <v>1374.7156981999999</v>
      </c>
      <c r="K2230">
        <v>0</v>
      </c>
      <c r="L2230">
        <v>2400</v>
      </c>
      <c r="M2230">
        <v>2400</v>
      </c>
      <c r="N2230">
        <v>0</v>
      </c>
    </row>
    <row r="2231" spans="1:14" x14ac:dyDescent="0.25">
      <c r="A2231">
        <v>1688.350443</v>
      </c>
      <c r="B2231" s="1">
        <f>DATE(2014,12,14) + TIME(8,24,38)</f>
        <v>41987.350439814814</v>
      </c>
      <c r="C2231">
        <v>80</v>
      </c>
      <c r="D2231">
        <v>76.398078917999996</v>
      </c>
      <c r="E2231">
        <v>50</v>
      </c>
      <c r="F2231">
        <v>49.978610992</v>
      </c>
      <c r="G2231">
        <v>1301.5351562000001</v>
      </c>
      <c r="H2231">
        <v>1288.4367675999999</v>
      </c>
      <c r="I2231">
        <v>1394.1445312000001</v>
      </c>
      <c r="J2231">
        <v>1374.6943358999999</v>
      </c>
      <c r="K2231">
        <v>0</v>
      </c>
      <c r="L2231">
        <v>2400</v>
      </c>
      <c r="M2231">
        <v>2400</v>
      </c>
      <c r="N2231">
        <v>0</v>
      </c>
    </row>
    <row r="2232" spans="1:14" x14ac:dyDescent="0.25">
      <c r="A2232">
        <v>1689.9986220000001</v>
      </c>
      <c r="B2232" s="1">
        <f>DATE(2014,12,15) + TIME(23,58,0)</f>
        <v>41988.998611111114</v>
      </c>
      <c r="C2232">
        <v>80</v>
      </c>
      <c r="D2232">
        <v>76.298248290999993</v>
      </c>
      <c r="E2232">
        <v>50</v>
      </c>
      <c r="F2232">
        <v>49.978622436999999</v>
      </c>
      <c r="G2232">
        <v>1301.432251</v>
      </c>
      <c r="H2232">
        <v>1288.2979736</v>
      </c>
      <c r="I2232">
        <v>1394.1154785000001</v>
      </c>
      <c r="J2232">
        <v>1374.6730957</v>
      </c>
      <c r="K2232">
        <v>0</v>
      </c>
      <c r="L2232">
        <v>2400</v>
      </c>
      <c r="M2232">
        <v>2400</v>
      </c>
      <c r="N2232">
        <v>0</v>
      </c>
    </row>
    <row r="2233" spans="1:14" x14ac:dyDescent="0.25">
      <c r="A2233">
        <v>1691.6880619999999</v>
      </c>
      <c r="B2233" s="1">
        <f>DATE(2014,12,17) + TIME(16,30,48)</f>
        <v>41990.688055555554</v>
      </c>
      <c r="C2233">
        <v>80</v>
      </c>
      <c r="D2233">
        <v>76.197265625</v>
      </c>
      <c r="E2233">
        <v>50</v>
      </c>
      <c r="F2233">
        <v>49.978633881</v>
      </c>
      <c r="G2233">
        <v>1301.3251952999999</v>
      </c>
      <c r="H2233">
        <v>1288.152832</v>
      </c>
      <c r="I2233">
        <v>1394.0866699000001</v>
      </c>
      <c r="J2233">
        <v>1374.6518555</v>
      </c>
      <c r="K2233">
        <v>0</v>
      </c>
      <c r="L2233">
        <v>2400</v>
      </c>
      <c r="M2233">
        <v>2400</v>
      </c>
      <c r="N2233">
        <v>0</v>
      </c>
    </row>
    <row r="2234" spans="1:14" x14ac:dyDescent="0.25">
      <c r="A2234">
        <v>1693.412464</v>
      </c>
      <c r="B2234" s="1">
        <f>DATE(2014,12,19) + TIME(9,53,56)</f>
        <v>41992.412453703706</v>
      </c>
      <c r="C2234">
        <v>80</v>
      </c>
      <c r="D2234">
        <v>76.095169067</v>
      </c>
      <c r="E2234">
        <v>50</v>
      </c>
      <c r="F2234">
        <v>49.978649138999998</v>
      </c>
      <c r="G2234">
        <v>1301.2137451000001</v>
      </c>
      <c r="H2234">
        <v>1288.0012207</v>
      </c>
      <c r="I2234">
        <v>1394.0581055</v>
      </c>
      <c r="J2234">
        <v>1374.6308594</v>
      </c>
      <c r="K2234">
        <v>0</v>
      </c>
      <c r="L2234">
        <v>2400</v>
      </c>
      <c r="M2234">
        <v>2400</v>
      </c>
      <c r="N2234">
        <v>0</v>
      </c>
    </row>
    <row r="2235" spans="1:14" x14ac:dyDescent="0.25">
      <c r="A2235">
        <v>1695.1690980000001</v>
      </c>
      <c r="B2235" s="1">
        <f>DATE(2014,12,21) + TIME(4,3,30)</f>
        <v>41994.16909722222</v>
      </c>
      <c r="C2235">
        <v>80</v>
      </c>
      <c r="D2235">
        <v>75.992156981999997</v>
      </c>
      <c r="E2235">
        <v>50</v>
      </c>
      <c r="F2235">
        <v>49.978664397999999</v>
      </c>
      <c r="G2235">
        <v>1301.0980225000001</v>
      </c>
      <c r="H2235">
        <v>1287.8431396000001</v>
      </c>
      <c r="I2235">
        <v>1394.0299072</v>
      </c>
      <c r="J2235">
        <v>1374.6098632999999</v>
      </c>
      <c r="K2235">
        <v>0</v>
      </c>
      <c r="L2235">
        <v>2400</v>
      </c>
      <c r="M2235">
        <v>2400</v>
      </c>
      <c r="N2235">
        <v>0</v>
      </c>
    </row>
    <row r="2236" spans="1:14" x14ac:dyDescent="0.25">
      <c r="A2236">
        <v>1696.9609579999999</v>
      </c>
      <c r="B2236" s="1">
        <f>DATE(2014,12,22) + TIME(23,3,46)</f>
        <v>41995.960949074077</v>
      </c>
      <c r="C2236">
        <v>80</v>
      </c>
      <c r="D2236">
        <v>75.888298035000005</v>
      </c>
      <c r="E2236">
        <v>50</v>
      </c>
      <c r="F2236">
        <v>49.978679657000001</v>
      </c>
      <c r="G2236">
        <v>1300.9782714999999</v>
      </c>
      <c r="H2236">
        <v>1287.6790771000001</v>
      </c>
      <c r="I2236">
        <v>1394.0019531</v>
      </c>
      <c r="J2236">
        <v>1374.5889893000001</v>
      </c>
      <c r="K2236">
        <v>0</v>
      </c>
      <c r="L2236">
        <v>2400</v>
      </c>
      <c r="M2236">
        <v>2400</v>
      </c>
      <c r="N2236">
        <v>0</v>
      </c>
    </row>
    <row r="2237" spans="1:14" x14ac:dyDescent="0.25">
      <c r="A2237">
        <v>1698.792514</v>
      </c>
      <c r="B2237" s="1">
        <f>DATE(2014,12,24) + TIME(19,1,13)</f>
        <v>41997.792511574073</v>
      </c>
      <c r="C2237">
        <v>80</v>
      </c>
      <c r="D2237">
        <v>75.783454895000006</v>
      </c>
      <c r="E2237">
        <v>50</v>
      </c>
      <c r="F2237">
        <v>49.978694916000002</v>
      </c>
      <c r="G2237">
        <v>1300.8542480000001</v>
      </c>
      <c r="H2237">
        <v>1287.5085449000001</v>
      </c>
      <c r="I2237">
        <v>1393.9744873</v>
      </c>
      <c r="J2237">
        <v>1374.5682373</v>
      </c>
      <c r="K2237">
        <v>0</v>
      </c>
      <c r="L2237">
        <v>2400</v>
      </c>
      <c r="M2237">
        <v>2400</v>
      </c>
      <c r="N2237">
        <v>0</v>
      </c>
    </row>
    <row r="2238" spans="1:14" x14ac:dyDescent="0.25">
      <c r="A2238">
        <v>1700.6682149999999</v>
      </c>
      <c r="B2238" s="1">
        <f>DATE(2014,12,26) + TIME(16,2,13)</f>
        <v>41999.668206018519</v>
      </c>
      <c r="C2238">
        <v>80</v>
      </c>
      <c r="D2238">
        <v>75.677398682000003</v>
      </c>
      <c r="E2238">
        <v>50</v>
      </c>
      <c r="F2238">
        <v>49.978710175000003</v>
      </c>
      <c r="G2238">
        <v>1300.7257079999999</v>
      </c>
      <c r="H2238">
        <v>1287.3310547000001</v>
      </c>
      <c r="I2238">
        <v>1393.9471435999999</v>
      </c>
      <c r="J2238">
        <v>1374.5476074000001</v>
      </c>
      <c r="K2238">
        <v>0</v>
      </c>
      <c r="L2238">
        <v>2400</v>
      </c>
      <c r="M2238">
        <v>2400</v>
      </c>
      <c r="N2238">
        <v>0</v>
      </c>
    </row>
    <row r="2239" spans="1:14" x14ac:dyDescent="0.25">
      <c r="A2239">
        <v>1702.5925589999999</v>
      </c>
      <c r="B2239" s="1">
        <f>DATE(2014,12,28) + TIME(14,13,17)</f>
        <v>42001.592557870368</v>
      </c>
      <c r="C2239">
        <v>80</v>
      </c>
      <c r="D2239">
        <v>75.569885253999999</v>
      </c>
      <c r="E2239">
        <v>50</v>
      </c>
      <c r="F2239">
        <v>49.978729248</v>
      </c>
      <c r="G2239">
        <v>1300.5922852000001</v>
      </c>
      <c r="H2239">
        <v>1287.1462402</v>
      </c>
      <c r="I2239">
        <v>1393.9200439000001</v>
      </c>
      <c r="J2239">
        <v>1374.5268555</v>
      </c>
      <c r="K2239">
        <v>0</v>
      </c>
      <c r="L2239">
        <v>2400</v>
      </c>
      <c r="M2239">
        <v>2400</v>
      </c>
      <c r="N2239">
        <v>0</v>
      </c>
    </row>
    <row r="2240" spans="1:14" x14ac:dyDescent="0.25">
      <c r="A2240">
        <v>1704.5702020000001</v>
      </c>
      <c r="B2240" s="1">
        <f>DATE(2014,12,30) + TIME(13,41,5)</f>
        <v>42003.570196759261</v>
      </c>
      <c r="C2240">
        <v>80</v>
      </c>
      <c r="D2240">
        <v>75.460632324000002</v>
      </c>
      <c r="E2240">
        <v>50</v>
      </c>
      <c r="F2240">
        <v>49.978748322000001</v>
      </c>
      <c r="G2240">
        <v>1300.4534911999999</v>
      </c>
      <c r="H2240">
        <v>1286.9536132999999</v>
      </c>
      <c r="I2240">
        <v>1393.8929443</v>
      </c>
      <c r="J2240">
        <v>1374.5061035000001</v>
      </c>
      <c r="K2240">
        <v>0</v>
      </c>
      <c r="L2240">
        <v>2400</v>
      </c>
      <c r="M2240">
        <v>2400</v>
      </c>
      <c r="N2240">
        <v>0</v>
      </c>
    </row>
    <row r="2241" spans="1:14" x14ac:dyDescent="0.25">
      <c r="A2241">
        <v>1706</v>
      </c>
      <c r="B2241" s="1">
        <f>DATE(2015,1,1) + TIME(0,0,0)</f>
        <v>42005</v>
      </c>
      <c r="C2241">
        <v>80</v>
      </c>
      <c r="D2241">
        <v>75.360977172999995</v>
      </c>
      <c r="E2241">
        <v>50</v>
      </c>
      <c r="F2241">
        <v>49.978755950999997</v>
      </c>
      <c r="G2241">
        <v>1300.3151855000001</v>
      </c>
      <c r="H2241">
        <v>1286.7623291</v>
      </c>
      <c r="I2241">
        <v>1393.8668213000001</v>
      </c>
      <c r="J2241">
        <v>1374.4860839999999</v>
      </c>
      <c r="K2241">
        <v>0</v>
      </c>
      <c r="L2241">
        <v>2400</v>
      </c>
      <c r="M2241">
        <v>2400</v>
      </c>
      <c r="N2241">
        <v>0</v>
      </c>
    </row>
    <row r="2242" spans="1:14" x14ac:dyDescent="0.25">
      <c r="A2242">
        <v>1708.03583</v>
      </c>
      <c r="B2242" s="1">
        <f>DATE(2015,1,3) + TIME(0,51,35)</f>
        <v>42007.035821759258</v>
      </c>
      <c r="C2242">
        <v>80</v>
      </c>
      <c r="D2242">
        <v>75.264213561999995</v>
      </c>
      <c r="E2242">
        <v>50</v>
      </c>
      <c r="F2242">
        <v>49.978778839</v>
      </c>
      <c r="G2242">
        <v>1300.1986084</v>
      </c>
      <c r="H2242">
        <v>1286.5969238</v>
      </c>
      <c r="I2242">
        <v>1393.8465576000001</v>
      </c>
      <c r="J2242">
        <v>1374.4702147999999</v>
      </c>
      <c r="K2242">
        <v>0</v>
      </c>
      <c r="L2242">
        <v>2400</v>
      </c>
      <c r="M2242">
        <v>2400</v>
      </c>
      <c r="N2242">
        <v>0</v>
      </c>
    </row>
    <row r="2243" spans="1:14" x14ac:dyDescent="0.25">
      <c r="A2243">
        <v>1710.1816040000001</v>
      </c>
      <c r="B2243" s="1">
        <f>DATE(2015,1,5) + TIME(4,21,30)</f>
        <v>42009.181597222225</v>
      </c>
      <c r="C2243">
        <v>80</v>
      </c>
      <c r="D2243">
        <v>75.154479980000005</v>
      </c>
      <c r="E2243">
        <v>50</v>
      </c>
      <c r="F2243">
        <v>49.978797913000001</v>
      </c>
      <c r="G2243">
        <v>1300.0496826000001</v>
      </c>
      <c r="H2243">
        <v>1286.3896483999999</v>
      </c>
      <c r="I2243">
        <v>1393.8203125</v>
      </c>
      <c r="J2243">
        <v>1374.4498291</v>
      </c>
      <c r="K2243">
        <v>0</v>
      </c>
      <c r="L2243">
        <v>2400</v>
      </c>
      <c r="M2243">
        <v>2400</v>
      </c>
      <c r="N2243">
        <v>0</v>
      </c>
    </row>
    <row r="2244" spans="1:14" x14ac:dyDescent="0.25">
      <c r="A2244">
        <v>1712.365088</v>
      </c>
      <c r="B2244" s="1">
        <f>DATE(2015,1,7) + TIME(8,45,43)</f>
        <v>42011.365081018521</v>
      </c>
      <c r="C2244">
        <v>80</v>
      </c>
      <c r="D2244">
        <v>75.038314818999993</v>
      </c>
      <c r="E2244">
        <v>50</v>
      </c>
      <c r="F2244">
        <v>49.978820800999998</v>
      </c>
      <c r="G2244">
        <v>1299.8892822</v>
      </c>
      <c r="H2244">
        <v>1286.1655272999999</v>
      </c>
      <c r="I2244">
        <v>1393.7932129000001</v>
      </c>
      <c r="J2244">
        <v>1374.4285889</v>
      </c>
      <c r="K2244">
        <v>0</v>
      </c>
      <c r="L2244">
        <v>2400</v>
      </c>
      <c r="M2244">
        <v>2400</v>
      </c>
      <c r="N2244">
        <v>0</v>
      </c>
    </row>
    <row r="2245" spans="1:14" x14ac:dyDescent="0.25">
      <c r="A2245">
        <v>1714.590408</v>
      </c>
      <c r="B2245" s="1">
        <f>DATE(2015,1,9) + TIME(14,10,11)</f>
        <v>42013.590405092589</v>
      </c>
      <c r="C2245">
        <v>80</v>
      </c>
      <c r="D2245">
        <v>74.919342040999993</v>
      </c>
      <c r="E2245">
        <v>50</v>
      </c>
      <c r="F2245">
        <v>49.978839874000002</v>
      </c>
      <c r="G2245">
        <v>1299.7231445</v>
      </c>
      <c r="H2245">
        <v>1285.9321289</v>
      </c>
      <c r="I2245">
        <v>1393.7662353999999</v>
      </c>
      <c r="J2245">
        <v>1374.4073486</v>
      </c>
      <c r="K2245">
        <v>0</v>
      </c>
      <c r="L2245">
        <v>2400</v>
      </c>
      <c r="M2245">
        <v>2400</v>
      </c>
      <c r="N2245">
        <v>0</v>
      </c>
    </row>
    <row r="2246" spans="1:14" x14ac:dyDescent="0.25">
      <c r="A2246">
        <v>1716.8617790000001</v>
      </c>
      <c r="B2246" s="1">
        <f>DATE(2015,1,11) + TIME(20,40,57)</f>
        <v>42015.861770833333</v>
      </c>
      <c r="C2246">
        <v>80</v>
      </c>
      <c r="D2246">
        <v>74.798347473000007</v>
      </c>
      <c r="E2246">
        <v>50</v>
      </c>
      <c r="F2246">
        <v>49.978862761999999</v>
      </c>
      <c r="G2246">
        <v>1299.5515137</v>
      </c>
      <c r="H2246">
        <v>1285.6905518000001</v>
      </c>
      <c r="I2246">
        <v>1393.7395019999999</v>
      </c>
      <c r="J2246">
        <v>1374.3861084</v>
      </c>
      <c r="K2246">
        <v>0</v>
      </c>
      <c r="L2246">
        <v>2400</v>
      </c>
      <c r="M2246">
        <v>2400</v>
      </c>
      <c r="N2246">
        <v>0</v>
      </c>
    </row>
    <row r="2247" spans="1:14" x14ac:dyDescent="0.25">
      <c r="A2247">
        <v>1719.1837579999999</v>
      </c>
      <c r="B2247" s="1">
        <f>DATE(2015,1,14) + TIME(4,24,36)</f>
        <v>42018.183749999997</v>
      </c>
      <c r="C2247">
        <v>80</v>
      </c>
      <c r="D2247">
        <v>74.675300598000007</v>
      </c>
      <c r="E2247">
        <v>50</v>
      </c>
      <c r="F2247">
        <v>49.978885650999999</v>
      </c>
      <c r="G2247">
        <v>1299.3745117000001</v>
      </c>
      <c r="H2247">
        <v>1285.4407959</v>
      </c>
      <c r="I2247">
        <v>1393.7128906</v>
      </c>
      <c r="J2247">
        <v>1374.3648682</v>
      </c>
      <c r="K2247">
        <v>0</v>
      </c>
      <c r="L2247">
        <v>2400</v>
      </c>
      <c r="M2247">
        <v>2400</v>
      </c>
      <c r="N2247">
        <v>0</v>
      </c>
    </row>
    <row r="2248" spans="1:14" x14ac:dyDescent="0.25">
      <c r="A2248">
        <v>1721.561048</v>
      </c>
      <c r="B2248" s="1">
        <f>DATE(2015,1,16) + TIME(13,27,54)</f>
        <v>42020.561041666668</v>
      </c>
      <c r="C2248">
        <v>80</v>
      </c>
      <c r="D2248">
        <v>74.549896239999995</v>
      </c>
      <c r="E2248">
        <v>50</v>
      </c>
      <c r="F2248">
        <v>49.978908539000003</v>
      </c>
      <c r="G2248">
        <v>1299.1917725000001</v>
      </c>
      <c r="H2248">
        <v>1285.1823730000001</v>
      </c>
      <c r="I2248">
        <v>1393.6864014</v>
      </c>
      <c r="J2248">
        <v>1374.3436279</v>
      </c>
      <c r="K2248">
        <v>0</v>
      </c>
      <c r="L2248">
        <v>2400</v>
      </c>
      <c r="M2248">
        <v>2400</v>
      </c>
      <c r="N2248">
        <v>0</v>
      </c>
    </row>
    <row r="2249" spans="1:14" x14ac:dyDescent="0.25">
      <c r="A2249">
        <v>1723.998472</v>
      </c>
      <c r="B2249" s="1">
        <f>DATE(2015,1,18) + TIME(23,57,48)</f>
        <v>42022.998472222222</v>
      </c>
      <c r="C2249">
        <v>80</v>
      </c>
      <c r="D2249">
        <v>74.421791076999995</v>
      </c>
      <c r="E2249">
        <v>50</v>
      </c>
      <c r="F2249">
        <v>49.978931426999999</v>
      </c>
      <c r="G2249">
        <v>1299.0028076000001</v>
      </c>
      <c r="H2249">
        <v>1284.9149170000001</v>
      </c>
      <c r="I2249">
        <v>1393.6597899999999</v>
      </c>
      <c r="J2249">
        <v>1374.3221435999999</v>
      </c>
      <c r="K2249">
        <v>0</v>
      </c>
      <c r="L2249">
        <v>2400</v>
      </c>
      <c r="M2249">
        <v>2400</v>
      </c>
      <c r="N2249">
        <v>0</v>
      </c>
    </row>
    <row r="2250" spans="1:14" x14ac:dyDescent="0.25">
      <c r="A2250">
        <v>1726.5009680000001</v>
      </c>
      <c r="B2250" s="1">
        <f>DATE(2015,1,21) + TIME(12,1,23)</f>
        <v>42025.500960648147</v>
      </c>
      <c r="C2250">
        <v>80</v>
      </c>
      <c r="D2250">
        <v>74.290573120000005</v>
      </c>
      <c r="E2250">
        <v>50</v>
      </c>
      <c r="F2250">
        <v>49.978954315000003</v>
      </c>
      <c r="G2250">
        <v>1298.8074951000001</v>
      </c>
      <c r="H2250">
        <v>1284.6376952999999</v>
      </c>
      <c r="I2250">
        <v>1393.6333007999999</v>
      </c>
      <c r="J2250">
        <v>1374.3005370999999</v>
      </c>
      <c r="K2250">
        <v>0</v>
      </c>
      <c r="L2250">
        <v>2400</v>
      </c>
      <c r="M2250">
        <v>2400</v>
      </c>
      <c r="N2250">
        <v>0</v>
      </c>
    </row>
    <row r="2251" spans="1:14" x14ac:dyDescent="0.25">
      <c r="A2251">
        <v>1729.051604</v>
      </c>
      <c r="B2251" s="1">
        <f>DATE(2015,1,24) + TIME(1,14,18)</f>
        <v>42028.05159722222</v>
      </c>
      <c r="C2251">
        <v>80</v>
      </c>
      <c r="D2251">
        <v>74.156074524000005</v>
      </c>
      <c r="E2251">
        <v>50</v>
      </c>
      <c r="F2251">
        <v>49.978981017999999</v>
      </c>
      <c r="G2251">
        <v>1298.6053466999999</v>
      </c>
      <c r="H2251">
        <v>1284.3504639</v>
      </c>
      <c r="I2251">
        <v>1393.6065673999999</v>
      </c>
      <c r="J2251">
        <v>1374.2786865</v>
      </c>
      <c r="K2251">
        <v>0</v>
      </c>
      <c r="L2251">
        <v>2400</v>
      </c>
      <c r="M2251">
        <v>2400</v>
      </c>
      <c r="N2251">
        <v>0</v>
      </c>
    </row>
    <row r="2252" spans="1:14" x14ac:dyDescent="0.25">
      <c r="A2252">
        <v>1731.6491980000001</v>
      </c>
      <c r="B2252" s="1">
        <f>DATE(2015,1,26) + TIME(15,34,50)</f>
        <v>42030.649189814816</v>
      </c>
      <c r="C2252">
        <v>80</v>
      </c>
      <c r="D2252">
        <v>74.018608092999997</v>
      </c>
      <c r="E2252">
        <v>50</v>
      </c>
      <c r="F2252">
        <v>49.979007721000002</v>
      </c>
      <c r="G2252">
        <v>1298.3974608999999</v>
      </c>
      <c r="H2252">
        <v>1284.0544434000001</v>
      </c>
      <c r="I2252">
        <v>1393.5799560999999</v>
      </c>
      <c r="J2252">
        <v>1374.2568358999999</v>
      </c>
      <c r="K2252">
        <v>0</v>
      </c>
      <c r="L2252">
        <v>2400</v>
      </c>
      <c r="M2252">
        <v>2400</v>
      </c>
      <c r="N2252">
        <v>0</v>
      </c>
    </row>
    <row r="2253" spans="1:14" x14ac:dyDescent="0.25">
      <c r="A2253">
        <v>1734.299448</v>
      </c>
      <c r="B2253" s="1">
        <f>DATE(2015,1,29) + TIME(7,11,12)</f>
        <v>42033.299444444441</v>
      </c>
      <c r="C2253">
        <v>80</v>
      </c>
      <c r="D2253">
        <v>73.878051757999998</v>
      </c>
      <c r="E2253">
        <v>50</v>
      </c>
      <c r="F2253">
        <v>49.979030608999999</v>
      </c>
      <c r="G2253">
        <v>1298.1839600000001</v>
      </c>
      <c r="H2253">
        <v>1283.7501221</v>
      </c>
      <c r="I2253">
        <v>1393.5533447</v>
      </c>
      <c r="J2253">
        <v>1374.2348632999999</v>
      </c>
      <c r="K2253">
        <v>0</v>
      </c>
      <c r="L2253">
        <v>2400</v>
      </c>
      <c r="M2253">
        <v>2400</v>
      </c>
      <c r="N2253">
        <v>0</v>
      </c>
    </row>
    <row r="2254" spans="1:14" x14ac:dyDescent="0.25">
      <c r="A2254">
        <v>1737</v>
      </c>
      <c r="B2254" s="1">
        <f>DATE(2015,2,1) + TIME(0,0,0)</f>
        <v>42036</v>
      </c>
      <c r="C2254">
        <v>80</v>
      </c>
      <c r="D2254">
        <v>73.734046935999999</v>
      </c>
      <c r="E2254">
        <v>50</v>
      </c>
      <c r="F2254">
        <v>49.979057312000002</v>
      </c>
      <c r="G2254">
        <v>1297.9645995999999</v>
      </c>
      <c r="H2254">
        <v>1283.4370117000001</v>
      </c>
      <c r="I2254">
        <v>1393.5268555</v>
      </c>
      <c r="J2254">
        <v>1374.2127685999999</v>
      </c>
      <c r="K2254">
        <v>0</v>
      </c>
      <c r="L2254">
        <v>2400</v>
      </c>
      <c r="M2254">
        <v>2400</v>
      </c>
      <c r="N2254">
        <v>0</v>
      </c>
    </row>
    <row r="2255" spans="1:14" x14ac:dyDescent="0.25">
      <c r="A2255">
        <v>1739.70858</v>
      </c>
      <c r="B2255" s="1">
        <f>DATE(2015,2,3) + TIME(17,0,21)</f>
        <v>42038.70857638889</v>
      </c>
      <c r="C2255">
        <v>80</v>
      </c>
      <c r="D2255">
        <v>73.586875915999997</v>
      </c>
      <c r="E2255">
        <v>50</v>
      </c>
      <c r="F2255">
        <v>49.979084014999998</v>
      </c>
      <c r="G2255">
        <v>1297.7399902</v>
      </c>
      <c r="H2255">
        <v>1283.1157227000001</v>
      </c>
      <c r="I2255">
        <v>1393.5002440999999</v>
      </c>
      <c r="J2255">
        <v>1374.1905518000001</v>
      </c>
      <c r="K2255">
        <v>0</v>
      </c>
      <c r="L2255">
        <v>2400</v>
      </c>
      <c r="M2255">
        <v>2400</v>
      </c>
      <c r="N2255">
        <v>0</v>
      </c>
    </row>
    <row r="2256" spans="1:14" x14ac:dyDescent="0.25">
      <c r="A2256">
        <v>1742.5475939999999</v>
      </c>
      <c r="B2256" s="1">
        <f>DATE(2015,2,6) + TIME(13,8,32)</f>
        <v>42041.547592592593</v>
      </c>
      <c r="C2256">
        <v>80</v>
      </c>
      <c r="D2256">
        <v>73.436332703000005</v>
      </c>
      <c r="E2256">
        <v>50</v>
      </c>
      <c r="F2256">
        <v>49.979114531999997</v>
      </c>
      <c r="G2256">
        <v>1297.5117187999999</v>
      </c>
      <c r="H2256">
        <v>1282.7885742000001</v>
      </c>
      <c r="I2256">
        <v>1393.473999</v>
      </c>
      <c r="J2256">
        <v>1374.168457</v>
      </c>
      <c r="K2256">
        <v>0</v>
      </c>
      <c r="L2256">
        <v>2400</v>
      </c>
      <c r="M2256">
        <v>2400</v>
      </c>
      <c r="N2256">
        <v>0</v>
      </c>
    </row>
    <row r="2257" spans="1:14" x14ac:dyDescent="0.25">
      <c r="A2257">
        <v>1745.445622</v>
      </c>
      <c r="B2257" s="1">
        <f>DATE(2015,2,9) + TIME(10,41,41)</f>
        <v>42044.445613425924</v>
      </c>
      <c r="C2257">
        <v>80</v>
      </c>
      <c r="D2257">
        <v>73.279006957999997</v>
      </c>
      <c r="E2257">
        <v>50</v>
      </c>
      <c r="F2257">
        <v>49.979141235</v>
      </c>
      <c r="G2257">
        <v>1297.2728271000001</v>
      </c>
      <c r="H2257">
        <v>1282.4462891000001</v>
      </c>
      <c r="I2257">
        <v>1393.4471435999999</v>
      </c>
      <c r="J2257">
        <v>1374.1456298999999</v>
      </c>
      <c r="K2257">
        <v>0</v>
      </c>
      <c r="L2257">
        <v>2400</v>
      </c>
      <c r="M2257">
        <v>2400</v>
      </c>
      <c r="N2257">
        <v>0</v>
      </c>
    </row>
    <row r="2258" spans="1:14" x14ac:dyDescent="0.25">
      <c r="A2258">
        <v>1748.4096259999999</v>
      </c>
      <c r="B2258" s="1">
        <f>DATE(2015,2,12) + TIME(9,49,51)</f>
        <v>42047.409618055557</v>
      </c>
      <c r="C2258">
        <v>80</v>
      </c>
      <c r="D2258">
        <v>73.116088867000002</v>
      </c>
      <c r="E2258">
        <v>50</v>
      </c>
      <c r="F2258">
        <v>49.979171753000003</v>
      </c>
      <c r="G2258">
        <v>1297.0269774999999</v>
      </c>
      <c r="H2258">
        <v>1282.0933838000001</v>
      </c>
      <c r="I2258">
        <v>1393.4200439000001</v>
      </c>
      <c r="J2258">
        <v>1374.1225586</v>
      </c>
      <c r="K2258">
        <v>0</v>
      </c>
      <c r="L2258">
        <v>2400</v>
      </c>
      <c r="M2258">
        <v>2400</v>
      </c>
      <c r="N2258">
        <v>0</v>
      </c>
    </row>
    <row r="2259" spans="1:14" x14ac:dyDescent="0.25">
      <c r="A2259">
        <v>1751.446377</v>
      </c>
      <c r="B2259" s="1">
        <f>DATE(2015,2,15) + TIME(10,42,46)</f>
        <v>42050.44636574074</v>
      </c>
      <c r="C2259">
        <v>80</v>
      </c>
      <c r="D2259">
        <v>72.947219849000007</v>
      </c>
      <c r="E2259">
        <v>50</v>
      </c>
      <c r="F2259">
        <v>49.979202270999998</v>
      </c>
      <c r="G2259">
        <v>1296.7740478999999</v>
      </c>
      <c r="H2259">
        <v>1281.7298584</v>
      </c>
      <c r="I2259">
        <v>1393.3928223</v>
      </c>
      <c r="J2259">
        <v>1374.0992432</v>
      </c>
      <c r="K2259">
        <v>0</v>
      </c>
      <c r="L2259">
        <v>2400</v>
      </c>
      <c r="M2259">
        <v>2400</v>
      </c>
      <c r="N2259">
        <v>0</v>
      </c>
    </row>
    <row r="2260" spans="1:14" x14ac:dyDescent="0.25">
      <c r="A2260">
        <v>1754.563032</v>
      </c>
      <c r="B2260" s="1">
        <f>DATE(2015,2,18) + TIME(13,30,45)</f>
        <v>42053.563020833331</v>
      </c>
      <c r="C2260">
        <v>80</v>
      </c>
      <c r="D2260">
        <v>72.771659850999995</v>
      </c>
      <c r="E2260">
        <v>50</v>
      </c>
      <c r="F2260">
        <v>49.979232787999997</v>
      </c>
      <c r="G2260">
        <v>1296.5136719</v>
      </c>
      <c r="H2260">
        <v>1281.3549805</v>
      </c>
      <c r="I2260">
        <v>1393.3653564000001</v>
      </c>
      <c r="J2260">
        <v>1374.0755615</v>
      </c>
      <c r="K2260">
        <v>0</v>
      </c>
      <c r="L2260">
        <v>2400</v>
      </c>
      <c r="M2260">
        <v>2400</v>
      </c>
      <c r="N2260">
        <v>0</v>
      </c>
    </row>
    <row r="2261" spans="1:14" x14ac:dyDescent="0.25">
      <c r="A2261">
        <v>1757.7672339999999</v>
      </c>
      <c r="B2261" s="1">
        <f>DATE(2015,2,21) + TIME(18,24,49)</f>
        <v>42056.767233796294</v>
      </c>
      <c r="C2261">
        <v>80</v>
      </c>
      <c r="D2261">
        <v>72.588523864999999</v>
      </c>
      <c r="E2261">
        <v>50</v>
      </c>
      <c r="F2261">
        <v>49.979263306</v>
      </c>
      <c r="G2261">
        <v>1296.2451172000001</v>
      </c>
      <c r="H2261">
        <v>1280.9678954999999</v>
      </c>
      <c r="I2261">
        <v>1393.3375243999999</v>
      </c>
      <c r="J2261">
        <v>1374.0515137</v>
      </c>
      <c r="K2261">
        <v>0</v>
      </c>
      <c r="L2261">
        <v>2400</v>
      </c>
      <c r="M2261">
        <v>2400</v>
      </c>
      <c r="N2261">
        <v>0</v>
      </c>
    </row>
    <row r="2262" spans="1:14" x14ac:dyDescent="0.25">
      <c r="A2262">
        <v>1761.0673449999999</v>
      </c>
      <c r="B2262" s="1">
        <f>DATE(2015,2,25) + TIME(1,36,58)</f>
        <v>42060.067337962966</v>
      </c>
      <c r="C2262">
        <v>80</v>
      </c>
      <c r="D2262">
        <v>72.396812439000001</v>
      </c>
      <c r="E2262">
        <v>50</v>
      </c>
      <c r="F2262">
        <v>49.979293822999999</v>
      </c>
      <c r="G2262">
        <v>1295.9677733999999</v>
      </c>
      <c r="H2262">
        <v>1280.567749</v>
      </c>
      <c r="I2262">
        <v>1393.3093262</v>
      </c>
      <c r="J2262">
        <v>1374.0269774999999</v>
      </c>
      <c r="K2262">
        <v>0</v>
      </c>
      <c r="L2262">
        <v>2400</v>
      </c>
      <c r="M2262">
        <v>2400</v>
      </c>
      <c r="N2262">
        <v>0</v>
      </c>
    </row>
    <row r="2263" spans="1:14" x14ac:dyDescent="0.25">
      <c r="A2263">
        <v>1764.4502620000001</v>
      </c>
      <c r="B2263" s="1">
        <f>DATE(2015,2,28) + TIME(10,48,22)</f>
        <v>42063.450254629628</v>
      </c>
      <c r="C2263">
        <v>80</v>
      </c>
      <c r="D2263">
        <v>72.195632935000006</v>
      </c>
      <c r="E2263">
        <v>50</v>
      </c>
      <c r="F2263">
        <v>49.979328156000001</v>
      </c>
      <c r="G2263">
        <v>1295.6812743999999</v>
      </c>
      <c r="H2263">
        <v>1280.1536865</v>
      </c>
      <c r="I2263">
        <v>1393.2806396000001</v>
      </c>
      <c r="J2263">
        <v>1374.0019531</v>
      </c>
      <c r="K2263">
        <v>0</v>
      </c>
      <c r="L2263">
        <v>2400</v>
      </c>
      <c r="M2263">
        <v>2400</v>
      </c>
      <c r="N2263">
        <v>0</v>
      </c>
    </row>
    <row r="2264" spans="1:14" x14ac:dyDescent="0.25">
      <c r="A2264">
        <v>1765</v>
      </c>
      <c r="B2264" s="1">
        <f>DATE(2015,3,1) + TIME(0,0,0)</f>
        <v>42064</v>
      </c>
      <c r="C2264">
        <v>80</v>
      </c>
      <c r="D2264">
        <v>72.083702087000006</v>
      </c>
      <c r="E2264">
        <v>50</v>
      </c>
      <c r="F2264">
        <v>49.979320526000002</v>
      </c>
      <c r="G2264">
        <v>1295.4400635</v>
      </c>
      <c r="H2264">
        <v>1279.8217772999999</v>
      </c>
      <c r="I2264">
        <v>1393.2607422000001</v>
      </c>
      <c r="J2264">
        <v>1373.9851074000001</v>
      </c>
      <c r="K2264">
        <v>0</v>
      </c>
      <c r="L2264">
        <v>2400</v>
      </c>
      <c r="M2264">
        <v>2400</v>
      </c>
      <c r="N2264">
        <v>0</v>
      </c>
    </row>
    <row r="2265" spans="1:14" x14ac:dyDescent="0.25">
      <c r="A2265">
        <v>1768.4589040000001</v>
      </c>
      <c r="B2265" s="1">
        <f>DATE(2015,3,4) + TIME(11,0,49)</f>
        <v>42067.45890046296</v>
      </c>
      <c r="C2265">
        <v>80</v>
      </c>
      <c r="D2265">
        <v>71.936378478999998</v>
      </c>
      <c r="E2265">
        <v>50</v>
      </c>
      <c r="F2265">
        <v>49.979370117000002</v>
      </c>
      <c r="G2265">
        <v>1295.3221435999999</v>
      </c>
      <c r="H2265">
        <v>1279.6267089999999</v>
      </c>
      <c r="I2265">
        <v>1393.2458495999999</v>
      </c>
      <c r="J2265">
        <v>1373.9711914</v>
      </c>
      <c r="K2265">
        <v>0</v>
      </c>
      <c r="L2265">
        <v>2400</v>
      </c>
      <c r="M2265">
        <v>2400</v>
      </c>
      <c r="N2265">
        <v>0</v>
      </c>
    </row>
    <row r="2266" spans="1:14" x14ac:dyDescent="0.25">
      <c r="A2266">
        <v>1772.0108720000001</v>
      </c>
      <c r="B2266" s="1">
        <f>DATE(2015,3,8) + TIME(0,15,39)</f>
        <v>42071.010868055557</v>
      </c>
      <c r="C2266">
        <v>80</v>
      </c>
      <c r="D2266">
        <v>71.726249695000007</v>
      </c>
      <c r="E2266">
        <v>50</v>
      </c>
      <c r="F2266">
        <v>49.979404449</v>
      </c>
      <c r="G2266">
        <v>1295.0318603999999</v>
      </c>
      <c r="H2266">
        <v>1279.2116699000001</v>
      </c>
      <c r="I2266">
        <v>1393.2174072</v>
      </c>
      <c r="J2266">
        <v>1373.9460449000001</v>
      </c>
      <c r="K2266">
        <v>0</v>
      </c>
      <c r="L2266">
        <v>2400</v>
      </c>
      <c r="M2266">
        <v>2400</v>
      </c>
      <c r="N2266">
        <v>0</v>
      </c>
    </row>
    <row r="2267" spans="1:14" x14ac:dyDescent="0.25">
      <c r="A2267">
        <v>1775.6632959999999</v>
      </c>
      <c r="B2267" s="1">
        <f>DATE(2015,3,11) + TIME(15,55,8)</f>
        <v>42074.663287037038</v>
      </c>
      <c r="C2267">
        <v>80</v>
      </c>
      <c r="D2267">
        <v>71.494354247999993</v>
      </c>
      <c r="E2267">
        <v>50</v>
      </c>
      <c r="F2267">
        <v>49.979438782000003</v>
      </c>
      <c r="G2267">
        <v>1294.7220459</v>
      </c>
      <c r="H2267">
        <v>1278.7630615</v>
      </c>
      <c r="I2267">
        <v>1393.1877440999999</v>
      </c>
      <c r="J2267">
        <v>1373.9196777</v>
      </c>
      <c r="K2267">
        <v>0</v>
      </c>
      <c r="L2267">
        <v>2400</v>
      </c>
      <c r="M2267">
        <v>2400</v>
      </c>
      <c r="N2267">
        <v>0</v>
      </c>
    </row>
    <row r="2268" spans="1:14" x14ac:dyDescent="0.25">
      <c r="A2268">
        <v>1779.418388</v>
      </c>
      <c r="B2268" s="1">
        <f>DATE(2015,3,15) + TIME(10,2,28)</f>
        <v>42078.418379629627</v>
      </c>
      <c r="C2268">
        <v>80</v>
      </c>
      <c r="D2268">
        <v>71.248161315999994</v>
      </c>
      <c r="E2268">
        <v>50</v>
      </c>
      <c r="F2268">
        <v>49.979473114000001</v>
      </c>
      <c r="G2268">
        <v>1294.401001</v>
      </c>
      <c r="H2268">
        <v>1278.2965088000001</v>
      </c>
      <c r="I2268">
        <v>1393.1573486</v>
      </c>
      <c r="J2268">
        <v>1373.8925781</v>
      </c>
      <c r="K2268">
        <v>0</v>
      </c>
      <c r="L2268">
        <v>2400</v>
      </c>
      <c r="M2268">
        <v>2400</v>
      </c>
      <c r="N2268">
        <v>0</v>
      </c>
    </row>
    <row r="2269" spans="1:14" x14ac:dyDescent="0.25">
      <c r="A2269">
        <v>1783.2879029999999</v>
      </c>
      <c r="B2269" s="1">
        <f>DATE(2015,3,19) + TIME(6,54,34)</f>
        <v>42082.287893518522</v>
      </c>
      <c r="C2269">
        <v>80</v>
      </c>
      <c r="D2269">
        <v>70.987373352000006</v>
      </c>
      <c r="E2269">
        <v>50</v>
      </c>
      <c r="F2269">
        <v>49.979511260999999</v>
      </c>
      <c r="G2269">
        <v>1294.0698242000001</v>
      </c>
      <c r="H2269">
        <v>1277.8142089999999</v>
      </c>
      <c r="I2269">
        <v>1393.1264647999999</v>
      </c>
      <c r="J2269">
        <v>1373.8647461</v>
      </c>
      <c r="K2269">
        <v>0</v>
      </c>
      <c r="L2269">
        <v>2400</v>
      </c>
      <c r="M2269">
        <v>2400</v>
      </c>
      <c r="N2269">
        <v>0</v>
      </c>
    </row>
    <row r="2270" spans="1:14" x14ac:dyDescent="0.25">
      <c r="A2270">
        <v>1787.2722249999999</v>
      </c>
      <c r="B2270" s="1">
        <f>DATE(2015,3,23) + TIME(6,32,0)</f>
        <v>42086.272222222222</v>
      </c>
      <c r="C2270">
        <v>80</v>
      </c>
      <c r="D2270">
        <v>70.710891724000007</v>
      </c>
      <c r="E2270">
        <v>50</v>
      </c>
      <c r="F2270">
        <v>49.979549407999997</v>
      </c>
      <c r="G2270">
        <v>1293.7279053</v>
      </c>
      <c r="H2270">
        <v>1277.3155518000001</v>
      </c>
      <c r="I2270">
        <v>1393.0947266000001</v>
      </c>
      <c r="J2270">
        <v>1373.8361815999999</v>
      </c>
      <c r="K2270">
        <v>0</v>
      </c>
      <c r="L2270">
        <v>2400</v>
      </c>
      <c r="M2270">
        <v>2400</v>
      </c>
      <c r="N2270">
        <v>0</v>
      </c>
    </row>
    <row r="2271" spans="1:14" x14ac:dyDescent="0.25">
      <c r="A2271">
        <v>1791.3493759999999</v>
      </c>
      <c r="B2271" s="1">
        <f>DATE(2015,3,27) + TIME(8,23,6)</f>
        <v>42090.349374999998</v>
      </c>
      <c r="C2271">
        <v>80</v>
      </c>
      <c r="D2271">
        <v>70.417564392000003</v>
      </c>
      <c r="E2271">
        <v>50</v>
      </c>
      <c r="F2271">
        <v>49.979587555000002</v>
      </c>
      <c r="G2271">
        <v>1293.3756103999999</v>
      </c>
      <c r="H2271">
        <v>1276.8009033000001</v>
      </c>
      <c r="I2271">
        <v>1393.0623779</v>
      </c>
      <c r="J2271">
        <v>1373.8067627</v>
      </c>
      <c r="K2271">
        <v>0</v>
      </c>
      <c r="L2271">
        <v>2400</v>
      </c>
      <c r="M2271">
        <v>2400</v>
      </c>
      <c r="N2271">
        <v>0</v>
      </c>
    </row>
    <row r="2272" spans="1:14" x14ac:dyDescent="0.25">
      <c r="A2272">
        <v>1795.5343150000001</v>
      </c>
      <c r="B2272" s="1">
        <f>DATE(2015,3,31) + TIME(12,49,24)</f>
        <v>42094.534305555557</v>
      </c>
      <c r="C2272">
        <v>80</v>
      </c>
      <c r="D2272">
        <v>70.107948303000001</v>
      </c>
      <c r="E2272">
        <v>50</v>
      </c>
      <c r="F2272">
        <v>49.979625702</v>
      </c>
      <c r="G2272">
        <v>1293.0146483999999</v>
      </c>
      <c r="H2272">
        <v>1276.2723389</v>
      </c>
      <c r="I2272">
        <v>1393.0292969</v>
      </c>
      <c r="J2272">
        <v>1373.7767334</v>
      </c>
      <c r="K2272">
        <v>0</v>
      </c>
      <c r="L2272">
        <v>2400</v>
      </c>
      <c r="M2272">
        <v>2400</v>
      </c>
      <c r="N2272">
        <v>0</v>
      </c>
    </row>
    <row r="2273" spans="1:14" x14ac:dyDescent="0.25">
      <c r="A2273">
        <v>1796</v>
      </c>
      <c r="B2273" s="1">
        <f>DATE(2015,4,1) + TIME(0,0,0)</f>
        <v>42095</v>
      </c>
      <c r="C2273">
        <v>80</v>
      </c>
      <c r="D2273">
        <v>69.951332092000001</v>
      </c>
      <c r="E2273">
        <v>50</v>
      </c>
      <c r="F2273">
        <v>49.979618072999997</v>
      </c>
      <c r="G2273">
        <v>1292.7147216999999</v>
      </c>
      <c r="H2273">
        <v>1275.8663329999999</v>
      </c>
      <c r="I2273">
        <v>1393.0106201000001</v>
      </c>
      <c r="J2273">
        <v>1373.760376</v>
      </c>
      <c r="K2273">
        <v>0</v>
      </c>
      <c r="L2273">
        <v>2400</v>
      </c>
      <c r="M2273">
        <v>2400</v>
      </c>
      <c r="N227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Griendt, Toon van de</dc:creator>
  <cp:lastModifiedBy>Griendt, Toon van de</cp:lastModifiedBy>
  <dcterms:created xsi:type="dcterms:W3CDTF">2022-07-20T06:41:36Z</dcterms:created>
  <dcterms:modified xsi:type="dcterms:W3CDTF">2022-07-20T06:42:00Z</dcterms:modified>
</cp:coreProperties>
</file>